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tabRatio="895" firstSheet="5" activeTab="12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PH Óvoda, Kult. kiad. feladat" sheetId="5" r:id="rId5"/>
    <sheet name="6. kiadások megbontása" sheetId="6" r:id="rId6"/>
    <sheet name="7. források sz. bontás" sheetId="7" r:id="rId7"/>
    <sheet name="8.létszám" sheetId="8" r:id="rId8"/>
    <sheet name="9.felhki" sheetId="9" r:id="rId9"/>
    <sheet name="10.tartalékok" sheetId="10" r:id="rId10"/>
    <sheet name="11. saját bev." sheetId="11" r:id="rId11"/>
    <sheet name="12.normatívák" sheetId="12" r:id="rId12"/>
    <sheet name="13. EU projektek" sheetId="13" r:id="rId13"/>
  </sheets>
  <definedNames>
    <definedName name="_xlnm.Print_Titles" localSheetId="0">'1. bevételek'!$5:$6</definedName>
    <definedName name="_xlnm.Print_Titles" localSheetId="12">'13.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'8.létszám'!$6:$6</definedName>
    <definedName name="_xlnm.Print_Titles" localSheetId="8">'9.felhki'!$6:$7</definedName>
    <definedName name="_xlnm.Print_Area" localSheetId="0">'1. bevételek'!$A$1:$J$201</definedName>
    <definedName name="_xlnm.Print_Area" localSheetId="11">'12.normatívák'!$A$1:$L$59</definedName>
    <definedName name="_xlnm.Print_Area" localSheetId="1">'2. kiadások '!$A$1:$J$81</definedName>
    <definedName name="_xlnm.Print_Area" localSheetId="3">'4.önkorm.kiad.feladat'!$D$1:$AA$65</definedName>
    <definedName name="_xlnm.Print_Area" localSheetId="4">'5.PH Óvoda, Kult. kiad. feladat'!$A$1:$I$37</definedName>
    <definedName name="_xlnm.Print_Area" localSheetId="5">'6. kiadások megbontása'!$A$1:$M$101</definedName>
    <definedName name="_xlnm.Print_Area" localSheetId="6">'7. források sz. bontás'!$A$1:$AC$75</definedName>
    <definedName name="_xlnm.Print_Area" localSheetId="8">'9.felhki'!$A$1:$D$91</definedName>
  </definedNames>
  <calcPr fullCalcOnLoad="1"/>
</workbook>
</file>

<file path=xl/sharedStrings.xml><?xml version="1.0" encoding="utf-8"?>
<sst xmlns="http://schemas.openxmlformats.org/spreadsheetml/2006/main" count="2058" uniqueCount="1223">
  <si>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</si>
  <si>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</si>
  <si>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</si>
  <si>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</si>
  <si>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</si>
  <si>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</si>
  <si>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</si>
  <si>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</si>
  <si>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</si>
  <si>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</si>
  <si>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</si>
  <si>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</si>
  <si>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</si>
  <si>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</si>
  <si>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</si>
  <si>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</si>
  <si>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</si>
  <si>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</si>
  <si>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</si>
  <si>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</si>
  <si>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</si>
  <si>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</si>
  <si>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</si>
  <si>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</si>
  <si>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</si>
  <si>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</si>
  <si>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</si>
  <si>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</si>
  <si>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</si>
  <si>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</si>
  <si>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</si>
  <si>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</si>
  <si>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</si>
  <si>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</si>
  <si>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</si>
  <si>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</si>
  <si>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</si>
  <si>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</si>
  <si>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</si>
  <si>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</si>
  <si>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</si>
  <si>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</si>
  <si>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</si>
  <si>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</si>
  <si>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</si>
  <si>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</si>
  <si>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</si>
  <si>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</si>
  <si>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</si>
  <si>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</si>
  <si>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</si>
  <si>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</si>
  <si>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</si>
  <si>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</si>
  <si>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</si>
  <si>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</si>
  <si>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</si>
  <si>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</si>
  <si>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</si>
  <si>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</si>
  <si>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</si>
  <si>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</si>
  <si>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</si>
  <si>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</si>
  <si>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</si>
  <si>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</si>
  <si>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</si>
  <si>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</si>
  <si>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</si>
  <si>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</si>
  <si>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</si>
  <si>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</si>
  <si>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</si>
  <si>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</si>
  <si>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</si>
  <si>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</si>
  <si>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</si>
  <si>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</si>
  <si>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</si>
  <si>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</si>
  <si>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</si>
  <si>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</si>
  <si>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</si>
  <si>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</si>
  <si>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</si>
  <si>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</si>
  <si>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</si>
  <si>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</si>
  <si>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</si>
  <si>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</si>
  <si>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</si>
  <si>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</si>
  <si>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</si>
  <si>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</si>
  <si>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</si>
  <si>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</si>
  <si>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</si>
  <si>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</si>
  <si>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</si>
  <si>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</si>
  <si>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</si>
  <si>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</si>
  <si>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</si>
  <si>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</si>
  <si>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</si>
  <si>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</si>
  <si>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</si>
  <si>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</si>
  <si>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</si>
  <si>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</si>
  <si>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</si>
  <si>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</si>
  <si>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</si>
  <si>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</si>
  <si>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</si>
  <si>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</si>
  <si>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</si>
  <si>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</si>
  <si>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</si>
  <si>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</si>
  <si>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</si>
  <si>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</si>
  <si>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</si>
  <si>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</si>
  <si>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</si>
  <si>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</si>
  <si>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</si>
  <si>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</si>
  <si>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</si>
  <si>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</si>
  <si>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</si>
  <si>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</si>
  <si>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</si>
  <si>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</si>
  <si>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</si>
  <si>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</si>
  <si>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</si>
  <si>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</si>
  <si>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</si>
  <si>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</si>
  <si>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</si>
  <si>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</si>
  <si>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</si>
  <si>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</si>
  <si>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</si>
  <si>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</si>
  <si>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</si>
  <si>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</si>
  <si>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</si>
  <si>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</si>
  <si>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</si>
  <si>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</si>
  <si>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</si>
  <si>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</si>
  <si>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</si>
  <si>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</si>
  <si>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</si>
  <si>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</si>
  <si>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</si>
  <si>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</si>
  <si>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</si>
  <si>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</si>
  <si>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</si>
  <si>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</si>
  <si>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</si>
  <si>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</si>
  <si>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</si>
  <si>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</si>
  <si>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</si>
  <si>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</si>
  <si>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</si>
  <si>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</si>
  <si>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</si>
  <si>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</si>
  <si>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</si>
  <si>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</si>
  <si>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</si>
  <si>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</si>
  <si>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</si>
  <si>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</si>
  <si>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</si>
  <si>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</si>
  <si>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</si>
  <si>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</si>
  <si>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</si>
  <si>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</si>
  <si>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</si>
  <si>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</si>
  <si>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</si>
  <si>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</si>
  <si>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</si>
  <si>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</si>
  <si>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</si>
  <si>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</si>
  <si>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</si>
  <si>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</si>
  <si>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</si>
  <si>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</si>
  <si>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</si>
  <si>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</si>
  <si>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</si>
  <si>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</si>
  <si>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</si>
  <si>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</si>
  <si>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</si>
  <si>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</si>
  <si>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</si>
  <si>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</si>
  <si>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</si>
  <si>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</si>
  <si>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</si>
  <si>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</si>
  <si>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</si>
  <si>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</si>
  <si>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</si>
  <si>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</si>
  <si>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</si>
  <si>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</si>
  <si>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</si>
  <si>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</si>
  <si>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</si>
  <si>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</si>
  <si>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</si>
  <si>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</si>
  <si>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</si>
  <si>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</si>
  <si>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</si>
  <si>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</si>
  <si>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</si>
  <si>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</si>
  <si>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</si>
  <si>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</si>
  <si>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</si>
  <si>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</si>
  <si>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</si>
  <si>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</si>
  <si>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</si>
  <si>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</si>
  <si>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</si>
  <si>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</si>
  <si>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</si>
  <si>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</si>
  <si>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</si>
  <si>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</si>
  <si>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</si>
  <si>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</si>
  <si>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</si>
  <si>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</si>
  <si>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</si>
  <si>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</si>
  <si>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</si>
  <si>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</si>
  <si>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</si>
  <si>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</si>
  <si>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</si>
  <si>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</si>
  <si>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</si>
  <si>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</si>
  <si>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</si>
  <si>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</si>
  <si>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</si>
  <si>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</si>
  <si>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</si>
  <si>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</si>
  <si>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</si>
  <si>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</si>
  <si>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</si>
  <si>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</si>
  <si>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</si>
  <si>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</si>
  <si>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</si>
  <si>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</si>
  <si>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</si>
  <si>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</si>
  <si>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</si>
  <si>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</si>
  <si>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</si>
  <si>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</si>
  <si>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</si>
  <si>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</si>
  <si>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</si>
  <si>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</si>
  <si>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</si>
  <si>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</si>
  <si>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</si>
  <si>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</si>
  <si>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</si>
  <si>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</si>
  <si>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</si>
  <si>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</si>
  <si>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</si>
  <si>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</si>
  <si>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</si>
  <si>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</si>
  <si>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</si>
  <si>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</si>
  <si>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</si>
  <si>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</si>
  <si>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</si>
  <si>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</si>
  <si>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</si>
  <si>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</si>
  <si>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</si>
  <si>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</si>
  <si>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</si>
  <si>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</si>
  <si>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</si>
  <si>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</si>
  <si>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</si>
  <si>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</si>
  <si>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</si>
  <si>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</si>
  <si>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</si>
  <si>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</si>
  <si>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</si>
  <si>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</si>
  <si>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</si>
  <si>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</si>
  <si>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</si>
  <si>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</si>
  <si>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</si>
  <si>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</si>
  <si>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</si>
  <si>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</si>
  <si>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</si>
  <si>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</si>
  <si>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</si>
  <si>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</si>
  <si>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</si>
  <si>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</si>
  <si>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</si>
  <si>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</si>
  <si>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</si>
  <si>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</si>
  <si>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</si>
  <si>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</si>
  <si>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</si>
  <si>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</si>
  <si>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</si>
  <si>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</si>
  <si>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</si>
  <si>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</si>
  <si>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</si>
  <si>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</si>
  <si>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</si>
  <si>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</si>
  <si>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</si>
  <si>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</si>
  <si>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</si>
  <si>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</si>
  <si>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</si>
  <si>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</si>
  <si>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</si>
  <si>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</si>
  <si>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</si>
  <si>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</si>
  <si>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</si>
  <si>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</si>
  <si>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</si>
  <si>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</si>
  <si>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</si>
  <si>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</si>
  <si>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</si>
  <si>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</si>
  <si>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</si>
  <si>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</si>
  <si>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</si>
  <si>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</si>
  <si>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</si>
  <si>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</si>
  <si>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</si>
  <si>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</si>
  <si>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</si>
  <si>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</si>
  <si>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</si>
  <si>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</si>
  <si>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</si>
  <si>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</si>
  <si>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</si>
  <si>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</si>
  <si>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</si>
  <si>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</si>
  <si>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</si>
  <si>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</si>
  <si>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</si>
  <si>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</si>
  <si>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</si>
  <si>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</si>
  <si>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</si>
  <si>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</si>
  <si>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</si>
  <si>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</si>
  <si>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</si>
  <si>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</si>
  <si>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</si>
  <si>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</si>
  <si>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</si>
  <si>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</si>
  <si>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</si>
  <si>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</si>
  <si>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</si>
  <si>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</si>
  <si>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</si>
  <si>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</si>
  <si>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</si>
  <si>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</si>
  <si>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</si>
  <si>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</si>
  <si>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</si>
  <si>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</si>
  <si>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</si>
  <si>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</si>
  <si>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</si>
  <si>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</si>
  <si>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</si>
  <si>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</si>
  <si>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</si>
  <si>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</si>
  <si>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</si>
  <si>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</si>
  <si>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</si>
  <si>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</si>
  <si>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</si>
  <si>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</si>
  <si>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</si>
  <si>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</si>
  <si>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</si>
  <si>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</si>
  <si>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</si>
  <si>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</si>
  <si>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</si>
  <si>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</si>
  <si>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</si>
  <si>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</si>
  <si>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</si>
  <si>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</si>
  <si>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</si>
  <si>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</si>
  <si>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</si>
  <si>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</si>
  <si>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</si>
  <si>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</si>
  <si>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</si>
  <si>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</si>
  <si>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</si>
  <si>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</si>
  <si>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</si>
  <si>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</si>
  <si>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</si>
  <si>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</si>
  <si>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</si>
  <si>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</si>
  <si>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</si>
  <si>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</si>
  <si>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</si>
  <si>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</si>
  <si>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</si>
  <si>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</si>
  <si>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</si>
  <si>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</si>
  <si>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</si>
  <si>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</si>
  <si>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</si>
  <si>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</si>
  <si>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</si>
  <si>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</si>
  <si>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</si>
  <si>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</si>
  <si>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</si>
  <si>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</si>
  <si>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</si>
  <si>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</si>
  <si>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</si>
  <si>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</si>
  <si>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</si>
  <si>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</si>
  <si>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</si>
  <si>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</si>
  <si>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</si>
  <si>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</si>
  <si>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</si>
  <si>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</si>
  <si>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</si>
  <si>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</si>
  <si>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</si>
  <si>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</si>
  <si>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</si>
  <si>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</si>
  <si>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</si>
  <si>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</si>
  <si>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</si>
  <si>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</si>
  <si>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</si>
  <si>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</si>
  <si>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</si>
  <si>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</si>
  <si>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</si>
  <si>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</si>
  <si>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</si>
  <si>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</si>
  <si>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</si>
  <si>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</si>
  <si>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</si>
  <si>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</si>
  <si>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</si>
  <si>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</si>
  <si>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</si>
  <si>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</si>
  <si>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</si>
  <si>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</si>
  <si>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</si>
  <si>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</si>
  <si>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</si>
  <si>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</si>
  <si>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</si>
  <si>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</si>
  <si>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</si>
  <si>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</si>
  <si>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</si>
  <si>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</si>
  <si>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</si>
  <si>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</si>
  <si>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</si>
  <si>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</si>
  <si>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</si>
  <si>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</si>
  <si>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</si>
  <si>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</si>
  <si>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</si>
  <si>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</si>
  <si>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</si>
  <si>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</si>
  <si>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</si>
  <si>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</si>
  <si>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</si>
  <si>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</si>
  <si>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</si>
  <si>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</si>
  <si>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</si>
  <si>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</si>
  <si>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</si>
  <si>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</si>
  <si>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</si>
  <si>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</si>
  <si>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</si>
  <si>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</si>
  <si>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</si>
  <si>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</si>
  <si>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</si>
  <si>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</si>
  <si>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</si>
  <si>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</si>
  <si>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</si>
  <si>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</si>
  <si>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</si>
  <si>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</si>
  <si>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</si>
  <si>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</si>
  <si>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</si>
  <si>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</si>
  <si>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</si>
  <si>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</si>
  <si>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</si>
  <si>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</si>
  <si>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</si>
  <si>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</si>
  <si>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</si>
  <si>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</si>
  <si>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</si>
  <si>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</si>
  <si>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</si>
  <si>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</si>
  <si>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</si>
  <si>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</si>
  <si>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</si>
  <si>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</si>
  <si>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</si>
  <si>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</si>
  <si>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</si>
  <si>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</si>
  <si>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</si>
  <si>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</si>
  <si>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</si>
  <si>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</si>
  <si>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</si>
  <si>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</si>
  <si>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</si>
  <si>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</si>
  <si>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</si>
  <si>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</si>
  <si>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</si>
  <si>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</si>
  <si>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</si>
  <si>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</si>
  <si>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</si>
  <si>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</si>
  <si>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</si>
  <si>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</si>
  <si>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</si>
  <si>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</si>
  <si>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</si>
  <si>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</si>
  <si>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</si>
  <si>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</si>
  <si>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megelől. törleszt. (Áht. 78.§ (4) és 83.§ (3) bek.)</t>
  </si>
  <si>
    <t>Köztemetés (Szoc. tv. 48.§)</t>
  </si>
  <si>
    <t>települési támogatás (Szoc. tv. 45.§)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</si>
  <si>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</si>
  <si>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</si>
  <si>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</si>
  <si>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</si>
  <si>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</si>
  <si>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</si>
  <si>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</si>
  <si>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</si>
  <si>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</si>
  <si>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</si>
  <si>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</si>
  <si>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</si>
  <si>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</si>
  <si>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</si>
  <si>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</si>
  <si>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</si>
  <si>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</si>
  <si>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</si>
  <si>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</si>
  <si>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</si>
  <si>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</si>
  <si>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Szociális ágazati összevont pótlék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</si>
  <si>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</si>
  <si>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</si>
  <si>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</si>
  <si>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</si>
  <si>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</si>
  <si>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</si>
  <si>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</si>
  <si>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</si>
  <si>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</si>
  <si>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</si>
  <si>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</si>
  <si>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</si>
  <si>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</si>
  <si>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</si>
  <si>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</si>
  <si>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</si>
  <si>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</si>
  <si>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</si>
  <si>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</si>
  <si>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</si>
  <si>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</si>
  <si>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</si>
  <si>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</si>
  <si>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</si>
  <si>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</si>
  <si>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</si>
  <si>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</si>
  <si>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</si>
  <si>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</si>
  <si>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</si>
  <si>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</si>
  <si>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</si>
  <si>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</si>
  <si>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</si>
  <si>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</si>
  <si>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</si>
  <si>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</si>
  <si>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</si>
  <si>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</si>
  <si>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</si>
  <si>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</si>
  <si>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</si>
  <si>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</si>
  <si>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</si>
  <si>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</si>
  <si>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</si>
  <si>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</si>
  <si>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</si>
  <si>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</si>
  <si>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</si>
  <si>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</si>
  <si>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</si>
  <si>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</si>
  <si>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</si>
  <si>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</si>
  <si>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</si>
  <si>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</si>
  <si>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</si>
  <si>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</si>
  <si>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</si>
  <si>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</si>
  <si>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</si>
  <si>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</si>
  <si>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</si>
  <si>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</si>
  <si>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</si>
  <si>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</si>
  <si>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</si>
  <si>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</si>
  <si>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</si>
  <si>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</si>
  <si>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</si>
  <si>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</si>
  <si>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</si>
  <si>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</si>
  <si>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</si>
  <si>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</si>
  <si>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</si>
  <si>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</si>
  <si>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</si>
  <si>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</si>
  <si>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</si>
  <si>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</si>
  <si>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</si>
  <si>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</si>
  <si>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</si>
  <si>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</si>
  <si>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</si>
  <si>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</si>
  <si>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</si>
  <si>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</si>
  <si>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</si>
  <si>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</si>
  <si>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</si>
  <si>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</si>
  <si>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</si>
  <si>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</si>
  <si>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</si>
  <si>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</si>
  <si>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</si>
  <si>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</si>
  <si>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</si>
  <si>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</si>
  <si>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</si>
  <si>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</si>
  <si>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</si>
  <si>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209/2016.(XII.15.) Kt. hat. Pályázati önerő az "Innovatív vízgazdálkodási tervezés a határmenti régióban" projekthez</t>
  </si>
  <si>
    <t>Tűzoltó laktanya vizesblokkjának felújítása</t>
  </si>
  <si>
    <t>RGYVK-hoz kapcs. természetbeni juttatás (Erzsébet utalvány) megtérítése</t>
  </si>
  <si>
    <t>Felhalmozási célú maradvány igénybevétele</t>
  </si>
  <si>
    <t>Készletértékesítés (homokbánya)</t>
  </si>
  <si>
    <t>Készletértékesítés (búza, kukorica stb.)</t>
  </si>
  <si>
    <t>Naperőmű által termelt többlet energia értékesítésének bevétele</t>
  </si>
  <si>
    <t>Közvetített szolgáltatások értéke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</si>
  <si>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</si>
  <si>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</si>
  <si>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</si>
  <si>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</si>
  <si>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</si>
  <si>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A 2017. évről áthúzódó bérkompenzáció támogatása</t>
  </si>
  <si>
    <t>I.5.</t>
  </si>
  <si>
    <t>Polgármesteri illetmény támogatása</t>
  </si>
  <si>
    <t>Jánoshalma Városi Önkormányzat 2018. évi költségvetésében tervezett köponti költségvetési támogatások</t>
  </si>
  <si>
    <t>II.1 (1)1,2</t>
  </si>
  <si>
    <t>II.1 (2)1,2</t>
  </si>
  <si>
    <t>Alapfokú végzettségű pedagógus II. kategóriába sorolt óvodapedagógusok kiegészítő támogatása, akik a minősítést 2016.12.31-ig szerezték meg</t>
  </si>
  <si>
    <t>Alapfokú végzettségű mesterpedagógus kategóriába sorolt óvodapedagógusok kiegészítő támogatása, akik a minősítést 2016. december 31-ig szerezték meg</t>
  </si>
  <si>
    <t>III.6.</t>
  </si>
  <si>
    <t xml:space="preserve">III.7. </t>
  </si>
  <si>
    <t>Bölcsőde, minibölcsőde támogatása</t>
  </si>
  <si>
    <t>III.7. a (1)</t>
  </si>
  <si>
    <t>Felsőfokú végzettségű kisgyermeknevelők, szaktanácsadók bértámogatása</t>
  </si>
  <si>
    <t>III.7. a (2)</t>
  </si>
  <si>
    <t>Bölcsődei dajkák, középfokú végzettségű kisgyermeknevelők, szaktanácsadók bértámogatása</t>
  </si>
  <si>
    <t>III.7.b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</si>
  <si>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</si>
  <si>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</si>
  <si>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</si>
  <si>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</si>
  <si>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</si>
  <si>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Jánoshalma Városi Önkormányzat és költségvetési szervei 2018. évi költségvetésének bevételi előirányzatai</t>
  </si>
  <si>
    <t>Működési célú tartalék - Városgazda Kft. központi irányítási feladataira</t>
  </si>
  <si>
    <t>Jánoshalma Városi Önkormányzat és költségvetési szervei 2018. évi költségvetésének kiadási előirányzatai</t>
  </si>
  <si>
    <t>Jánoshalma Város Önkormányzat 2018. évi költségvetése működési és felhalmozási célú bontásban</t>
  </si>
  <si>
    <t xml:space="preserve">5.1. Elvonások és befizetések </t>
  </si>
  <si>
    <t>Jánoshalma Városi Önkormányzat  2018. évi költségvetési kiadásai feladatonként</t>
  </si>
  <si>
    <t>Önkormányzatok elszámolásai a központi költségvetéssel</t>
  </si>
  <si>
    <t>Általános gazdasági és kereskedelmi ügyek igazgatása</t>
  </si>
  <si>
    <t>Imre Zoltán Kulturális Központ és Könyvtár</t>
  </si>
  <si>
    <t>Start-munka program - Téli közfoglalkoztatás</t>
  </si>
  <si>
    <t>Hosszabb időtartamú közfoglalkoztatás</t>
  </si>
  <si>
    <t>063020</t>
  </si>
  <si>
    <t>Víztermelés, -kezelés, -ellátás</t>
  </si>
  <si>
    <t>Fejlesztési tartalék - biztonsági előírások teljesítésére</t>
  </si>
  <si>
    <t>900090</t>
  </si>
  <si>
    <t>Céltartalék -Városgazda Kft. kp-i irányítási feladatainak tám.-ra</t>
  </si>
  <si>
    <t>041110</t>
  </si>
  <si>
    <t>041232</t>
  </si>
  <si>
    <t>041233</t>
  </si>
  <si>
    <t>Óvodai étkeztetés</t>
  </si>
  <si>
    <t>Óvodai nevelés (Jánoshalmi óvodák)</t>
  </si>
  <si>
    <t>Óvodai nevelés (Kéleshalmi tagóvoda)</t>
  </si>
  <si>
    <t>Bölcsődei gyermek étkeztetés</t>
  </si>
  <si>
    <t>Közművelődés- hagyományos közösségi kult. értékek gondozása</t>
  </si>
  <si>
    <t>Jánoshalma Városi Önkormányzat és költségvetési szerveinek 2018. évi költségvetési kiadásai kötelező-, önként vállalt-, és állami (államigazgatási) feladatok szerinti bontásban</t>
  </si>
  <si>
    <t>Mötv. 13.§ (1)12.</t>
  </si>
  <si>
    <t>Mötv. 13.§ (1)11,  21.</t>
  </si>
  <si>
    <t>Mötv. 13.§ (1)13, 9.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</si>
  <si>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</si>
  <si>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</si>
  <si>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</si>
  <si>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</si>
  <si>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Jánoshalma Városi Önkormányzat  és költségvetési szerveinek 2018. évi költségvetési bevételei és  kiadásai kötelező-, önként vállalt-, és állami (államigazgatási) feladatok szerinti bontásban</t>
  </si>
  <si>
    <t>Imre Z. Kult. K. és Könyvtár</t>
  </si>
  <si>
    <t>Csatornamosó GFB túlfizetés visszatérülése</t>
  </si>
  <si>
    <t>Hosszabb időtartamú közfogl. felhalm. c. tám.</t>
  </si>
  <si>
    <t>Startmunka programok felhalm. c. támogatás</t>
  </si>
  <si>
    <t>Bölcsőde támogatása</t>
  </si>
  <si>
    <t xml:space="preserve"> TOP-1.1.2-16 Jh. térségi szerepének erősítése a mg.-ban", TOP-1.1.3-16 "Agrárlogisztikai központ építése Jh-n" c. projektek támogatása</t>
  </si>
  <si>
    <t>Tűzker IMP Bt-től vfiz.támogatás visszatérítés</t>
  </si>
  <si>
    <t>"Jánoshalmi Művésztelep energetikai felújítása" projekt támogatása (VP)</t>
  </si>
  <si>
    <t>Kéleshalom önkormányzat támogatása óvodai ellátáshoz</t>
  </si>
  <si>
    <t>Ellátási díjak (ált. isk. étkezés)</t>
  </si>
  <si>
    <t>Köztemetés kiadásának megtérítése</t>
  </si>
  <si>
    <t>Támogatott foglalkoztatás bevétele</t>
  </si>
  <si>
    <t>Könyvtári szolgáltatások ellenértéke</t>
  </si>
  <si>
    <t>Közművelődési szolgáltatások ellenértéke</t>
  </si>
  <si>
    <t>2018. évi felhalmozási kiadások feladatonként, felújítási kiadások célonként</t>
  </si>
  <si>
    <t>Tűzoltó laktanya felújítása</t>
  </si>
  <si>
    <t>Alapfokú végzettségű pedagógus II. kategóriába sorolt óvodapedagógusok kiegészítő támogatása, akik a minősítést a 2018. január 1-jei átsorolással szerezték meg</t>
  </si>
  <si>
    <t>Alapfokú végzettségű mesterpedagógus kategóriába sorolt óvodapedagógusok kiegészítő támogatása, akik a minősítést a 2018. január 1-jei átsorolással szerezték meg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</si>
  <si>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</si>
  <si>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 (előzetes tanulmányok, engedélyezési dokumentumok költségei)</t>
  </si>
  <si>
    <t>58/2015.(III.26) Kt. hat.  TOP-1.1.3-16-BK1 - "Agrárlogisztikai központ építése Jánoshalmán c. projekt (előzetes tanulmányok, engedélyezési dokumentumok költségei)</t>
  </si>
  <si>
    <t>58/2015.(III.26) Kt. hat.  TOP-2.1.3-16-BK1 - "Jánoshalma belvíz elvezetése I. ütem" c. projekt</t>
  </si>
  <si>
    <t>Viziközművek felújítása a viziközművek 2018. évi bérleti díj bevételéből</t>
  </si>
  <si>
    <t>58/2015.(III.26) Kt. hat. TOP-2.1.2-16-BK1 - "Zöld tér felújítása Jánoshalmán" c. projekt (előzetes tanulmányok, engedélyezési dokumentumok költségei)</t>
  </si>
  <si>
    <t xml:space="preserve">173/2017.(X.26.) Kt. hat. Pályázati önerő - MLSZ "Telephely korszerűsítési program" pályázathoz </t>
  </si>
  <si>
    <t xml:space="preserve">207/2017.(XI.29.) Kt. hat. Pályázati önerő - MLSZ "Kedvezményes pályaépítési program" pályázathoz </t>
  </si>
  <si>
    <t>Fényképezőgép, területmérő, további eszközbeszerzések</t>
  </si>
  <si>
    <t xml:space="preserve">Fejlesztési célú tartalék - kötelező elektronikus ügyintézéshez kapcsolódó biztonsági előírások teljesítésére (2015. évi CCXXII. tv.) </t>
  </si>
  <si>
    <t>72/2017.(IV.20.) Kt. hat. Belterületi utak, járdák felújítása (önerő és központi támogatás)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</si>
  <si>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</si>
  <si>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</si>
  <si>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</si>
  <si>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</si>
  <si>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</si>
  <si>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</si>
  <si>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</si>
  <si>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</si>
  <si>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</si>
  <si>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</si>
  <si>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</si>
  <si>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"A Jánoshalmi Művésztelep energetikai felújítása" (Vidékfejlesztési Program)</t>
  </si>
  <si>
    <t>Felújítási kiadások (elszámolható)</t>
  </si>
  <si>
    <t>Felújítási kiadások (nem elszámolható)</t>
  </si>
  <si>
    <t>A 2018. évi költségvetésben tervezett, EU-forrásból finanszírozott  támogatással megvalósuló projektek kiadásai, a helyi önkormányzat ilyen projektekhez történő hozzájárulásai</t>
  </si>
  <si>
    <t xml:space="preserve">2018. évi költségvetésben tervezett kiadási előirányzatok   </t>
  </si>
  <si>
    <t>A helyi önkormányzat által irányított költségvetési szervek 2018. évi költségvetési kiadásai feladatonként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</si>
  <si>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</si>
  <si>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</si>
  <si>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</si>
  <si>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</si>
  <si>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</si>
  <si>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</si>
  <si>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</si>
  <si>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</si>
  <si>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Közvetített szolg. értéke (műv. okt. rezsi ktg.)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</si>
  <si>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</si>
  <si>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</si>
  <si>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</si>
  <si>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Imre Zoltán Kulturális Központ és Könyvtár kiadásai össz.:</t>
  </si>
  <si>
    <t>018010</t>
  </si>
  <si>
    <t>102031</t>
  </si>
  <si>
    <t>Idősek nappali ellátása</t>
  </si>
  <si>
    <t>107013</t>
  </si>
  <si>
    <t>Hajléktalanok átmeneti ellátása - éjjeli menedékhelyen</t>
  </si>
  <si>
    <t>107015</t>
  </si>
  <si>
    <t>Hajléktalanok nappali ellátása - Nappali melegedő</t>
  </si>
  <si>
    <t>107052</t>
  </si>
  <si>
    <t>Házi segítségnyújtás</t>
  </si>
  <si>
    <t>36</t>
  </si>
  <si>
    <t>37</t>
  </si>
  <si>
    <t>Szoc. tv. 86.§ (1) d,</t>
  </si>
  <si>
    <t xml:space="preserve">Mötv. 13.§ (1) 10. </t>
  </si>
  <si>
    <t>Hajléktalanok átmeneti ellátása</t>
  </si>
  <si>
    <t>Hajléktalanok nappali ellátása</t>
  </si>
  <si>
    <t>Szoc. tv. 86.§ (1) c,</t>
  </si>
  <si>
    <t>38</t>
  </si>
  <si>
    <t>39</t>
  </si>
  <si>
    <t>51/2016.(III.24.) Kt. Hat. Jánoshalmi Művésztelep energetikai felújítása, közösségi terek fejlesztése pályázati  önerő és támogatás, 16/2018. (I.25) Kt. hat. alapján 670eFt + Áfa keretösszeg biztosítása kiviteli tervek elkészítésére és tervezői művezetésre</t>
  </si>
  <si>
    <t>224/2017.(XII.14) Kt. hat.  VP6-19.2.1-32-1-17  "Települések élhetőbbé tétele" c. pályázathoz önerő  és 20 eFt keret a nem elszámolható költségekre (gépjármű tároló építése a Mélykúti u. 7. sz. alatt) 17/2018.(I.25) Kt. hat. alapján nem elszámolható kiadásokra 495.250,- Ft keretösszeg</t>
  </si>
  <si>
    <t xml:space="preserve">2018. évi költségvetésben tervezett bevételi előirányzatok    </t>
  </si>
  <si>
    <t>Integrált térségi gyermekprogramok  - "Együtt könnyebb" komplex prevenciós és társadalmi felzárkóztató program a gyermekszegénység ellen (EFOP-1.4.2-16-2016-00020)</t>
  </si>
  <si>
    <t>Önkormányzati bérlakások felújítása</t>
  </si>
  <si>
    <t>082091</t>
  </si>
  <si>
    <t>Országgyűlési képviselők 2018. évi választása</t>
  </si>
  <si>
    <t>EFOP-3.2.9-16-2016-00044 "Segítsd, hogy segíthessen!" c. projekt</t>
  </si>
  <si>
    <t>EFOP-3.9.2-16-2017-00057 "Járásokat összekötő humán kapacitások fejlesztése térségi szemléletben" c. projekt</t>
  </si>
  <si>
    <t xml:space="preserve">Államháztartáson belüli megelőlegezések </t>
  </si>
  <si>
    <t>40</t>
  </si>
  <si>
    <t>2013. évi XXXVI.törvány a választási eljárásról</t>
  </si>
  <si>
    <t>Ve.</t>
  </si>
  <si>
    <t>Startmunka programok működési c. támogatás</t>
  </si>
  <si>
    <t>Hosszabb időtartamú közfogl. működési c. tám.</t>
  </si>
  <si>
    <t>EFOP-1.5.3-16-2017-00082"Együtt vagyunk, otthon vagyunk…"pr. felh. c. tám.</t>
  </si>
  <si>
    <t>EFOP-1.5.3-16-2017-00082"Együtt vagyunk, otthon vagyunk…"pr. műk. c. tám.</t>
  </si>
  <si>
    <t>EFOP-3.9.2-16-2017-00057 "Járásokat összekötő humán kapacitások..."pr. műk. c. tám.</t>
  </si>
  <si>
    <t>EFOP-3.3.2-16-2016-00284 "Kultúrával az oktatás színesítéséért"pr. műk. c. tám.</t>
  </si>
  <si>
    <t>EFOP-3.3.2-16-2016-00284 "Kultúrával az oktatás színesítéséért"pr. felh. c. tám.</t>
  </si>
  <si>
    <t>2018. évi bérkompenzáció támogatása</t>
  </si>
  <si>
    <t>Helyi önkormányzatok működésének ált. tám.</t>
  </si>
  <si>
    <t>EFOP-3.9.2-16-2017-00057 "Járásokat összekötő humán kapacitások..."pr. felh. c. tám.</t>
  </si>
  <si>
    <t>Működési célú maradvány igénybevétele "Segítsd, hogy segíthessen!" pr.</t>
  </si>
  <si>
    <t>Felhalm. célú maradvány igénybevétele "Segítsd, hogy segíthessen!" pr.</t>
  </si>
  <si>
    <t>2017. decemberi bérkompenzáció</t>
  </si>
  <si>
    <t>Bölcsődei pótlék</t>
  </si>
  <si>
    <t>2017. december havi bérkompenzáció (68.320-8.784,-=59.536,-Ft), szoc. ágazati összevont pótlék (9.189.220,- Ft) támogatása</t>
  </si>
  <si>
    <t>Bölcsőde 2017. december havi bérkompenzáció 8.784,- Ft, 2018. évi tervezett bérkompenzáció 78.870,-Ft.</t>
  </si>
  <si>
    <t xml:space="preserve">Kulturális illetménypótlék 2018. évi terv </t>
  </si>
  <si>
    <t>2018. március hónapban indult hosszabb időtartamú közfoglalkoztatás beruházási kiadása</t>
  </si>
  <si>
    <t>2018. március hónapban indult járási startmunka mintaprogramok - közfoglalkoztatás beruházási kiadása</t>
  </si>
  <si>
    <t>EFOP-1.5.3-16-2017-00082 "Együtt vagyunk, otthon vagyunk és itt maradunk" projekt keretében játszótér felújítás</t>
  </si>
  <si>
    <t>EFOP-3.3.2-16-2016-00284 "Kulturával az oktatás színesítéséért" projekt eszközbeszerzései</t>
  </si>
  <si>
    <t>Gyermeklánc Óvoda és Bölcsőde, Család- és Gyermekjóléti Központ  összesen:</t>
  </si>
  <si>
    <t xml:space="preserve">EFOP-3.9.2-16-2017-00057 "Járásokat összekötő humán kapacitások fejlesztése térségi szemléletben" projekt beruházási kiadása </t>
  </si>
  <si>
    <t xml:space="preserve">EFOP-3.2.9-16-2016-00044 "Segítsd, hogy segíthessen!" projekt beruházási kiadása </t>
  </si>
  <si>
    <t>2018. évi bérkompenzáció</t>
  </si>
  <si>
    <t>IV.3.</t>
  </si>
  <si>
    <t>Kulturális illetménypótlék</t>
  </si>
  <si>
    <t>Bölcsődében foglalkoztatott középfokú végzettséggel rendelkező kisgyermeknevelőt megillető bölcsődei pótlék</t>
  </si>
  <si>
    <t>3. melléklet jogcímei mindösszesen:</t>
  </si>
  <si>
    <t>a Magyarország 2018. évi központi költségvetéséről szóló 2017. évi C. törvény 2. sz. és 3. sz. mellékletének jogcímei szerint</t>
  </si>
  <si>
    <t>"Együtt vagyunk, otthon vagyunk és itt maradunk" c. projekt (EFOP-1.5.3-16-2017-00082)</t>
  </si>
  <si>
    <t>Támogatás (elszámolható)</t>
  </si>
  <si>
    <t xml:space="preserve">"Kulturával az oktatás színesítéséért" c. projekt (EFOP-3.3.2-16-2016-00284) </t>
  </si>
  <si>
    <t>Fejlesztési célú tartalék - kötelező elektronikus ügyintézéshez kapcsolódó biztonsági előírások teljesítésére</t>
  </si>
  <si>
    <t>Q</t>
  </si>
  <si>
    <t>Ügyeleti ellátáshoz önkormányzatoktól átvett pénzeszköz</t>
  </si>
  <si>
    <t>"Segítsd, hogy segíthessen!" c. projekt (EFOP-3.2.9-16-2016-00044)</t>
  </si>
  <si>
    <t xml:space="preserve">"Járásokat összekötő humán kapacitások fejlesztése térségi szemléletben" c. projekt (EFOP-3.9.2-16-2017-00057) </t>
  </si>
  <si>
    <t>Jánoshalma Városi Önkormányzat ASP központhoz való csatlakozása (KÖFOP-1.2.1-VEKOP-16-2017-00938)</t>
  </si>
  <si>
    <t>Tervezett tartalékok</t>
  </si>
  <si>
    <t>Vis maior tartalék (működési)</t>
  </si>
  <si>
    <t>Céltartalék (működési)</t>
  </si>
  <si>
    <t>Környezetvédelmi alap a 2018. évre tervezett talajterhelési díj bevételből</t>
  </si>
  <si>
    <t xml:space="preserve">A Városgazda Kft. központi irányítási feladatainak támogatására 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</si>
  <si>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</si>
  <si>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</si>
  <si>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</si>
  <si>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</si>
  <si>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 xml:space="preserve">Kötelező elektronikus ügyintézéshez kapcsolódó biztonsági előírások teljesítésére (2015. évi CCXXII. tv.) </t>
  </si>
  <si>
    <t>Felhalmozási tartalékok összesen (II.):</t>
  </si>
  <si>
    <t>Tartalékok mindösszesen (I.+II.)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</si>
  <si>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</si>
  <si>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</si>
  <si>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</si>
  <si>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</si>
  <si>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</si>
  <si>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</si>
  <si>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</si>
  <si>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</si>
  <si>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</si>
  <si>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46/2018.(III.29) Kt. hat. KEOP-4.2.0/A/11-2011-0260 pályázat (Hunyadi János Ált. Isk. napelemes rendszer kiépítése) fenntartási jelentésének javítása</t>
  </si>
  <si>
    <t>47/2018.(III.29) Kt. hat. Bajai u. 4. sz. alatti ingatlan elektromos tűzvédelmi felülvizsgálata</t>
  </si>
  <si>
    <t>48/2018.(III.29) Kt. hat. Bernáth Zoltán utcán fekvőrendőr elhelyezése</t>
  </si>
  <si>
    <t>52/2018.(III.29) Kt. hat. Munka- és tűzvédelmi feladatok ellátása</t>
  </si>
  <si>
    <t>62/2018.(IV.26) Kt. hat. Ipari területen figyelő kutak vízmintavételi költsége</t>
  </si>
  <si>
    <t>63/2018.(IV.26) Kt. hat. Önkormányzati feladatellátást szolgáló fejlesztések (Óvoda fejlesztés) támogatása pályázati önerő</t>
  </si>
  <si>
    <t>64/2018.(IV.26) Kt. hat. Közbeszerzési szabályzat készítésének költsége</t>
  </si>
  <si>
    <t>65/2018.(IV.26) Kt. hat. "Kedvezményes Pályaépítési Program" kivitelezési munkálatai</t>
  </si>
  <si>
    <t>67/2018.(IV.26) Kt. hat. Kistérségi infokommunikációs vagyon megoszlásának feltárásához fedezet biztosítása</t>
  </si>
  <si>
    <t>70/2018.(IV.26) Kt. hat. A naperőmű park KÁT-METÁR rendszerhez történő csatlakozása</t>
  </si>
  <si>
    <t>Alaptevékenység maradványából képzett tartalék</t>
  </si>
  <si>
    <t>2017. évi alaptevékenység maradványából tartalék képzés</t>
  </si>
  <si>
    <t>2017. évi maradványt terhelő kötelezettségek</t>
  </si>
  <si>
    <t>Vállalkozási tevékenység maradványából képzett tartalék</t>
  </si>
  <si>
    <t>2017. évi vállalkozási tevékenység maradványából tartalék képzés</t>
  </si>
  <si>
    <t>Környezetvédelmi alap (előző évek maradványa)</t>
  </si>
  <si>
    <t>Környezetvédelmi alap összesen:</t>
  </si>
  <si>
    <t>A Városgazda Kft. központi irányítási feladatainak támogatására összesen:</t>
  </si>
  <si>
    <t>Céltartalék (működési) összesen:</t>
  </si>
  <si>
    <t>Céltartalék- viziközművek bérleti díj bevétel maradványa előző évekről</t>
  </si>
  <si>
    <t>Egyéb műk. c. támogatások államháztartáson belülre</t>
  </si>
  <si>
    <t xml:space="preserve">K506 </t>
  </si>
  <si>
    <t>Fejlesztési célú tartalék - viziközművek fejlesztésére</t>
  </si>
  <si>
    <t>5.3. Egyéb műk. célú támogatások államh.-on belülre</t>
  </si>
  <si>
    <t>5.4. Egyéb műk. célú támogatások államh.-on kívülre</t>
  </si>
  <si>
    <t>5.5. Tartalékok</t>
  </si>
  <si>
    <t>Óvodai nevelés, ellátás működtetési feladatai</t>
  </si>
  <si>
    <t>Szennyvízcsatorna építése, fenntartása, üzemeltetése</t>
  </si>
  <si>
    <t>Műk. célú tám. ÁH-on belülre</t>
  </si>
  <si>
    <t>Vállalk. maradv-ból képzett tartalék</t>
  </si>
  <si>
    <t>Alaptev. maradványból képzett tartalék</t>
  </si>
  <si>
    <t>Fejlesztési tartalék - Viziközművek fejlesztésére</t>
  </si>
  <si>
    <t>049010</t>
  </si>
  <si>
    <t>Máshova nem sorolt gazdasági ügyek</t>
  </si>
  <si>
    <t>082042</t>
  </si>
  <si>
    <t>41</t>
  </si>
  <si>
    <t>42</t>
  </si>
  <si>
    <t>Viziközmű számla - átvett pénzeszköz</t>
  </si>
  <si>
    <t>Kéményseprő-ipari közszolgáltatás támogatása</t>
  </si>
  <si>
    <t>Könyvtári érdekeltségnövelő támogatás</t>
  </si>
  <si>
    <t>Nyitnikék Gyerekház EMMI-fejezeti fejl. c. támogatása</t>
  </si>
  <si>
    <t>TOP 1.4.1-16-BK1-2017-00002 Bölcsődei fejleszt. tám.</t>
  </si>
  <si>
    <t>Egyedi költségvetési támogatás</t>
  </si>
  <si>
    <t>Bernáth Zoltán utcán fekvőrendőr elhelyezése</t>
  </si>
  <si>
    <t>207/2017.(XI.29.) Kt. és 65/2018(IV.26.) Kt.  határozatok  MLSZ "Kedvezményes pályaépítési program" pályázathoz szükséges tervrajz készítése, kivitelezési munkák</t>
  </si>
  <si>
    <t>89/2018.(V.24.) Kt. határozat  MLSZ "Telephely korszerűsítési program" megnövekedett önrész és szakfelügyeleti költségek biztosítása</t>
  </si>
  <si>
    <t>Bölcsődei udvar kialakítása - Bölcsőde</t>
  </si>
  <si>
    <t>Egyéb tárgyi eszközök beszerzése, Microsoft Office program  - Család- és Gyermekjóléti Központ</t>
  </si>
  <si>
    <t>Egyéb tárgyi eszközök beszerzése, Microsoft Office program - Család- és Gyermekjóléti Szolgálat</t>
  </si>
  <si>
    <t xml:space="preserve">Egyéb tárgyi eszközök beszerzése (Panda vírusírtó 10.000 Ft + Áfa /gép (Jánoshalmi óvoda 9 gép, Nyitnikék Gyerekház 2 gép), Microsoft Office program, fűnyíró) </t>
  </si>
  <si>
    <t>Nyitnikék Gyerekház- felújítási munkálatok Dózsa Gy. u.</t>
  </si>
  <si>
    <t xml:space="preserve">TOP-1.4.1-16-BK1-2017-00002 "Bölcsődei fejlesztések Bács-Kiskun megyében" projekt beruházási kiadása </t>
  </si>
  <si>
    <t>Szennyvízberuházással kapcsolatos érdekeltségi hozzájárulások lakossági elszámolásából fakadó visszafizetési kötelezettség</t>
  </si>
  <si>
    <t xml:space="preserve">Fejlesztési célú tartalék - viziközművek előző évek bérleti díj bevételéből (szerződés szerint viziközművek fejlesztésére fordítandó a szolgáltatóval történő egyeztetés alapján) </t>
  </si>
  <si>
    <t>Kéményseprő-ipari közszolgáltatás helyi önkormányzat általi ellátásának támogatása</t>
  </si>
  <si>
    <t>2.</t>
  </si>
  <si>
    <t>IV.1.i</t>
  </si>
  <si>
    <t>A települési önkormányzatok könyvtári célú érdekeltségnövelő támogatása</t>
  </si>
  <si>
    <t>Háziorvosi Ügyeleti szolgálat - 1 db heverő nővér szobába, 1 db telefon, 1 db hordozható defibrillátor akku, 1 db tápegység, 1 db szünetmentes táp APC, 1 db HDD 500 GB</t>
  </si>
  <si>
    <t>TOP-1.4.1-16-BK1-2017-00002 "Bölcsődei fejlesztések Bács-Kiskun megyében" c. projekt</t>
  </si>
  <si>
    <t>4 db szavazófülke vásárlása választáshoz</t>
  </si>
  <si>
    <t>Nyitnikék Gyerekház fejlesztőeszközök beszerzése, tárolóhely kialakítás</t>
  </si>
  <si>
    <t>104031</t>
  </si>
  <si>
    <t>TOP-1.4.1-16-BK1-2017-00002 "Bölcsődei fejlesztések Bács-Kiskun megyében" projekt</t>
  </si>
  <si>
    <t>43</t>
  </si>
  <si>
    <t>"Bölcsődei fejlesztések Bács-Kiskun megyében"  (TOP-1.4.1-16-BK1-2017-00002)</t>
  </si>
  <si>
    <t>44</t>
  </si>
  <si>
    <t>45</t>
  </si>
  <si>
    <t xml:space="preserve">A helyi önkormányzat és költségvetési szervei engedélyezett létszáma és a közfoglalkoztatottak létszáma 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</si>
  <si>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</si>
  <si>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</si>
  <si>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</si>
  <si>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</si>
  <si>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</si>
  <si>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</si>
  <si>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</si>
  <si>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</si>
  <si>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</si>
  <si>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</si>
  <si>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</si>
  <si>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</si>
  <si>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Jánoshalmi tagóvodák                          </t>
  </si>
  <si>
    <t xml:space="preserve">- Óvónő </t>
  </si>
  <si>
    <t>- Pedagógiai asszisztens</t>
  </si>
  <si>
    <t xml:space="preserve">- Óvodai dajka </t>
  </si>
  <si>
    <t>- Óvodatitkár</t>
  </si>
  <si>
    <t>- Technikai dolgozók  (2 fő részfoglalk. napi 4 órában)</t>
  </si>
  <si>
    <t>Bölcsődei csoport</t>
  </si>
  <si>
    <t>Felsőfokú végzettségű kisgyermeknevelő</t>
  </si>
  <si>
    <t>Középfokú végzettségű kisgyermeknevelő</t>
  </si>
  <si>
    <t>Bölcsődei dajka</t>
  </si>
  <si>
    <t xml:space="preserve">Nyitnikék Gyerekház </t>
  </si>
  <si>
    <t>Gyermekház vezető</t>
  </si>
  <si>
    <t>Szakmai munkatárs</t>
  </si>
  <si>
    <t>Kéleshalmi tagintézmény</t>
  </si>
  <si>
    <t>- Óvónő</t>
  </si>
  <si>
    <t>- Óvodai dajka</t>
  </si>
  <si>
    <t>- Szakmai vezető</t>
  </si>
  <si>
    <t>- Esetmenedzser és tanácsadó</t>
  </si>
  <si>
    <t>- Esetmenedzser és tanácsadó (részfoglalk. napi 4 órában)</t>
  </si>
  <si>
    <t>- Esetmenedzser és tanácsadó (részfoglalk. napi 5 órában)</t>
  </si>
  <si>
    <t>- Szakmai vezető (részfoglalk. napi 4 órában)</t>
  </si>
  <si>
    <t>- Családsegítő</t>
  </si>
  <si>
    <t>EFOP-3.9.2-16-2017-00057 "Járásokat összekötő humán kapacitások fejlesztése térségi szemléletben" projekt</t>
  </si>
  <si>
    <t>Óvodapedagógus</t>
  </si>
  <si>
    <t>Gyógytornász</t>
  </si>
  <si>
    <t>EFOP-3.2.9-16-2016-00044 "Segítsd, hogy segíthessen!" projekt</t>
  </si>
  <si>
    <t>Szociális segítő</t>
  </si>
  <si>
    <t xml:space="preserve">- Köztisztviselők                      </t>
  </si>
  <si>
    <t>- MT hatálya alá tartozó munkavállaló</t>
  </si>
  <si>
    <t>Önkormányzati tisztségviselők</t>
  </si>
  <si>
    <t>- Polgármester</t>
  </si>
  <si>
    <t>- Főállású alpolgármester</t>
  </si>
  <si>
    <t>Önkormányzati Tűzoltóság</t>
  </si>
  <si>
    <t>- Vonuló tűzoltók</t>
  </si>
  <si>
    <t>Építményüzemeltetés</t>
  </si>
  <si>
    <t>- Gazdasági ügyintéző (Gyermeklánc Óvoda számviteli-gazdálkodási feladatai)</t>
  </si>
  <si>
    <t>Gyermekétkeztetés</t>
  </si>
  <si>
    <t>- Gazdasági ügyintéző (térítési díjak beszedése, étkezők nyilvántartása)</t>
  </si>
  <si>
    <t>Igazgatási tevékenység</t>
  </si>
  <si>
    <t>- Szociális segítő</t>
  </si>
  <si>
    <t>- Közfoglalkoztatási ügyintéző</t>
  </si>
  <si>
    <t>Ügyeleti Szolgálat</t>
  </si>
  <si>
    <t>- Gépkocsivezető</t>
  </si>
  <si>
    <t>Védőnői Szolgálat</t>
  </si>
  <si>
    <t>- Védőnők</t>
  </si>
  <si>
    <t>EFOP-1.4.2-16-2016-00020 "Együtt könnyebb" komplex prevenciós és társadalmi felzárkóztató program a gyermekszegénység ellen (GYEP-II.)</t>
  </si>
  <si>
    <t>- Pénzügyi vezető (részmunkaidős napi 4 órában)</t>
  </si>
  <si>
    <t>- Projektmenedzser (részmunkaidős napi 4 órában)</t>
  </si>
  <si>
    <t>- Szakmai munkatárs</t>
  </si>
  <si>
    <t>- Szakterületi koordinátor (teljes munkaidős)</t>
  </si>
  <si>
    <t>- Szakterületi koordinátor (1 fő napi 4 órában)</t>
  </si>
  <si>
    <t>- Szakmai asszisztens</t>
  </si>
  <si>
    <t>EFOP-1.5.3-16-2017-00082 "Együtt vagyunk, otthon vagyunk és itt maradunk" projekt</t>
  </si>
  <si>
    <t xml:space="preserve">Prevenciós munkatárs </t>
  </si>
  <si>
    <t>Ifjúsági referens</t>
  </si>
  <si>
    <t>Szatyorközösség vezető</t>
  </si>
  <si>
    <t>Közösségszervező</t>
  </si>
  <si>
    <t>EFOP-3.3.2-16-2016-00284 "Kultúrával az oktatás színesítéséért" projekt</t>
  </si>
  <si>
    <t>Szakmai vezető</t>
  </si>
  <si>
    <t xml:space="preserve">- Könyvtáros                      </t>
  </si>
  <si>
    <t>- Művelődésszervező</t>
  </si>
  <si>
    <t>- Technikus</t>
  </si>
  <si>
    <t>- Adminisztrátor</t>
  </si>
  <si>
    <t>HELYI ÖNKORMÁNYZAT ÉS INTÉZMÉNYEI ÖSSZESEN:</t>
  </si>
  <si>
    <t xml:space="preserve">Közfoglalkoztatás </t>
  </si>
  <si>
    <t>Start-munka program - Téli közfoglalkoztatás (2017. évről áthúzódó programok 2018.02.28-ig)</t>
  </si>
  <si>
    <t>Bio- és megújuló energia felhasználás programelem</t>
  </si>
  <si>
    <t>Belterületi közutak karbantartása programelem</t>
  </si>
  <si>
    <t>Belvízelvezetés programelem</t>
  </si>
  <si>
    <t>Start-munka program - Téli közfoglalkoztatás (2018. március 1-től indult programok 2019.02.28-ig)</t>
  </si>
  <si>
    <t>Illegális hulladéklerakóhelyek felszámolása programelem</t>
  </si>
  <si>
    <t>Hosszabb időtartamú közfoglalkoztatás (2017. évről áthúzódó programok 2018.02.28-ig)</t>
  </si>
  <si>
    <t>12 fő álláskereső közfoglalkoztatása (Roma védőháló)</t>
  </si>
  <si>
    <t>72 fő álláskereső közfoglalkoztatása (Intézményes)</t>
  </si>
  <si>
    <t>Hosszabb időtartamú közfoglalkoztatás (2018. március 1-től indult programok 2019.02.28-ig)</t>
  </si>
  <si>
    <t>KÖZFOGLALKOZTATOTTAK LÉTSZÁMA ÖSSZESEN:</t>
  </si>
  <si>
    <t>Bethlen G. Alap- Jánoshalmi Napok 2018. tám.</t>
  </si>
  <si>
    <t>Működési c. vtérítendő támogatások, kölcsönök nyújtása ÁH-on kívülre</t>
  </si>
  <si>
    <t>Műk. c. vtérítendő tám., kölcsönök nyújtása ÁH-on kívülre</t>
  </si>
  <si>
    <t>082092</t>
  </si>
  <si>
    <t>Közművelődés-hagyományos közösségi kulturális értékek gondozása</t>
  </si>
  <si>
    <t>46</t>
  </si>
  <si>
    <t>47</t>
  </si>
  <si>
    <t>Kamatbevétel, ÁFA visszatérítés</t>
  </si>
  <si>
    <t>EFOP-1.4.2-16-2016-00020 Integrált térs. gyermekpr. "Együtt könnyebb" támogatása</t>
  </si>
  <si>
    <t>Hosszabb időtartamú közfoglalkoztatás (2018. július 1-től indult program 2019.02.28-ig)</t>
  </si>
  <si>
    <t>23 fő álláskereső közfoglalkoztatása</t>
  </si>
  <si>
    <t>Közművelődési és könyvtári feladatellátás eszközeinek megvásárlása</t>
  </si>
  <si>
    <t>Művészet oktatás eszközeinek és hangszerek megvásárlása</t>
  </si>
  <si>
    <t>EFOP-1.4.2-16-2016-00020 "Együtt könnyebb" c. projekt eszközbeszerzései</t>
  </si>
  <si>
    <t>Panda vírusvédelmi szoftver beszerzése</t>
  </si>
  <si>
    <t>20 db Panda vírusvédelmi szoftver beszerzése</t>
  </si>
  <si>
    <t>Kötelező elektronikus ügyintézéshez kapcsolódó biztonsági előírások teljesítésére (2015. évi CCXXII. tv.) céltartalék összesen: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</si>
  <si>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</si>
  <si>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</si>
  <si>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</si>
  <si>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</si>
  <si>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Nyári diákmunka program</t>
  </si>
  <si>
    <t>Jánoshalmi Napok asztalfoglalásának bevétele</t>
  </si>
  <si>
    <t>Nyári diákmunka program támogatása</t>
  </si>
  <si>
    <t>NYÁRI DIÁKMUNKÁSOK LÉTSZÁMA ÖSSZESEN:</t>
  </si>
  <si>
    <t>Önkormányzati rendezvények fedezet biztosítására</t>
  </si>
  <si>
    <t>Kötelező önk-i feladatot ellátó intézmények fejlesztése, felújítása -Radnóti u-i óvodafelújítás támogatása</t>
  </si>
  <si>
    <t>Önkormányzati feladatellátást szolgáló fejlesztések tám. pályázat - Óvoda fejlesztés önerő és közp-i tám.</t>
  </si>
  <si>
    <t>2.a,</t>
  </si>
  <si>
    <t>Önk-i feladatellátást szolgáló fejlesztések - óvodafelújítás támogatása</t>
  </si>
  <si>
    <t>GIRODirect szolgáltatáshoz történő csatlakozással összefüggő kiadások</t>
  </si>
  <si>
    <t>Álláskeresők közfoglalkoztatása (induló létszám 94 fő)</t>
  </si>
  <si>
    <t>082061</t>
  </si>
  <si>
    <t>047450</t>
  </si>
  <si>
    <t>062020</t>
  </si>
  <si>
    <t>053010</t>
  </si>
  <si>
    <t>095020</t>
  </si>
  <si>
    <t>107080</t>
  </si>
  <si>
    <t>Esélyegyenlőség elősegítését célzó tevékenységek és programok  (EFOP-3.3.2-16-2016-00284 projekt)</t>
  </si>
  <si>
    <t>Esélyegyenlőség elősegítését célzó tevékenységek és programok  (EFOP-1.5.3.-16-2017-00082 projekt)</t>
  </si>
  <si>
    <t>Környezetszennyezés csökkentésének igazgatása (TOP-3.2.1-16-BK1-2017-00059 projekt)</t>
  </si>
  <si>
    <t>Településfejlesztési projektek és támogatásuk (TOP-2.1.2-16-BK1-2017-00003 projekt)</t>
  </si>
  <si>
    <t>Önk-i vagyonnal való gazdálkodással kapcs. feladatok (TOP-1.1.3-16-BK1-2017-00007 projekt)</t>
  </si>
  <si>
    <t>Önk-i vagyonnal való gazdálkodással kapcs. feladatok (TOP-1.1.1-15-BK1-2016-00006 projekt)</t>
  </si>
  <si>
    <t>Szektorhoz nem köthető komplex gazdaságfejlesztési projektek támogatása (TOP-1.1.2-16-BK1-2017-00005 projekt)</t>
  </si>
  <si>
    <t>Közművelődés-közösségi és társadalmi részvétel fejlesztése (TOP-5.3.1-16-BK1-2017-00015 projekt)</t>
  </si>
  <si>
    <t>Üdülői szálláshely-szolgáltatás és étkeztetés</t>
  </si>
  <si>
    <t>A gyermekek, fiatalok és családok életminőségét javító programok (EFOP-1.4.2-16-2016-00020  projekt)</t>
  </si>
  <si>
    <t>Iskolarendszeren kívüli egyéb oktatás, képzés (EFOP-3.9.2-16-2017-00057 projekt)</t>
  </si>
  <si>
    <t>27. Egészségügyi ellátás</t>
  </si>
  <si>
    <t>48</t>
  </si>
  <si>
    <t>49</t>
  </si>
  <si>
    <t>50</t>
  </si>
  <si>
    <t>51</t>
  </si>
  <si>
    <t>52</t>
  </si>
  <si>
    <t>53</t>
  </si>
  <si>
    <t>54</t>
  </si>
  <si>
    <t>55</t>
  </si>
  <si>
    <t>Pedagógiai szakmai szolgáltatás</t>
  </si>
  <si>
    <t xml:space="preserve">168/2017.(IX.28.) Kt. hat. és 120/2018.(VII.18.) Kt. hat. Pályázati önerő - a konyhafejlesztésre benyújtott VP 6-7.2.1-7.4.1.3-17 kódszámú pályázathoz </t>
  </si>
  <si>
    <t xml:space="preserve">140/2018.(IX.27.) Kt. hat. Homokbánya bányaművelési térkép elkészíttetése </t>
  </si>
  <si>
    <t>208/2016.(XII.15.) Kt. hat. és 145/2018.(IX.27) Kt. hat. Pályázati önerő VP6-7.2.1-7.4.2-16. kódszámú pályázathoz (közutak karbantartásához erő- és munkagépek beszerzése)</t>
  </si>
  <si>
    <t xml:space="preserve">151/2018.(IX.27) Kt. hat. Jánoshalma Radnóti u. 13. (volt Gimnázium épület) tetőfeljújítása </t>
  </si>
  <si>
    <t xml:space="preserve">153/2018.(IX.27.) Kt. hat. Esőbeálló kialakítása Béke téri buszöbölnél </t>
  </si>
  <si>
    <t>156/2018.(IX.27.) Kt. hat. Esőbeálló MLSZ Telephely Korszerűsítési program - Sportpálya műfüves pályájához mobil lelátó pályázati önerő</t>
  </si>
  <si>
    <t xml:space="preserve">160/2018.(X.18.) Kt. hat. Rendezési Terv módosítása </t>
  </si>
  <si>
    <t>1 db Voice-Kraft VK UFX-16 zenekari keverőpult (Imre Z. Műv. Központ és Könyvtár)</t>
  </si>
  <si>
    <t xml:space="preserve">154/2017.(VIII.24.) Kt. hat.  TOP-3.2.1-16  - BK1-2017-00059 "Jánoshalma Polgármesteri Hivatal energetikai rendszerek korszerűsítése" c. projekt </t>
  </si>
  <si>
    <t xml:space="preserve">TOP-5.3.1-16-BK1-2017-00015 "Együtt közösségeinkért" projekt beruházási kiadása </t>
  </si>
  <si>
    <t>Tűzoltóság eszközbeszerzése (TV készülék, 5db Rugged Leather Case with LG stud készülék, TP-Link Router, fünyíró)</t>
  </si>
  <si>
    <t>Védőnői szolgálat eszközbeszerzése (HRO TP-Link Wireless Router)</t>
  </si>
  <si>
    <t>EFOP-1.5.3-16-2017-00082 "Együtt vagyunk, otthon vagyunk és itt maradunk" projekt beruházási kiadása (eszközbeszerzések, Imre Z. Műv. Közp. klimatizálása, Helyi Emberi Erőforrás Fejlesztési Terv)</t>
  </si>
  <si>
    <t>Óvodai és iskolai szociális segítő támogatás beruházási kiadása</t>
  </si>
  <si>
    <t>Batthyány utcati óvodában és bölcsődében porszívó, Radnóti u-i óvodában szőnyeg, ebéd szállításhoz kézi kocsi</t>
  </si>
  <si>
    <t>132/2018.(IX.27) Kt. hat. A Polgármesteri Hivatalban az információbiztonsági feltételek kialakításához fedezet biztosítása</t>
  </si>
  <si>
    <t>Településfejlesztési projektek és támogatásuk (TOP-2.1.2-16-BK1-2017-00003)</t>
  </si>
  <si>
    <t>A gyermekek, fiatalok és családok életminőségét javító programok (EFOP-1.4.2-16-2016-00020 projekt)</t>
  </si>
  <si>
    <t>Esélyegyenlőség elősegítését célzó tevékenységek és programok (EFOP-1.5.3-16-2017-00082 projekt)</t>
  </si>
  <si>
    <t>Esélyegyenlőség elősegítését célzó tevékenységek és programok (EFOP-3.3.2-16-2016-00284 projekt)</t>
  </si>
  <si>
    <t>56</t>
  </si>
  <si>
    <t>57</t>
  </si>
  <si>
    <t>Család- és Gyermekjóléti Szolgálat (2 fő EFOP-1.5.3-16-2017-00082 projekt keretében)</t>
  </si>
  <si>
    <t>Pedagógiai szakmai szolgáltatások szakmai feladatai</t>
  </si>
  <si>
    <t>III.3.n</t>
  </si>
  <si>
    <t>Óvodai és iskolai szociális segítő tevékenység támogatása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</si>
  <si>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</si>
  <si>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</si>
  <si>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TOP-5.3.1-16-BK1-2017-00015 "Együtt a közösségeinkért" projekt</t>
  </si>
  <si>
    <t>- EFOP-1.5.3-16-2017-00082 "Együtt vagyunk, otthon vagyunk és itt maradunk" pályázat keretében foglalkoztatott munkavállaló</t>
  </si>
  <si>
    <t>Ár- és belvízvédelemmel összefüggő tevékenységek (TOP-2.1.3-16-BK1-2017-00010 projekt)</t>
  </si>
  <si>
    <t>Óvodai és iskolai szociális segítő tev.támogatása</t>
  </si>
  <si>
    <t>Kulturális szolgáltatások bevételei</t>
  </si>
  <si>
    <t>TOP-5.3.1-16-BK1-2017-00015"Együtt a közösségeinkért" projekt támogatása</t>
  </si>
  <si>
    <t>Pedagógiai  szakmai szolgáltatás bevétele</t>
  </si>
  <si>
    <t>58</t>
  </si>
  <si>
    <t>TOP-3.2.1.-16 Polg. Hiv. energetikai korsz. projekt, TOP-2.1.2-16 "Zöld tér felújítása projekt  támogatása</t>
  </si>
  <si>
    <t>TOP-2.1.3-16 "Jh. belvíz elvezetése I. ütem" c. projekt támogatása</t>
  </si>
  <si>
    <t>Közösségfejlesztő</t>
  </si>
  <si>
    <t>Angol nyelvtanár</t>
  </si>
  <si>
    <t>Mentor</t>
  </si>
  <si>
    <t>1. melléklet a 11/2018.(XI.26.) önkormányzati rendelethez</t>
  </si>
  <si>
    <t>Egyéb felhalmozási célú támogatások államháztartáson kívülre</t>
  </si>
  <si>
    <t>2. melléklet a 11/2018.(XI.26.) önkormányzati rendelethez</t>
  </si>
  <si>
    <t>3. melléklet a 11/2018.(XI.26.) önkormányzati rendelethez</t>
  </si>
  <si>
    <t>4. melléklet a 11/2018.(XI.26.) önkormányzati rendelethez</t>
  </si>
  <si>
    <t>5. melléklet a 11/2018.(XI.26.) önkormányzati rendelethez</t>
  </si>
  <si>
    <t>6. melléklet a 11/2018.(XI.26.) önkormányzati rendelethez</t>
  </si>
  <si>
    <t>7. melléklet a 11/2018.(XI.26.) önkormányzati rendelethez</t>
  </si>
  <si>
    <t>8. melléklet a 11/2018. (XI.26.) önkormányzati rendelethez</t>
  </si>
  <si>
    <t>9. melléklet a 11/2018.(XI.26.) önkormányzati rendelethez</t>
  </si>
  <si>
    <t>10. melléklet a 11/2018.(XI.26.) önkormányzati rendelethez</t>
  </si>
  <si>
    <t>11. melléklet a 11/2018. (XI.26.) önkormányzati rendelethez</t>
  </si>
  <si>
    <t>12. melléklet a 11/2018. (XI.26.) önkormányzati rendelethez</t>
  </si>
  <si>
    <t>13. melléklet a 11/2018. (XI.26.)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</si>
</sst>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1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i/>
      <sz val="10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thick"/>
    </border>
    <border>
      <left style="medium"/>
      <right>
        <color indexed="63"/>
      </right>
      <top style="thick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1" borderId="7" applyNumberFormat="0" applyFont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29" borderId="1" applyNumberFormat="0" applyAlignment="0" applyProtection="0"/>
    <xf numFmtId="9" fontId="0" fillId="0" borderId="0" applyFont="0" applyFill="0" applyBorder="0" applyAlignment="0" applyProtection="0"/>
  </cellStyleXfs>
  <cellXfs count="1372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3" fillId="0" borderId="21" xfId="61" applyNumberFormat="1" applyBorder="1" applyAlignment="1">
      <alignment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5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1" xfId="57" applyFont="1" applyBorder="1" applyAlignment="1">
      <alignment horizontal="center" vertical="center" wrapText="1"/>
      <protection/>
    </xf>
    <xf numFmtId="0" fontId="19" fillId="0" borderId="21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1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1" xfId="57" applyFont="1" applyBorder="1">
      <alignment/>
      <protection/>
    </xf>
    <xf numFmtId="0" fontId="24" fillId="0" borderId="0" xfId="57" applyFont="1">
      <alignment/>
      <protection/>
    </xf>
    <xf numFmtId="0" fontId="18" fillId="0" borderId="0" xfId="57" applyFont="1" applyBorder="1">
      <alignment/>
      <protection/>
    </xf>
    <xf numFmtId="0" fontId="22" fillId="0" borderId="21" xfId="57" applyFont="1" applyBorder="1" applyAlignment="1">
      <alignment horizontal="left" vertical="center" indent="2"/>
      <protection/>
    </xf>
    <xf numFmtId="16" fontId="22" fillId="0" borderId="21" xfId="57" applyNumberFormat="1" applyFont="1" applyBorder="1" applyAlignment="1">
      <alignment horizontal="left" vertical="center" indent="2"/>
      <protection/>
    </xf>
    <xf numFmtId="0" fontId="22" fillId="0" borderId="21" xfId="57" applyFont="1" applyBorder="1" applyAlignment="1">
      <alignment horizontal="left" indent="2"/>
      <protection/>
    </xf>
    <xf numFmtId="3" fontId="19" fillId="0" borderId="21" xfId="42" applyNumberFormat="1" applyFont="1" applyBorder="1" applyAlignment="1">
      <alignment horizontal="right"/>
    </xf>
    <xf numFmtId="3" fontId="18" fillId="0" borderId="21" xfId="42" applyNumberFormat="1" applyFont="1" applyBorder="1" applyAlignment="1">
      <alignment horizontal="right"/>
    </xf>
    <xf numFmtId="3" fontId="22" fillId="0" borderId="21" xfId="42" applyNumberFormat="1" applyFont="1" applyBorder="1" applyAlignment="1">
      <alignment horizontal="right"/>
    </xf>
    <xf numFmtId="0" fontId="26" fillId="0" borderId="21" xfId="57" applyFont="1" applyBorder="1" applyAlignment="1">
      <alignment horizontal="left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3" fontId="26" fillId="0" borderId="21" xfId="42" applyNumberFormat="1" applyFont="1" applyBorder="1" applyAlignment="1">
      <alignment horizontal="right"/>
    </xf>
    <xf numFmtId="0" fontId="26" fillId="0" borderId="21" xfId="57" applyFont="1" applyBorder="1">
      <alignment/>
      <protection/>
    </xf>
    <xf numFmtId="0" fontId="27" fillId="0" borderId="0" xfId="57" applyFont="1">
      <alignment/>
      <protection/>
    </xf>
    <xf numFmtId="0" fontId="28" fillId="0" borderId="21" xfId="57" applyFont="1" applyBorder="1" applyAlignment="1">
      <alignment horizontal="right"/>
      <protection/>
    </xf>
    <xf numFmtId="0" fontId="29" fillId="0" borderId="0" xfId="57" applyFont="1">
      <alignment/>
      <protection/>
    </xf>
    <xf numFmtId="0" fontId="30" fillId="0" borderId="21" xfId="57" applyFont="1" applyBorder="1" applyAlignment="1">
      <alignment vertical="center"/>
      <protection/>
    </xf>
    <xf numFmtId="3" fontId="30" fillId="0" borderId="21" xfId="42" applyNumberFormat="1" applyFont="1" applyBorder="1" applyAlignment="1">
      <alignment horizontal="right"/>
    </xf>
    <xf numFmtId="0" fontId="30" fillId="0" borderId="21" xfId="57" applyFont="1" applyBorder="1">
      <alignment/>
      <protection/>
    </xf>
    <xf numFmtId="0" fontId="30" fillId="0" borderId="0" xfId="57" applyFont="1">
      <alignment/>
      <protection/>
    </xf>
    <xf numFmtId="0" fontId="30" fillId="0" borderId="21" xfId="57" applyFont="1" applyBorder="1" applyAlignment="1">
      <alignment vertical="center" wrapText="1"/>
      <protection/>
    </xf>
    <xf numFmtId="0" fontId="30" fillId="0" borderId="21" xfId="57" applyFont="1" applyBorder="1" applyAlignment="1">
      <alignment horizontal="left" vertical="center"/>
      <protection/>
    </xf>
    <xf numFmtId="0" fontId="31" fillId="0" borderId="0" xfId="57" applyFont="1">
      <alignment/>
      <protection/>
    </xf>
    <xf numFmtId="0" fontId="30" fillId="0" borderId="21" xfId="57" applyFont="1" applyBorder="1" applyAlignment="1">
      <alignment horizontal="left" vertical="center" wrapText="1"/>
      <protection/>
    </xf>
    <xf numFmtId="0" fontId="32" fillId="0" borderId="0" xfId="57" applyFont="1">
      <alignment/>
      <protection/>
    </xf>
    <xf numFmtId="0" fontId="19" fillId="0" borderId="21" xfId="57" applyFont="1" applyBorder="1" applyAlignment="1">
      <alignment horizontal="left" vertical="center" indent="1"/>
      <protection/>
    </xf>
    <xf numFmtId="0" fontId="19" fillId="0" borderId="21" xfId="57" applyFont="1" applyBorder="1" applyAlignment="1">
      <alignment horizontal="left" indent="1"/>
      <protection/>
    </xf>
    <xf numFmtId="3" fontId="33" fillId="0" borderId="21" xfId="57" applyNumberFormat="1" applyFont="1" applyBorder="1" applyAlignment="1">
      <alignment horizontal="right" vertical="center"/>
      <protection/>
    </xf>
    <xf numFmtId="3" fontId="33" fillId="0" borderId="21" xfId="42" applyNumberFormat="1" applyFont="1" applyBorder="1" applyAlignment="1">
      <alignment horizontal="right"/>
    </xf>
    <xf numFmtId="0" fontId="19" fillId="0" borderId="21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/>
    </xf>
    <xf numFmtId="0" fontId="13" fillId="0" borderId="21" xfId="61" applyFont="1" applyBorder="1">
      <alignment/>
      <protection/>
    </xf>
    <xf numFmtId="0" fontId="13" fillId="0" borderId="14" xfId="61" applyFont="1" applyBorder="1">
      <alignment/>
      <protection/>
    </xf>
    <xf numFmtId="49" fontId="21" fillId="0" borderId="21" xfId="61" applyNumberFormat="1" applyFont="1" applyBorder="1" applyAlignment="1">
      <alignment vertical="center"/>
      <protection/>
    </xf>
    <xf numFmtId="0" fontId="21" fillId="0" borderId="21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49" fontId="21" fillId="0" borderId="21" xfId="61" applyNumberFormat="1" applyFont="1" applyBorder="1" applyAlignment="1">
      <alignment horizontal="center" vertical="center"/>
      <protection/>
    </xf>
    <xf numFmtId="49" fontId="21" fillId="32" borderId="21" xfId="61" applyNumberFormat="1" applyFont="1" applyFill="1" applyBorder="1" applyAlignment="1">
      <alignment horizontal="center" vertical="center"/>
      <protection/>
    </xf>
    <xf numFmtId="0" fontId="21" fillId="32" borderId="21" xfId="61" applyFont="1" applyFill="1" applyBorder="1" applyAlignment="1">
      <alignment vertical="center"/>
      <protection/>
    </xf>
    <xf numFmtId="0" fontId="21" fillId="32" borderId="14" xfId="61" applyFont="1" applyFill="1" applyBorder="1" applyAlignment="1">
      <alignment vertical="center" wrapText="1"/>
      <protection/>
    </xf>
    <xf numFmtId="3" fontId="21" fillId="32" borderId="20" xfId="61" applyNumberFormat="1" applyFont="1" applyFill="1" applyBorder="1" applyAlignment="1">
      <alignment vertical="center"/>
      <protection/>
    </xf>
    <xf numFmtId="3" fontId="21" fillId="32" borderId="21" xfId="61" applyNumberFormat="1" applyFont="1" applyFill="1" applyBorder="1" applyAlignment="1">
      <alignment vertical="center"/>
      <protection/>
    </xf>
    <xf numFmtId="3" fontId="21" fillId="32" borderId="22" xfId="61" applyNumberFormat="1" applyFont="1" applyFill="1" applyBorder="1" applyAlignment="1">
      <alignment vertical="center"/>
      <protection/>
    </xf>
    <xf numFmtId="3" fontId="21" fillId="32" borderId="17" xfId="61" applyNumberFormat="1" applyFont="1" applyFill="1" applyBorder="1" applyAlignment="1">
      <alignment vertical="center"/>
      <protection/>
    </xf>
    <xf numFmtId="0" fontId="13" fillId="32" borderId="21" xfId="61" applyFill="1" applyBorder="1">
      <alignment/>
      <protection/>
    </xf>
    <xf numFmtId="0" fontId="21" fillId="32" borderId="21" xfId="61" applyFont="1" applyFill="1" applyBorder="1">
      <alignment/>
      <protection/>
    </xf>
    <xf numFmtId="3" fontId="17" fillId="0" borderId="21" xfId="57" applyNumberFormat="1" applyFont="1" applyBorder="1" applyAlignment="1">
      <alignment vertical="center"/>
      <protection/>
    </xf>
    <xf numFmtId="0" fontId="6" fillId="0" borderId="21" xfId="0" applyFont="1" applyFill="1" applyBorder="1" applyAlignment="1">
      <alignment vertical="center" wrapText="1"/>
    </xf>
    <xf numFmtId="0" fontId="34" fillId="0" borderId="25" xfId="61" applyFont="1" applyBorder="1" applyAlignment="1">
      <alignment horizontal="center" vertical="center" wrapText="1"/>
      <protection/>
    </xf>
    <xf numFmtId="3" fontId="21" fillId="32" borderId="26" xfId="61" applyNumberFormat="1" applyFont="1" applyFill="1" applyBorder="1" applyAlignment="1">
      <alignment vertical="center"/>
      <protection/>
    </xf>
    <xf numFmtId="3" fontId="108" fillId="0" borderId="0" xfId="61" applyNumberFormat="1" applyFont="1">
      <alignment/>
      <protection/>
    </xf>
    <xf numFmtId="3" fontId="108" fillId="0" borderId="0" xfId="61" applyNumberFormat="1" applyFont="1" applyAlignment="1">
      <alignment vertical="center"/>
      <protection/>
    </xf>
    <xf numFmtId="0" fontId="38" fillId="0" borderId="0" xfId="0" applyFont="1" applyAlignment="1">
      <alignment/>
    </xf>
    <xf numFmtId="0" fontId="13" fillId="0" borderId="14" xfId="61" applyFont="1" applyBorder="1" applyAlignment="1">
      <alignment wrapText="1"/>
      <protection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39" fillId="0" borderId="21" xfId="58" applyFont="1" applyBorder="1">
      <alignment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3" fontId="39" fillId="0" borderId="21" xfId="58" applyNumberFormat="1" applyFont="1" applyBorder="1">
      <alignment/>
      <protection/>
    </xf>
    <xf numFmtId="3" fontId="19" fillId="0" borderId="21" xfId="58" applyNumberFormat="1" applyFont="1" applyBorder="1">
      <alignment/>
      <protection/>
    </xf>
    <xf numFmtId="0" fontId="18" fillId="0" borderId="0" xfId="0" applyFont="1" applyAlignment="1">
      <alignment/>
    </xf>
    <xf numFmtId="0" fontId="40" fillId="0" borderId="21" xfId="58" applyFont="1" applyBorder="1">
      <alignment/>
      <protection/>
    </xf>
    <xf numFmtId="3" fontId="40" fillId="0" borderId="21" xfId="58" applyNumberFormat="1" applyFont="1" applyBorder="1">
      <alignment/>
      <protection/>
    </xf>
    <xf numFmtId="0" fontId="41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39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1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1" xfId="58" applyFont="1" applyBorder="1">
      <alignment/>
      <protection/>
    </xf>
    <xf numFmtId="3" fontId="44" fillId="0" borderId="21" xfId="58" applyNumberFormat="1" applyFont="1" applyBorder="1">
      <alignment/>
      <protection/>
    </xf>
    <xf numFmtId="0" fontId="45" fillId="0" borderId="21" xfId="58" applyFont="1" applyBorder="1">
      <alignment/>
      <protection/>
    </xf>
    <xf numFmtId="0" fontId="45" fillId="0" borderId="21" xfId="58" applyFont="1" applyBorder="1" applyAlignment="1">
      <alignment horizontal="left"/>
      <protection/>
    </xf>
    <xf numFmtId="3" fontId="45" fillId="0" borderId="21" xfId="58" applyNumberFormat="1" applyFont="1" applyBorder="1">
      <alignment/>
      <protection/>
    </xf>
    <xf numFmtId="0" fontId="18" fillId="0" borderId="21" xfId="58" applyFont="1" applyBorder="1">
      <alignment/>
      <protection/>
    </xf>
    <xf numFmtId="0" fontId="45" fillId="0" borderId="21" xfId="58" applyFont="1" applyBorder="1" applyAlignment="1">
      <alignment horizontal="right"/>
      <protection/>
    </xf>
    <xf numFmtId="0" fontId="45" fillId="0" borderId="14" xfId="58" applyFont="1" applyBorder="1" applyAlignment="1">
      <alignment horizontal="left"/>
      <protection/>
    </xf>
    <xf numFmtId="0" fontId="45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8" fillId="0" borderId="16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1" xfId="58" applyNumberFormat="1" applyFont="1" applyBorder="1">
      <alignment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0" xfId="0" applyFont="1" applyAlignment="1">
      <alignment/>
    </xf>
    <xf numFmtId="0" fontId="39" fillId="0" borderId="21" xfId="0" applyFont="1" applyBorder="1" applyAlignment="1">
      <alignment/>
    </xf>
    <xf numFmtId="3" fontId="39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0" fontId="40" fillId="0" borderId="21" xfId="0" applyFont="1" applyBorder="1" applyAlignment="1">
      <alignment/>
    </xf>
    <xf numFmtId="3" fontId="40" fillId="0" borderId="2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1" xfId="0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1" xfId="0" applyFont="1" applyFill="1" applyBorder="1" applyAlignment="1">
      <alignment horizontal="left"/>
    </xf>
    <xf numFmtId="0" fontId="22" fillId="0" borderId="21" xfId="0" applyFont="1" applyBorder="1" applyAlignment="1">
      <alignment/>
    </xf>
    <xf numFmtId="0" fontId="45" fillId="0" borderId="21" xfId="0" applyFont="1" applyBorder="1" applyAlignment="1">
      <alignment horizontal="left" vertical="center" wrapText="1"/>
    </xf>
    <xf numFmtId="3" fontId="45" fillId="33" borderId="21" xfId="0" applyNumberFormat="1" applyFont="1" applyFill="1" applyBorder="1" applyAlignment="1">
      <alignment/>
    </xf>
    <xf numFmtId="0" fontId="45" fillId="0" borderId="21" xfId="0" applyFont="1" applyBorder="1" applyAlignment="1">
      <alignment horizontal="left" vertical="top"/>
    </xf>
    <xf numFmtId="0" fontId="45" fillId="0" borderId="21" xfId="0" applyFont="1" applyBorder="1" applyAlignment="1">
      <alignment horizontal="left" wrapText="1"/>
    </xf>
    <xf numFmtId="3" fontId="45" fillId="0" borderId="27" xfId="0" applyNumberFormat="1" applyFont="1" applyFill="1" applyBorder="1" applyAlignment="1">
      <alignment/>
    </xf>
    <xf numFmtId="0" fontId="50" fillId="0" borderId="21" xfId="0" applyFont="1" applyBorder="1" applyAlignment="1">
      <alignment/>
    </xf>
    <xf numFmtId="3" fontId="50" fillId="0" borderId="21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1" xfId="0" applyFont="1" applyBorder="1" applyAlignment="1">
      <alignment horizontal="right"/>
    </xf>
    <xf numFmtId="3" fontId="52" fillId="0" borderId="21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0" fontId="54" fillId="0" borderId="21" xfId="58" applyFont="1" applyBorder="1" applyAlignment="1">
      <alignment horizontal="left"/>
      <protection/>
    </xf>
    <xf numFmtId="49" fontId="39" fillId="0" borderId="0" xfId="60" applyNumberFormat="1" applyFont="1" applyFill="1" applyAlignment="1">
      <alignment horizontal="center" vertical="center"/>
      <protection/>
    </xf>
    <xf numFmtId="0" fontId="39" fillId="0" borderId="0" xfId="60" applyFont="1" applyFill="1" applyAlignment="1">
      <alignment vertical="center"/>
      <protection/>
    </xf>
    <xf numFmtId="0" fontId="55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40" fillId="0" borderId="28" xfId="60" applyFont="1" applyFill="1" applyBorder="1" applyAlignment="1">
      <alignment horizontal="center" vertical="center"/>
      <protection/>
    </xf>
    <xf numFmtId="0" fontId="20" fillId="0" borderId="24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9" xfId="60" applyFont="1" applyFill="1" applyBorder="1" applyAlignment="1">
      <alignment horizontal="center" vertical="center" wrapText="1"/>
      <protection/>
    </xf>
    <xf numFmtId="49" fontId="39" fillId="0" borderId="30" xfId="60" applyNumberFormat="1" applyFont="1" applyFill="1" applyBorder="1" applyAlignment="1">
      <alignment horizontal="center" vertical="center"/>
      <protection/>
    </xf>
    <xf numFmtId="0" fontId="20" fillId="0" borderId="31" xfId="60" applyFont="1" applyFill="1" applyBorder="1" applyAlignment="1">
      <alignment vertical="center" wrapText="1"/>
      <protection/>
    </xf>
    <xf numFmtId="3" fontId="40" fillId="0" borderId="10" xfId="60" applyNumberFormat="1" applyFont="1" applyFill="1" applyBorder="1" applyAlignment="1">
      <alignment vertical="center" wrapText="1"/>
      <protection/>
    </xf>
    <xf numFmtId="3" fontId="40" fillId="0" borderId="32" xfId="60" applyNumberFormat="1" applyFont="1" applyFill="1" applyBorder="1" applyAlignment="1">
      <alignment vertical="center" wrapText="1"/>
      <protection/>
    </xf>
    <xf numFmtId="3" fontId="40" fillId="0" borderId="33" xfId="60" applyNumberFormat="1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 wrapText="1"/>
      <protection/>
    </xf>
    <xf numFmtId="3" fontId="40" fillId="0" borderId="34" xfId="60" applyNumberFormat="1" applyFont="1" applyFill="1" applyBorder="1" applyAlignment="1">
      <alignment vertical="center" wrapText="1"/>
      <protection/>
    </xf>
    <xf numFmtId="3" fontId="39" fillId="0" borderId="34" xfId="60" applyNumberFormat="1" applyFont="1" applyFill="1" applyBorder="1" applyAlignment="1">
      <alignment vertical="center"/>
      <protection/>
    </xf>
    <xf numFmtId="3" fontId="39" fillId="0" borderId="33" xfId="60" applyNumberFormat="1" applyFont="1" applyFill="1" applyBorder="1" applyAlignment="1">
      <alignment vertical="center"/>
      <protection/>
    </xf>
    <xf numFmtId="3" fontId="20" fillId="0" borderId="26" xfId="60" applyNumberFormat="1" applyFont="1" applyFill="1" applyBorder="1" applyAlignment="1">
      <alignment vertical="center"/>
      <protection/>
    </xf>
    <xf numFmtId="49" fontId="39" fillId="0" borderId="32" xfId="60" applyNumberFormat="1" applyFont="1" applyFill="1" applyBorder="1" applyAlignment="1">
      <alignment horizontal="center" vertical="center"/>
      <protection/>
    </xf>
    <xf numFmtId="3" fontId="40" fillId="0" borderId="35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3" fontId="56" fillId="0" borderId="22" xfId="60" applyNumberFormat="1" applyFont="1" applyFill="1" applyBorder="1" applyAlignment="1">
      <alignment vertical="center"/>
      <protection/>
    </xf>
    <xf numFmtId="49" fontId="39" fillId="0" borderId="20" xfId="60" applyNumberFormat="1" applyFont="1" applyFill="1" applyBorder="1" applyAlignment="1">
      <alignment horizontal="center" vertical="center"/>
      <protection/>
    </xf>
    <xf numFmtId="3" fontId="40" fillId="0" borderId="20" xfId="60" applyNumberFormat="1" applyFont="1" applyFill="1" applyBorder="1" applyAlignment="1">
      <alignment vertical="center" wrapText="1"/>
      <protection/>
    </xf>
    <xf numFmtId="3" fontId="40" fillId="0" borderId="21" xfId="60" applyNumberFormat="1" applyFont="1" applyFill="1" applyBorder="1" applyAlignment="1">
      <alignment vertical="center" wrapText="1"/>
      <protection/>
    </xf>
    <xf numFmtId="3" fontId="40" fillId="0" borderId="17" xfId="60" applyNumberFormat="1" applyFont="1" applyFill="1" applyBorder="1" applyAlignment="1">
      <alignment vertical="center" wrapText="1"/>
      <protection/>
    </xf>
    <xf numFmtId="3" fontId="39" fillId="0" borderId="17" xfId="60" applyNumberFormat="1" applyFont="1" applyFill="1" applyBorder="1" applyAlignment="1">
      <alignment vertical="center"/>
      <protection/>
    </xf>
    <xf numFmtId="3" fontId="39" fillId="0" borderId="21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horizontal="right" vertical="center" wrapText="1"/>
      <protection/>
    </xf>
    <xf numFmtId="3" fontId="40" fillId="0" borderId="22" xfId="60" applyNumberFormat="1" applyFont="1" applyFill="1" applyBorder="1" applyAlignment="1">
      <alignment horizontal="left" vertical="center" wrapText="1"/>
      <protection/>
    </xf>
    <xf numFmtId="3" fontId="40" fillId="0" borderId="20" xfId="60" applyNumberFormat="1" applyFont="1" applyFill="1" applyBorder="1" applyAlignment="1">
      <alignment vertical="center"/>
      <protection/>
    </xf>
    <xf numFmtId="3" fontId="40" fillId="0" borderId="21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vertical="center"/>
      <protection/>
    </xf>
    <xf numFmtId="3" fontId="40" fillId="33" borderId="35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6" fillId="0" borderId="21" xfId="60" applyNumberFormat="1" applyFont="1" applyFill="1" applyBorder="1" applyAlignment="1">
      <alignment vertical="center"/>
      <protection/>
    </xf>
    <xf numFmtId="3" fontId="54" fillId="0" borderId="17" xfId="60" applyNumberFormat="1" applyFont="1" applyFill="1" applyBorder="1" applyAlignment="1">
      <alignment vertical="center"/>
      <protection/>
    </xf>
    <xf numFmtId="3" fontId="56" fillId="0" borderId="17" xfId="60" applyNumberFormat="1" applyFont="1" applyFill="1" applyBorder="1" applyAlignment="1">
      <alignment vertical="center"/>
      <protection/>
    </xf>
    <xf numFmtId="3" fontId="50" fillId="0" borderId="29" xfId="60" applyNumberFormat="1" applyFont="1" applyFill="1" applyBorder="1" applyAlignment="1">
      <alignment vertical="center"/>
      <protection/>
    </xf>
    <xf numFmtId="3" fontId="40" fillId="0" borderId="30" xfId="60" applyNumberFormat="1" applyFont="1" applyFill="1" applyBorder="1" applyAlignment="1">
      <alignment vertical="center" wrapText="1"/>
      <protection/>
    </xf>
    <xf numFmtId="3" fontId="40" fillId="0" borderId="31" xfId="60" applyNumberFormat="1" applyFont="1" applyFill="1" applyBorder="1" applyAlignment="1">
      <alignment vertical="center" wrapText="1"/>
      <protection/>
    </xf>
    <xf numFmtId="0" fontId="20" fillId="0" borderId="21" xfId="60" applyFont="1" applyFill="1" applyBorder="1" applyAlignment="1">
      <alignment vertical="center" wrapText="1"/>
      <protection/>
    </xf>
    <xf numFmtId="3" fontId="40" fillId="0" borderId="11" xfId="60" applyNumberFormat="1" applyFont="1" applyFill="1" applyBorder="1" applyAlignment="1">
      <alignment vertical="center" wrapText="1"/>
      <protection/>
    </xf>
    <xf numFmtId="3" fontId="23" fillId="0" borderId="36" xfId="60" applyNumberFormat="1" applyFont="1" applyFill="1" applyBorder="1" applyAlignment="1">
      <alignment vertical="center"/>
      <protection/>
    </xf>
    <xf numFmtId="3" fontId="23" fillId="0" borderId="37" xfId="60" applyNumberFormat="1" applyFont="1" applyFill="1" applyBorder="1" applyAlignment="1">
      <alignment vertical="center"/>
      <protection/>
    </xf>
    <xf numFmtId="3" fontId="40" fillId="0" borderId="38" xfId="60" applyNumberFormat="1" applyFont="1" applyFill="1" applyBorder="1" applyAlignment="1">
      <alignment vertical="center" wrapText="1"/>
      <protection/>
    </xf>
    <xf numFmtId="0" fontId="20" fillId="0" borderId="39" xfId="60" applyFont="1" applyFill="1" applyBorder="1" applyAlignment="1">
      <alignment vertical="center" wrapText="1"/>
      <protection/>
    </xf>
    <xf numFmtId="3" fontId="40" fillId="0" borderId="40" xfId="60" applyNumberFormat="1" applyFont="1" applyFill="1" applyBorder="1" applyAlignment="1">
      <alignment vertical="center" wrapText="1"/>
      <protection/>
    </xf>
    <xf numFmtId="3" fontId="40" fillId="0" borderId="39" xfId="60" applyNumberFormat="1" applyFont="1" applyFill="1" applyBorder="1" applyAlignment="1">
      <alignment vertical="center" wrapText="1"/>
      <protection/>
    </xf>
    <xf numFmtId="3" fontId="23" fillId="0" borderId="41" xfId="60" applyNumberFormat="1" applyFont="1" applyFill="1" applyBorder="1" applyAlignment="1">
      <alignment horizontal="right" vertical="center"/>
      <protection/>
    </xf>
    <xf numFmtId="3" fontId="57" fillId="0" borderId="42" xfId="60" applyNumberFormat="1" applyFont="1" applyFill="1" applyBorder="1" applyAlignment="1">
      <alignment vertical="center"/>
      <protection/>
    </xf>
    <xf numFmtId="3" fontId="57" fillId="0" borderId="28" xfId="60" applyNumberFormat="1" applyFont="1" applyFill="1" applyBorder="1" applyAlignment="1">
      <alignment vertical="center"/>
      <protection/>
    </xf>
    <xf numFmtId="3" fontId="57" fillId="0" borderId="37" xfId="60" applyNumberFormat="1" applyFont="1" applyFill="1" applyBorder="1" applyAlignment="1">
      <alignment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3" fontId="40" fillId="0" borderId="38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5" xfId="0" applyFont="1" applyBorder="1" applyAlignment="1">
      <alignment/>
    </xf>
    <xf numFmtId="0" fontId="19" fillId="0" borderId="46" xfId="59" applyFont="1" applyBorder="1" applyAlignment="1">
      <alignment horizontal="center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22" fillId="0" borderId="48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49" xfId="59" applyFont="1" applyBorder="1">
      <alignment/>
      <protection/>
    </xf>
    <xf numFmtId="0" fontId="22" fillId="0" borderId="50" xfId="59" applyFont="1" applyBorder="1">
      <alignment/>
      <protection/>
    </xf>
    <xf numFmtId="0" fontId="22" fillId="0" borderId="51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2" xfId="59" applyNumberFormat="1" applyFont="1" applyBorder="1">
      <alignment/>
      <protection/>
    </xf>
    <xf numFmtId="0" fontId="22" fillId="0" borderId="53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3" fontId="15" fillId="0" borderId="54" xfId="59" applyNumberFormat="1" applyFont="1" applyBorder="1" applyAlignment="1">
      <alignment horizontal="right" vertical="center"/>
      <protection/>
    </xf>
    <xf numFmtId="3" fontId="15" fillId="0" borderId="27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4" xfId="60" applyFont="1" applyFill="1" applyBorder="1" applyAlignment="1">
      <alignment horizontal="center" vertical="center" wrapText="1"/>
      <protection/>
    </xf>
    <xf numFmtId="0" fontId="15" fillId="0" borderId="27" xfId="60" applyFont="1" applyFill="1" applyBorder="1" applyAlignment="1">
      <alignment horizontal="center" vertical="center" wrapText="1"/>
      <protection/>
    </xf>
    <xf numFmtId="0" fontId="15" fillId="0" borderId="55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48" xfId="59" applyNumberFormat="1" applyFont="1" applyBorder="1" applyAlignment="1">
      <alignment horizontal="right" vertical="center"/>
      <protection/>
    </xf>
    <xf numFmtId="3" fontId="22" fillId="0" borderId="56" xfId="59" applyNumberFormat="1" applyFont="1" applyBorder="1">
      <alignment/>
      <protection/>
    </xf>
    <xf numFmtId="0" fontId="22" fillId="0" borderId="27" xfId="59" applyFont="1" applyBorder="1">
      <alignment/>
      <protection/>
    </xf>
    <xf numFmtId="0" fontId="57" fillId="0" borderId="51" xfId="59" applyFont="1" applyBorder="1" applyAlignment="1">
      <alignment horizontal="right" vertical="center"/>
      <protection/>
    </xf>
    <xf numFmtId="0" fontId="23" fillId="0" borderId="48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0" xfId="59" applyFont="1" applyBorder="1" applyAlignment="1">
      <alignment horizontal="right"/>
      <protection/>
    </xf>
    <xf numFmtId="3" fontId="19" fillId="0" borderId="50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1" xfId="59" applyNumberFormat="1" applyFont="1" applyBorder="1">
      <alignment/>
      <protection/>
    </xf>
    <xf numFmtId="3" fontId="57" fillId="0" borderId="48" xfId="59" applyNumberFormat="1" applyFont="1" applyBorder="1" applyAlignment="1">
      <alignment horizontal="right" vertical="center"/>
      <protection/>
    </xf>
    <xf numFmtId="3" fontId="57" fillId="0" borderId="27" xfId="59" applyNumberFormat="1" applyFont="1" applyBorder="1" applyAlignment="1">
      <alignment horizontal="right" vertical="center"/>
      <protection/>
    </xf>
    <xf numFmtId="3" fontId="22" fillId="0" borderId="48" xfId="59" applyNumberFormat="1" applyFont="1" applyBorder="1">
      <alignment/>
      <protection/>
    </xf>
    <xf numFmtId="3" fontId="22" fillId="0" borderId="27" xfId="59" applyNumberFormat="1" applyFont="1" applyBorder="1">
      <alignment/>
      <protection/>
    </xf>
    <xf numFmtId="3" fontId="57" fillId="0" borderId="51" xfId="59" applyNumberFormat="1" applyFont="1" applyBorder="1" applyAlignment="1">
      <alignment horizontal="right" vertical="center"/>
      <protection/>
    </xf>
    <xf numFmtId="0" fontId="22" fillId="0" borderId="48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0" xfId="59" applyFont="1" applyBorder="1" applyAlignment="1">
      <alignment horizontal="right"/>
      <protection/>
    </xf>
    <xf numFmtId="3" fontId="22" fillId="0" borderId="57" xfId="59" applyNumberFormat="1" applyFont="1" applyFill="1" applyBorder="1">
      <alignment/>
      <protection/>
    </xf>
    <xf numFmtId="0" fontId="57" fillId="0" borderId="51" xfId="59" applyFont="1" applyBorder="1">
      <alignment/>
      <protection/>
    </xf>
    <xf numFmtId="3" fontId="22" fillId="0" borderId="57" xfId="59" applyNumberFormat="1" applyFont="1" applyBorder="1">
      <alignment/>
      <protection/>
    </xf>
    <xf numFmtId="3" fontId="57" fillId="0" borderId="48" xfId="59" applyNumberFormat="1" applyFont="1" applyBorder="1">
      <alignment/>
      <protection/>
    </xf>
    <xf numFmtId="3" fontId="57" fillId="0" borderId="27" xfId="59" applyNumberFormat="1" applyFont="1" applyBorder="1">
      <alignment/>
      <protection/>
    </xf>
    <xf numFmtId="3" fontId="57" fillId="0" borderId="56" xfId="59" applyNumberFormat="1" applyFont="1" applyBorder="1">
      <alignment/>
      <protection/>
    </xf>
    <xf numFmtId="3" fontId="57" fillId="0" borderId="51" xfId="59" applyNumberFormat="1" applyFont="1" applyBorder="1">
      <alignment/>
      <protection/>
    </xf>
    <xf numFmtId="0" fontId="18" fillId="0" borderId="48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0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1" xfId="59" applyFont="1" applyBorder="1">
      <alignment/>
      <protection/>
    </xf>
    <xf numFmtId="3" fontId="58" fillId="0" borderId="0" xfId="59" applyNumberFormat="1" applyFont="1" applyBorder="1">
      <alignment/>
      <protection/>
    </xf>
    <xf numFmtId="0" fontId="58" fillId="0" borderId="48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3" fontId="22" fillId="0" borderId="58" xfId="59" applyNumberFormat="1" applyFont="1" applyBorder="1">
      <alignment/>
      <protection/>
    </xf>
    <xf numFmtId="0" fontId="58" fillId="0" borderId="0" xfId="59" applyFont="1" applyBorder="1">
      <alignment/>
      <protection/>
    </xf>
    <xf numFmtId="0" fontId="18" fillId="0" borderId="45" xfId="59" applyFont="1" applyBorder="1" applyAlignment="1">
      <alignment horizontal="right"/>
      <protection/>
    </xf>
    <xf numFmtId="0" fontId="18" fillId="0" borderId="59" xfId="59" applyFont="1" applyBorder="1" applyAlignment="1">
      <alignment horizontal="right"/>
      <protection/>
    </xf>
    <xf numFmtId="0" fontId="18" fillId="0" borderId="45" xfId="59" applyFont="1" applyBorder="1">
      <alignment/>
      <protection/>
    </xf>
    <xf numFmtId="0" fontId="18" fillId="0" borderId="60" xfId="59" applyFont="1" applyBorder="1">
      <alignment/>
      <protection/>
    </xf>
    <xf numFmtId="0" fontId="22" fillId="0" borderId="45" xfId="59" applyFont="1" applyBorder="1" applyAlignment="1">
      <alignment horizontal="left"/>
      <protection/>
    </xf>
    <xf numFmtId="0" fontId="58" fillId="0" borderId="61" xfId="59" applyFont="1" applyBorder="1" applyAlignment="1">
      <alignment horizontal="left"/>
      <protection/>
    </xf>
    <xf numFmtId="0" fontId="58" fillId="0" borderId="45" xfId="59" applyFont="1" applyBorder="1" applyAlignment="1">
      <alignment horizontal="left"/>
      <protection/>
    </xf>
    <xf numFmtId="3" fontId="58" fillId="0" borderId="45" xfId="59" applyNumberFormat="1" applyFont="1" applyFill="1" applyBorder="1">
      <alignment/>
      <protection/>
    </xf>
    <xf numFmtId="3" fontId="15" fillId="0" borderId="61" xfId="59" applyNumberFormat="1" applyFont="1" applyBorder="1" applyAlignment="1">
      <alignment horizontal="right" vertical="center"/>
      <protection/>
    </xf>
    <xf numFmtId="3" fontId="57" fillId="0" borderId="62" xfId="59" applyNumberFormat="1" applyFont="1" applyBorder="1" applyAlignment="1">
      <alignment horizontal="right" vertical="center"/>
      <protection/>
    </xf>
    <xf numFmtId="3" fontId="57" fillId="0" borderId="63" xfId="59" applyNumberFormat="1" applyFont="1" applyBorder="1" applyAlignment="1">
      <alignment horizontal="right" vertical="center"/>
      <protection/>
    </xf>
    <xf numFmtId="3" fontId="22" fillId="0" borderId="64" xfId="59" applyNumberFormat="1" applyFont="1" applyBorder="1">
      <alignment/>
      <protection/>
    </xf>
    <xf numFmtId="3" fontId="22" fillId="0" borderId="62" xfId="59" applyNumberFormat="1" applyFont="1" applyBorder="1">
      <alignment/>
      <protection/>
    </xf>
    <xf numFmtId="3" fontId="22" fillId="0" borderId="63" xfId="59" applyNumberFormat="1" applyFont="1" applyBorder="1">
      <alignment/>
      <protection/>
    </xf>
    <xf numFmtId="3" fontId="57" fillId="0" borderId="60" xfId="59" applyNumberFormat="1" applyFont="1" applyBorder="1" applyAlignment="1">
      <alignment horizontal="right" vertical="center"/>
      <protection/>
    </xf>
    <xf numFmtId="3" fontId="57" fillId="0" borderId="65" xfId="59" applyNumberFormat="1" applyFont="1" applyBorder="1" applyAlignment="1">
      <alignment horizontal="right" vertical="center"/>
      <protection/>
    </xf>
    <xf numFmtId="0" fontId="18" fillId="0" borderId="53" xfId="59" applyFont="1" applyBorder="1">
      <alignment/>
      <protection/>
    </xf>
    <xf numFmtId="0" fontId="18" fillId="0" borderId="50" xfId="59" applyFont="1" applyBorder="1">
      <alignment/>
      <protection/>
    </xf>
    <xf numFmtId="0" fontId="18" fillId="0" borderId="27" xfId="59" applyFont="1" applyBorder="1">
      <alignment/>
      <protection/>
    </xf>
    <xf numFmtId="3" fontId="58" fillId="0" borderId="57" xfId="59" applyNumberFormat="1" applyFont="1" applyBorder="1" applyAlignment="1">
      <alignment/>
      <protection/>
    </xf>
    <xf numFmtId="0" fontId="18" fillId="0" borderId="66" xfId="59" applyFont="1" applyBorder="1">
      <alignment/>
      <protection/>
    </xf>
    <xf numFmtId="0" fontId="18" fillId="0" borderId="63" xfId="59" applyFont="1" applyBorder="1">
      <alignment/>
      <protection/>
    </xf>
    <xf numFmtId="0" fontId="18" fillId="0" borderId="67" xfId="59" applyFont="1" applyBorder="1">
      <alignment/>
      <protection/>
    </xf>
    <xf numFmtId="3" fontId="19" fillId="0" borderId="27" xfId="59" applyNumberFormat="1" applyFont="1" applyBorder="1" applyAlignment="1">
      <alignment horizontal="right"/>
      <protection/>
    </xf>
    <xf numFmtId="0" fontId="22" fillId="0" borderId="48" xfId="59" applyFont="1" applyBorder="1" applyAlignment="1">
      <alignment horizontal="left"/>
      <protection/>
    </xf>
    <xf numFmtId="3" fontId="57" fillId="0" borderId="68" xfId="59" applyNumberFormat="1" applyFont="1" applyBorder="1" applyAlignment="1">
      <alignment horizontal="right"/>
      <protection/>
    </xf>
    <xf numFmtId="3" fontId="57" fillId="0" borderId="48" xfId="59" applyNumberFormat="1" applyFont="1" applyBorder="1" applyAlignment="1">
      <alignment horizontal="right"/>
      <protection/>
    </xf>
    <xf numFmtId="3" fontId="57" fillId="0" borderId="27" xfId="59" applyNumberFormat="1" applyFont="1" applyBorder="1" applyAlignment="1">
      <alignment horizontal="right"/>
      <protection/>
    </xf>
    <xf numFmtId="0" fontId="18" fillId="34" borderId="69" xfId="59" applyFont="1" applyFill="1" applyBorder="1">
      <alignment/>
      <protection/>
    </xf>
    <xf numFmtId="3" fontId="57" fillId="34" borderId="70" xfId="59" applyNumberFormat="1" applyFont="1" applyFill="1" applyBorder="1" applyAlignment="1">
      <alignment horizontal="right"/>
      <protection/>
    </xf>
    <xf numFmtId="3" fontId="57" fillId="34" borderId="71" xfId="59" applyNumberFormat="1" applyFont="1" applyFill="1" applyBorder="1">
      <alignment/>
      <protection/>
    </xf>
    <xf numFmtId="3" fontId="57" fillId="34" borderId="72" xfId="59" applyNumberFormat="1" applyFont="1" applyFill="1" applyBorder="1">
      <alignment/>
      <protection/>
    </xf>
    <xf numFmtId="3" fontId="57" fillId="34" borderId="70" xfId="59" applyNumberFormat="1" applyFont="1" applyFill="1" applyBorder="1">
      <alignment/>
      <protection/>
    </xf>
    <xf numFmtId="0" fontId="18" fillId="0" borderId="73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4" xfId="59" applyFont="1" applyBorder="1" applyAlignment="1">
      <alignment horizontal="right" vertical="center"/>
      <protection/>
    </xf>
    <xf numFmtId="0" fontId="22" fillId="0" borderId="56" xfId="59" applyFont="1" applyBorder="1">
      <alignment/>
      <protection/>
    </xf>
    <xf numFmtId="0" fontId="18" fillId="0" borderId="48" xfId="59" applyFont="1" applyBorder="1">
      <alignment/>
      <protection/>
    </xf>
    <xf numFmtId="0" fontId="18" fillId="0" borderId="27" xfId="59" applyFont="1" applyBorder="1" applyAlignment="1">
      <alignment horizontal="right"/>
      <protection/>
    </xf>
    <xf numFmtId="3" fontId="57" fillId="0" borderId="0" xfId="59" applyNumberFormat="1" applyFont="1" applyBorder="1" applyAlignment="1">
      <alignment horizontal="right" vertical="center"/>
      <protection/>
    </xf>
    <xf numFmtId="3" fontId="18" fillId="0" borderId="27" xfId="59" applyNumberFormat="1" applyFont="1" applyBorder="1" applyAlignment="1">
      <alignment horizontal="right"/>
      <protection/>
    </xf>
    <xf numFmtId="3" fontId="18" fillId="0" borderId="0" xfId="59" applyNumberFormat="1" applyFont="1" applyBorder="1">
      <alignment/>
      <protection/>
    </xf>
    <xf numFmtId="3" fontId="18" fillId="0" borderId="51" xfId="59" applyNumberFormat="1" applyFont="1" applyBorder="1">
      <alignment/>
      <protection/>
    </xf>
    <xf numFmtId="0" fontId="22" fillId="0" borderId="0" xfId="0" applyFont="1" applyFill="1" applyBorder="1" applyAlignment="1">
      <alignment/>
    </xf>
    <xf numFmtId="0" fontId="18" fillId="0" borderId="75" xfId="59" applyFont="1" applyBorder="1">
      <alignment/>
      <protection/>
    </xf>
    <xf numFmtId="0" fontId="18" fillId="0" borderId="76" xfId="59" applyFont="1" applyBorder="1" applyAlignment="1">
      <alignment horizontal="right"/>
      <protection/>
    </xf>
    <xf numFmtId="0" fontId="18" fillId="0" borderId="77" xfId="59" applyFont="1" applyBorder="1" applyAlignment="1">
      <alignment horizontal="right"/>
      <protection/>
    </xf>
    <xf numFmtId="0" fontId="18" fillId="0" borderId="76" xfId="59" applyFont="1" applyBorder="1">
      <alignment/>
      <protection/>
    </xf>
    <xf numFmtId="0" fontId="18" fillId="0" borderId="65" xfId="59" applyFont="1" applyBorder="1">
      <alignment/>
      <protection/>
    </xf>
    <xf numFmtId="0" fontId="18" fillId="0" borderId="76" xfId="59" applyFont="1" applyBorder="1" applyAlignment="1">
      <alignment/>
      <protection/>
    </xf>
    <xf numFmtId="0" fontId="15" fillId="0" borderId="78" xfId="59" applyFont="1" applyBorder="1" applyAlignment="1">
      <alignment horizontal="right"/>
      <protection/>
    </xf>
    <xf numFmtId="0" fontId="18" fillId="0" borderId="79" xfId="59" applyFont="1" applyBorder="1">
      <alignment/>
      <protection/>
    </xf>
    <xf numFmtId="3" fontId="15" fillId="0" borderId="80" xfId="59" applyNumberFormat="1" applyFont="1" applyBorder="1" applyAlignment="1">
      <alignment horizontal="right"/>
      <protection/>
    </xf>
    <xf numFmtId="0" fontId="15" fillId="0" borderId="76" xfId="59" applyFont="1" applyBorder="1" applyAlignment="1">
      <alignment horizontal="right"/>
      <protection/>
    </xf>
    <xf numFmtId="0" fontId="15" fillId="0" borderId="77" xfId="59" applyFont="1" applyBorder="1" applyAlignment="1">
      <alignment horizontal="right"/>
      <protection/>
    </xf>
    <xf numFmtId="0" fontId="18" fillId="0" borderId="81" xfId="59" applyFont="1" applyBorder="1">
      <alignment/>
      <protection/>
    </xf>
    <xf numFmtId="0" fontId="18" fillId="0" borderId="77" xfId="59" applyFont="1" applyBorder="1">
      <alignment/>
      <protection/>
    </xf>
    <xf numFmtId="0" fontId="57" fillId="0" borderId="82" xfId="59" applyFont="1" applyBorder="1" applyAlignment="1">
      <alignment horizontal="right" vertical="center"/>
      <protection/>
    </xf>
    <xf numFmtId="0" fontId="18" fillId="0" borderId="0" xfId="59" applyFont="1">
      <alignment/>
      <protection/>
    </xf>
    <xf numFmtId="0" fontId="18" fillId="0" borderId="56" xfId="59" applyFont="1" applyBorder="1">
      <alignment/>
      <protection/>
    </xf>
    <xf numFmtId="0" fontId="22" fillId="0" borderId="57" xfId="59" applyFont="1" applyBorder="1">
      <alignment/>
      <protection/>
    </xf>
    <xf numFmtId="3" fontId="57" fillId="0" borderId="0" xfId="59" applyNumberFormat="1" applyFont="1" applyBorder="1">
      <alignment/>
      <protection/>
    </xf>
    <xf numFmtId="3" fontId="57" fillId="0" borderId="68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57" xfId="59" applyFont="1" applyBorder="1">
      <alignment/>
      <protection/>
    </xf>
    <xf numFmtId="0" fontId="23" fillId="0" borderId="54" xfId="59" applyFont="1" applyBorder="1" applyAlignment="1">
      <alignment horizontal="right"/>
      <protection/>
    </xf>
    <xf numFmtId="0" fontId="18" fillId="0" borderId="52" xfId="0" applyFont="1" applyBorder="1" applyAlignment="1">
      <alignment horizontal="right"/>
    </xf>
    <xf numFmtId="3" fontId="19" fillId="0" borderId="74" xfId="59" applyNumberFormat="1" applyFont="1" applyBorder="1" applyAlignment="1">
      <alignment horizontal="right"/>
      <protection/>
    </xf>
    <xf numFmtId="3" fontId="19" fillId="0" borderId="52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3" fontId="22" fillId="0" borderId="58" xfId="59" applyNumberFormat="1" applyFont="1" applyBorder="1" applyAlignment="1">
      <alignment/>
      <protection/>
    </xf>
    <xf numFmtId="0" fontId="18" fillId="0" borderId="83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58" xfId="59" applyFont="1" applyBorder="1">
      <alignment/>
      <protection/>
    </xf>
    <xf numFmtId="3" fontId="57" fillId="0" borderId="74" xfId="59" applyNumberFormat="1" applyFont="1" applyBorder="1" applyAlignment="1">
      <alignment horizontal="right" vertical="center"/>
      <protection/>
    </xf>
    <xf numFmtId="3" fontId="57" fillId="0" borderId="84" xfId="59" applyNumberFormat="1" applyFont="1" applyBorder="1">
      <alignment/>
      <protection/>
    </xf>
    <xf numFmtId="3" fontId="57" fillId="0" borderId="54" xfId="59" applyNumberFormat="1" applyFont="1" applyBorder="1">
      <alignment/>
      <protection/>
    </xf>
    <xf numFmtId="3" fontId="57" fillId="0" borderId="74" xfId="59" applyNumberFormat="1" applyFont="1" applyBorder="1">
      <alignment/>
      <protection/>
    </xf>
    <xf numFmtId="3" fontId="57" fillId="0" borderId="55" xfId="59" applyNumberFormat="1" applyFont="1" applyBorder="1" applyAlignment="1">
      <alignment horizontal="right" vertical="center"/>
      <protection/>
    </xf>
    <xf numFmtId="3" fontId="58" fillId="0" borderId="0" xfId="59" applyNumberFormat="1" applyFont="1" applyBorder="1" applyAlignment="1">
      <alignment/>
      <protection/>
    </xf>
    <xf numFmtId="0" fontId="18" fillId="34" borderId="85" xfId="59" applyFont="1" applyFill="1" applyBorder="1">
      <alignment/>
      <protection/>
    </xf>
    <xf numFmtId="3" fontId="43" fillId="0" borderId="86" xfId="59" applyNumberFormat="1" applyFont="1" applyBorder="1" applyAlignment="1">
      <alignment horizontal="center"/>
      <protection/>
    </xf>
    <xf numFmtId="0" fontId="18" fillId="0" borderId="87" xfId="59" applyFont="1" applyBorder="1">
      <alignment/>
      <protection/>
    </xf>
    <xf numFmtId="3" fontId="15" fillId="0" borderId="88" xfId="59" applyNumberFormat="1" applyFont="1" applyBorder="1">
      <alignment/>
      <protection/>
    </xf>
    <xf numFmtId="0" fontId="18" fillId="0" borderId="73" xfId="59" applyFont="1" applyBorder="1">
      <alignment/>
      <protection/>
    </xf>
    <xf numFmtId="3" fontId="43" fillId="0" borderId="86" xfId="59" applyNumberFormat="1" applyFont="1" applyBorder="1">
      <alignment/>
      <protection/>
    </xf>
    <xf numFmtId="3" fontId="43" fillId="0" borderId="89" xfId="59" applyNumberFormat="1" applyFont="1" applyBorder="1">
      <alignment/>
      <protection/>
    </xf>
    <xf numFmtId="0" fontId="22" fillId="0" borderId="45" xfId="59" applyFont="1" applyBorder="1">
      <alignment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9" fillId="0" borderId="0" xfId="59" applyFont="1" applyAlignment="1">
      <alignment horizontal="left"/>
      <protection/>
    </xf>
    <xf numFmtId="3" fontId="18" fillId="0" borderId="0" xfId="59" applyNumberFormat="1" applyFont="1">
      <alignment/>
      <protection/>
    </xf>
    <xf numFmtId="0" fontId="22" fillId="0" borderId="0" xfId="59" applyFont="1" applyFill="1" applyBorder="1">
      <alignment/>
      <protection/>
    </xf>
    <xf numFmtId="0" fontId="39" fillId="0" borderId="90" xfId="59" applyFont="1" applyBorder="1">
      <alignment/>
      <protection/>
    </xf>
    <xf numFmtId="3" fontId="18" fillId="0" borderId="90" xfId="59" applyNumberFormat="1" applyFont="1" applyBorder="1">
      <alignment/>
      <protection/>
    </xf>
    <xf numFmtId="0" fontId="18" fillId="0" borderId="90" xfId="59" applyFont="1" applyBorder="1">
      <alignment/>
      <protection/>
    </xf>
    <xf numFmtId="0" fontId="18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18" fillId="0" borderId="0" xfId="0" applyFont="1" applyAlignment="1">
      <alignment horizontal="left"/>
    </xf>
    <xf numFmtId="0" fontId="19" fillId="0" borderId="0" xfId="59" applyFont="1">
      <alignment/>
      <protection/>
    </xf>
    <xf numFmtId="3" fontId="19" fillId="0" borderId="0" xfId="59" applyNumberFormat="1" applyFont="1">
      <alignment/>
      <protection/>
    </xf>
    <xf numFmtId="0" fontId="19" fillId="0" borderId="91" xfId="59" applyFont="1" applyBorder="1" applyAlignment="1">
      <alignment horizontal="center"/>
      <protection/>
    </xf>
    <xf numFmtId="0" fontId="19" fillId="0" borderId="92" xfId="59" applyFont="1" applyBorder="1" applyAlignment="1">
      <alignment horizontal="center" vertical="center"/>
      <protection/>
    </xf>
    <xf numFmtId="0" fontId="19" fillId="0" borderId="91" xfId="59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58" fillId="0" borderId="53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3" fontId="19" fillId="34" borderId="70" xfId="59" applyNumberFormat="1" applyFont="1" applyFill="1" applyBorder="1" applyAlignment="1">
      <alignment horizontal="right"/>
      <protection/>
    </xf>
    <xf numFmtId="3" fontId="19" fillId="34" borderId="85" xfId="59" applyNumberFormat="1" applyFont="1" applyFill="1" applyBorder="1">
      <alignment/>
      <protection/>
    </xf>
    <xf numFmtId="3" fontId="19" fillId="34" borderId="93" xfId="59" applyNumberFormat="1" applyFont="1" applyFill="1" applyBorder="1">
      <alignment/>
      <protection/>
    </xf>
    <xf numFmtId="3" fontId="22" fillId="0" borderId="58" xfId="0" applyNumberFormat="1" applyFont="1" applyBorder="1" applyAlignment="1">
      <alignment/>
    </xf>
    <xf numFmtId="3" fontId="22" fillId="0" borderId="57" xfId="0" applyNumberFormat="1" applyFont="1" applyBorder="1" applyAlignment="1">
      <alignment/>
    </xf>
    <xf numFmtId="0" fontId="22" fillId="34" borderId="72" xfId="59" applyFont="1" applyFill="1" applyBorder="1" applyAlignment="1">
      <alignment horizontal="left"/>
      <protection/>
    </xf>
    <xf numFmtId="3" fontId="15" fillId="34" borderId="94" xfId="59" applyNumberFormat="1" applyFont="1" applyFill="1" applyBorder="1" applyAlignment="1">
      <alignment horizontal="right"/>
      <protection/>
    </xf>
    <xf numFmtId="3" fontId="15" fillId="34" borderId="95" xfId="59" applyNumberFormat="1" applyFont="1" applyFill="1" applyBorder="1" applyAlignment="1">
      <alignment horizontal="right"/>
      <protection/>
    </xf>
    <xf numFmtId="3" fontId="57" fillId="34" borderId="85" xfId="59" applyNumberFormat="1" applyFont="1" applyFill="1" applyBorder="1" applyAlignment="1">
      <alignment horizontal="right"/>
      <protection/>
    </xf>
    <xf numFmtId="3" fontId="57" fillId="34" borderId="93" xfId="59" applyNumberFormat="1" applyFont="1" applyFill="1" applyBorder="1" applyAlignment="1">
      <alignment horizontal="right" vertical="center"/>
      <protection/>
    </xf>
    <xf numFmtId="0" fontId="18" fillId="0" borderId="49" xfId="0" applyFont="1" applyBorder="1" applyAlignment="1">
      <alignment horizontal="right"/>
    </xf>
    <xf numFmtId="0" fontId="18" fillId="34" borderId="69" xfId="59" applyFont="1" applyFill="1" applyBorder="1" applyAlignment="1">
      <alignment vertical="center"/>
      <protection/>
    </xf>
    <xf numFmtId="3" fontId="15" fillId="34" borderId="94" xfId="59" applyNumberFormat="1" applyFont="1" applyFill="1" applyBorder="1" applyAlignment="1">
      <alignment vertical="center"/>
      <protection/>
    </xf>
    <xf numFmtId="0" fontId="18" fillId="34" borderId="85" xfId="59" applyFont="1" applyFill="1" applyBorder="1" applyAlignment="1">
      <alignment vertical="center"/>
      <protection/>
    </xf>
    <xf numFmtId="3" fontId="15" fillId="34" borderId="79" xfId="59" applyNumberFormat="1" applyFont="1" applyFill="1" applyBorder="1" applyAlignment="1">
      <alignment vertical="center"/>
      <protection/>
    </xf>
    <xf numFmtId="3" fontId="57" fillId="34" borderId="96" xfId="59" applyNumberFormat="1" applyFont="1" applyFill="1" applyBorder="1" applyAlignment="1">
      <alignment vertical="center"/>
      <protection/>
    </xf>
    <xf numFmtId="3" fontId="57" fillId="34" borderId="86" xfId="59" applyNumberFormat="1" applyFont="1" applyFill="1" applyBorder="1" applyAlignment="1">
      <alignment vertical="center"/>
      <protection/>
    </xf>
    <xf numFmtId="3" fontId="57" fillId="34" borderId="82" xfId="59" applyNumberFormat="1" applyFont="1" applyFill="1" applyBorder="1" applyAlignment="1">
      <alignment vertical="center"/>
      <protection/>
    </xf>
    <xf numFmtId="3" fontId="57" fillId="34" borderId="97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57" xfId="59" applyNumberFormat="1" applyFont="1" applyBorder="1" applyAlignment="1">
      <alignment vertical="center"/>
      <protection/>
    </xf>
    <xf numFmtId="3" fontId="22" fillId="0" borderId="44" xfId="59" applyNumberFormat="1" applyFont="1" applyFill="1" applyBorder="1" applyAlignment="1">
      <alignment vertical="center"/>
      <protection/>
    </xf>
    <xf numFmtId="3" fontId="22" fillId="0" borderId="57" xfId="59" applyNumberFormat="1" applyFont="1" applyFill="1" applyBorder="1" applyAlignment="1">
      <alignment vertical="center"/>
      <protection/>
    </xf>
    <xf numFmtId="3" fontId="22" fillId="0" borderId="57" xfId="59" applyNumberFormat="1" applyFont="1" applyFill="1" applyBorder="1" applyAlignment="1">
      <alignment horizontal="right"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58" xfId="59" applyNumberFormat="1" applyFont="1" applyFill="1" applyBorder="1" applyAlignment="1">
      <alignment vertical="center"/>
      <protection/>
    </xf>
    <xf numFmtId="0" fontId="42" fillId="0" borderId="0" xfId="60" applyFont="1" applyFill="1" applyAlignment="1">
      <alignment vertical="center" wrapText="1"/>
      <protection/>
    </xf>
    <xf numFmtId="0" fontId="42" fillId="0" borderId="76" xfId="60" applyFont="1" applyFill="1" applyBorder="1" applyAlignment="1">
      <alignment vertical="center" wrapText="1"/>
      <protection/>
    </xf>
    <xf numFmtId="0" fontId="18" fillId="0" borderId="62" xfId="59" applyFont="1" applyBorder="1" applyAlignment="1">
      <alignment horizontal="right"/>
      <protection/>
    </xf>
    <xf numFmtId="3" fontId="22" fillId="0" borderId="98" xfId="0" applyNumberFormat="1" applyFont="1" applyBorder="1" applyAlignment="1">
      <alignment/>
    </xf>
    <xf numFmtId="3" fontId="23" fillId="0" borderId="99" xfId="60" applyNumberFormat="1" applyFont="1" applyFill="1" applyBorder="1" applyAlignment="1">
      <alignment horizontal="right" vertical="center"/>
      <protection/>
    </xf>
    <xf numFmtId="3" fontId="23" fillId="0" borderId="91" xfId="60" applyNumberFormat="1" applyFont="1" applyFill="1" applyBorder="1" applyAlignment="1">
      <alignment horizontal="right" vertical="center"/>
      <protection/>
    </xf>
    <xf numFmtId="3" fontId="57" fillId="0" borderId="36" xfId="60" applyNumberFormat="1" applyFont="1" applyFill="1" applyBorder="1" applyAlignment="1">
      <alignment vertical="center"/>
      <protection/>
    </xf>
    <xf numFmtId="3" fontId="2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9" fillId="0" borderId="0" xfId="0" applyFont="1" applyFill="1" applyAlignment="1">
      <alignment vertical="center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0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39" fillId="0" borderId="90" xfId="0" applyFont="1" applyFill="1" applyBorder="1" applyAlignment="1">
      <alignment horizontal="center" vertical="center" wrapText="1"/>
    </xf>
    <xf numFmtId="49" fontId="39" fillId="0" borderId="90" xfId="0" applyNumberFormat="1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3" fontId="40" fillId="0" borderId="33" xfId="0" applyNumberFormat="1" applyFont="1" applyFill="1" applyBorder="1" applyAlignment="1">
      <alignment horizontal="center" vertical="center"/>
    </xf>
    <xf numFmtId="0" fontId="40" fillId="0" borderId="10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49" fontId="39" fillId="0" borderId="3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vertical="center" wrapText="1"/>
    </xf>
    <xf numFmtId="3" fontId="55" fillId="0" borderId="23" xfId="0" applyNumberFormat="1" applyFont="1" applyFill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3" fontId="40" fillId="0" borderId="33" xfId="0" applyNumberFormat="1" applyFont="1" applyFill="1" applyBorder="1" applyAlignment="1">
      <alignment vertical="center"/>
    </xf>
    <xf numFmtId="3" fontId="40" fillId="0" borderId="21" xfId="0" applyNumberFormat="1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55" fillId="0" borderId="16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3" fontId="55" fillId="0" borderId="21" xfId="0" applyNumberFormat="1" applyFont="1" applyFill="1" applyBorder="1" applyAlignment="1">
      <alignment vertical="center"/>
    </xf>
    <xf numFmtId="3" fontId="55" fillId="0" borderId="21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left" vertical="center" wrapText="1"/>
    </xf>
    <xf numFmtId="3" fontId="40" fillId="0" borderId="21" xfId="0" applyNumberFormat="1" applyFont="1" applyFill="1" applyBorder="1" applyAlignment="1">
      <alignment horizontal="right" vertical="center"/>
    </xf>
    <xf numFmtId="49" fontId="39" fillId="0" borderId="40" xfId="0" applyNumberFormat="1" applyFont="1" applyFill="1" applyBorder="1" applyAlignment="1">
      <alignment horizontal="center" vertical="center"/>
    </xf>
    <xf numFmtId="3" fontId="40" fillId="0" borderId="39" xfId="0" applyNumberFormat="1" applyFont="1" applyFill="1" applyBorder="1" applyAlignment="1">
      <alignment vertical="center"/>
    </xf>
    <xf numFmtId="3" fontId="55" fillId="0" borderId="15" xfId="0" applyNumberFormat="1" applyFont="1" applyFill="1" applyBorder="1" applyAlignment="1">
      <alignment vertical="center"/>
    </xf>
    <xf numFmtId="3" fontId="40" fillId="0" borderId="100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39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1" fillId="0" borderId="29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2" xfId="0" applyFont="1" applyFill="1" applyBorder="1" applyAlignment="1">
      <alignment horizontal="center" vertical="center"/>
    </xf>
    <xf numFmtId="4" fontId="21" fillId="0" borderId="20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0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26" xfId="61" applyNumberFormat="1" applyFont="1" applyBorder="1" applyAlignment="1">
      <alignment vertical="center"/>
      <protection/>
    </xf>
    <xf numFmtId="3" fontId="13" fillId="0" borderId="20" xfId="61" applyNumberForma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26" xfId="61" applyNumberFormat="1" applyBorder="1" applyAlignment="1">
      <alignment vertical="center"/>
      <protection/>
    </xf>
    <xf numFmtId="3" fontId="13" fillId="32" borderId="20" xfId="61" applyNumberFormat="1" applyFill="1" applyBorder="1" applyAlignment="1">
      <alignment vertical="center"/>
      <protection/>
    </xf>
    <xf numFmtId="3" fontId="13" fillId="32" borderId="21" xfId="61" applyNumberFormat="1" applyFill="1" applyBorder="1" applyAlignment="1">
      <alignment vertical="center"/>
      <protection/>
    </xf>
    <xf numFmtId="3" fontId="13" fillId="32" borderId="17" xfId="61" applyNumberFormat="1" applyFill="1" applyBorder="1" applyAlignment="1">
      <alignment vertical="center"/>
      <protection/>
    </xf>
    <xf numFmtId="169" fontId="13" fillId="0" borderId="20" xfId="61" applyNumberFormat="1" applyBorder="1" applyAlignment="1">
      <alignment vertical="center"/>
      <protection/>
    </xf>
    <xf numFmtId="169" fontId="13" fillId="0" borderId="17" xfId="61" applyNumberFormat="1" applyBorder="1" applyAlignment="1">
      <alignment vertical="center"/>
      <protection/>
    </xf>
    <xf numFmtId="3" fontId="21" fillId="0" borderId="20" xfId="61" applyNumberFormat="1" applyFont="1" applyFill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169" fontId="21" fillId="0" borderId="20" xfId="61" applyNumberFormat="1" applyFont="1" applyBorder="1" applyAlignment="1">
      <alignment vertical="center"/>
      <protection/>
    </xf>
    <xf numFmtId="169" fontId="21" fillId="0" borderId="17" xfId="61" applyNumberFormat="1" applyFont="1" applyBorder="1" applyAlignment="1">
      <alignment vertical="center"/>
      <protection/>
    </xf>
    <xf numFmtId="3" fontId="21" fillId="0" borderId="20" xfId="61" applyNumberFormat="1" applyFont="1" applyFill="1" applyBorder="1" applyAlignment="1">
      <alignment horizontal="center" vertical="center"/>
      <protection/>
    </xf>
    <xf numFmtId="3" fontId="21" fillId="0" borderId="21" xfId="61" applyNumberFormat="1" applyFont="1" applyFill="1" applyBorder="1" applyAlignment="1">
      <alignment horizontal="center" vertical="center"/>
      <protection/>
    </xf>
    <xf numFmtId="4" fontId="21" fillId="32" borderId="20" xfId="61" applyNumberFormat="1" applyFont="1" applyFill="1" applyBorder="1" applyAlignment="1">
      <alignment vertical="center"/>
      <protection/>
    </xf>
    <xf numFmtId="4" fontId="21" fillId="32" borderId="17" xfId="61" applyNumberFormat="1" applyFont="1" applyFill="1" applyBorder="1" applyAlignment="1">
      <alignment vertical="center"/>
      <protection/>
    </xf>
    <xf numFmtId="2" fontId="13" fillId="0" borderId="20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0" xfId="61" applyNumberFormat="1" applyBorder="1" applyAlignment="1">
      <alignment vertical="center"/>
      <protection/>
    </xf>
    <xf numFmtId="3" fontId="13" fillId="0" borderId="21" xfId="61" applyNumberFormat="1" applyFill="1" applyBorder="1" applyAlignment="1">
      <alignment vertical="center"/>
      <protection/>
    </xf>
    <xf numFmtId="3" fontId="13" fillId="0" borderId="26" xfId="61" applyNumberFormat="1" applyFont="1" applyBorder="1" applyAlignment="1">
      <alignment vertical="center"/>
      <protection/>
    </xf>
    <xf numFmtId="4" fontId="13" fillId="0" borderId="20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2" borderId="20" xfId="61" applyNumberFormat="1" applyFont="1" applyFill="1" applyBorder="1" applyAlignment="1">
      <alignment horizontal="center" vertical="center"/>
      <protection/>
    </xf>
    <xf numFmtId="3" fontId="2" fillId="32" borderId="21" xfId="61" applyNumberFormat="1" applyFont="1" applyFill="1" applyBorder="1" applyAlignment="1">
      <alignment horizontal="center" vertical="center"/>
      <protection/>
    </xf>
    <xf numFmtId="3" fontId="1" fillId="32" borderId="22" xfId="61" applyNumberFormat="1" applyFont="1" applyFill="1" applyBorder="1" applyAlignment="1">
      <alignment vertical="center"/>
      <protection/>
    </xf>
    <xf numFmtId="3" fontId="2" fillId="32" borderId="17" xfId="61" applyNumberFormat="1" applyFont="1" applyFill="1" applyBorder="1" applyAlignment="1">
      <alignment horizontal="center" vertical="center"/>
      <protection/>
    </xf>
    <xf numFmtId="3" fontId="21" fillId="32" borderId="26" xfId="61" applyNumberFormat="1" applyFont="1" applyFill="1" applyBorder="1" applyAlignment="1">
      <alignment vertical="center"/>
      <protection/>
    </xf>
    <xf numFmtId="0" fontId="13" fillId="0" borderId="0" xfId="61" applyAlignment="1">
      <alignment vertical="center"/>
      <protection/>
    </xf>
    <xf numFmtId="3" fontId="36" fillId="32" borderId="20" xfId="61" applyNumberFormat="1" applyFont="1" applyFill="1" applyBorder="1" applyAlignment="1">
      <alignment horizontal="center" vertical="center"/>
      <protection/>
    </xf>
    <xf numFmtId="3" fontId="36" fillId="32" borderId="21" xfId="61" applyNumberFormat="1" applyFont="1" applyFill="1" applyBorder="1" applyAlignment="1">
      <alignment horizontal="center" vertical="center"/>
      <protection/>
    </xf>
    <xf numFmtId="3" fontId="36" fillId="32" borderId="22" xfId="61" applyNumberFormat="1" applyFont="1" applyFill="1" applyBorder="1" applyAlignment="1">
      <alignment vertical="center"/>
      <protection/>
    </xf>
    <xf numFmtId="3" fontId="36" fillId="32" borderId="17" xfId="61" applyNumberFormat="1" applyFont="1" applyFill="1" applyBorder="1" applyAlignment="1">
      <alignment horizontal="center" vertical="center"/>
      <protection/>
    </xf>
    <xf numFmtId="3" fontId="37" fillId="32" borderId="26" xfId="61" applyNumberFormat="1" applyFont="1" applyFill="1" applyBorder="1" applyAlignment="1">
      <alignment vertical="center"/>
      <protection/>
    </xf>
    <xf numFmtId="0" fontId="39" fillId="0" borderId="21" xfId="0" applyFont="1" applyBorder="1" applyAlignment="1">
      <alignment horizontal="left"/>
    </xf>
    <xf numFmtId="0" fontId="16" fillId="0" borderId="0" xfId="0" applyFont="1" applyBorder="1" applyAlignment="1">
      <alignment/>
    </xf>
    <xf numFmtId="3" fontId="46" fillId="0" borderId="102" xfId="0" applyNumberFormat="1" applyFont="1" applyBorder="1" applyAlignment="1">
      <alignment/>
    </xf>
    <xf numFmtId="3" fontId="20" fillId="0" borderId="102" xfId="0" applyNumberFormat="1" applyFont="1" applyBorder="1" applyAlignment="1">
      <alignment/>
    </xf>
    <xf numFmtId="3" fontId="44" fillId="0" borderId="102" xfId="0" applyNumberFormat="1" applyFont="1" applyBorder="1" applyAlignment="1">
      <alignment/>
    </xf>
    <xf numFmtId="3" fontId="49" fillId="0" borderId="102" xfId="0" applyNumberFormat="1" applyFont="1" applyBorder="1" applyAlignment="1">
      <alignment/>
    </xf>
    <xf numFmtId="3" fontId="51" fillId="0" borderId="102" xfId="0" applyNumberFormat="1" applyFont="1" applyBorder="1" applyAlignment="1">
      <alignment/>
    </xf>
    <xf numFmtId="3" fontId="53" fillId="0" borderId="102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15" fillId="0" borderId="102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54" xfId="59" applyFont="1" applyBorder="1" applyAlignment="1">
      <alignment horizontal="left"/>
      <protection/>
    </xf>
    <xf numFmtId="0" fontId="22" fillId="0" borderId="52" xfId="59" applyFont="1" applyBorder="1" applyAlignment="1">
      <alignment horizontal="left"/>
      <protection/>
    </xf>
    <xf numFmtId="0" fontId="18" fillId="0" borderId="50" xfId="0" applyFont="1" applyBorder="1" applyAlignment="1">
      <alignment horizontal="right"/>
    </xf>
    <xf numFmtId="0" fontId="45" fillId="0" borderId="17" xfId="58" applyFont="1" applyBorder="1" applyAlignment="1">
      <alignment horizontal="left" wrapText="1"/>
      <protection/>
    </xf>
    <xf numFmtId="3" fontId="19" fillId="0" borderId="102" xfId="58" applyNumberFormat="1" applyFont="1" applyBorder="1">
      <alignment/>
      <protection/>
    </xf>
    <xf numFmtId="3" fontId="44" fillId="0" borderId="102" xfId="58" applyNumberFormat="1" applyFont="1" applyBorder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vertical="center" wrapText="1"/>
    </xf>
    <xf numFmtId="3" fontId="16" fillId="0" borderId="10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36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vertical="center"/>
    </xf>
    <xf numFmtId="3" fontId="17" fillId="0" borderId="103" xfId="0" applyNumberFormat="1" applyFont="1" applyFill="1" applyBorder="1" applyAlignment="1">
      <alignment vertical="center"/>
    </xf>
    <xf numFmtId="3" fontId="17" fillId="0" borderId="104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3" fontId="17" fillId="0" borderId="29" xfId="0" applyNumberFormat="1" applyFont="1" applyFill="1" applyBorder="1" applyAlignment="1">
      <alignment vertical="center"/>
    </xf>
    <xf numFmtId="3" fontId="109" fillId="0" borderId="32" xfId="60" applyNumberFormat="1" applyFont="1" applyFill="1" applyBorder="1" applyAlignment="1">
      <alignment vertical="center" wrapText="1"/>
      <protection/>
    </xf>
    <xf numFmtId="3" fontId="109" fillId="0" borderId="33" xfId="60" applyNumberFormat="1" applyFont="1" applyFill="1" applyBorder="1" applyAlignment="1">
      <alignment vertical="center" wrapText="1"/>
      <protection/>
    </xf>
    <xf numFmtId="3" fontId="109" fillId="0" borderId="20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 wrapText="1"/>
      <protection/>
    </xf>
    <xf numFmtId="3" fontId="109" fillId="0" borderId="20" xfId="60" applyNumberFormat="1" applyFont="1" applyFill="1" applyBorder="1" applyAlignment="1">
      <alignment vertical="center"/>
      <protection/>
    </xf>
    <xf numFmtId="3" fontId="109" fillId="0" borderId="21" xfId="60" applyNumberFormat="1" applyFont="1" applyFill="1" applyBorder="1" applyAlignment="1">
      <alignment vertical="center"/>
      <protection/>
    </xf>
    <xf numFmtId="3" fontId="109" fillId="0" borderId="34" xfId="60" applyNumberFormat="1" applyFont="1" applyFill="1" applyBorder="1" applyAlignment="1">
      <alignment vertical="center" wrapText="1"/>
      <protection/>
    </xf>
    <xf numFmtId="3" fontId="109" fillId="0" borderId="17" xfId="60" applyNumberFormat="1" applyFont="1" applyFill="1" applyBorder="1" applyAlignment="1">
      <alignment vertical="center" wrapText="1"/>
      <protection/>
    </xf>
    <xf numFmtId="3" fontId="109" fillId="33" borderId="17" xfId="60" applyNumberFormat="1" applyFont="1" applyFill="1" applyBorder="1" applyAlignment="1">
      <alignment horizontal="right" vertical="center" wrapText="1"/>
      <protection/>
    </xf>
    <xf numFmtId="3" fontId="109" fillId="0" borderId="17" xfId="60" applyNumberFormat="1" applyFont="1" applyFill="1" applyBorder="1" applyAlignment="1">
      <alignment vertical="center"/>
      <protection/>
    </xf>
    <xf numFmtId="3" fontId="57" fillId="0" borderId="104" xfId="60" applyNumberFormat="1" applyFont="1" applyFill="1" applyBorder="1" applyAlignment="1">
      <alignment vertical="center"/>
      <protection/>
    </xf>
    <xf numFmtId="3" fontId="57" fillId="0" borderId="103" xfId="60" applyNumberFormat="1" applyFont="1" applyFill="1" applyBorder="1" applyAlignment="1">
      <alignment vertical="center"/>
      <protection/>
    </xf>
    <xf numFmtId="3" fontId="57" fillId="0" borderId="105" xfId="60" applyNumberFormat="1" applyFont="1" applyFill="1" applyBorder="1" applyAlignment="1">
      <alignment vertical="center"/>
      <protection/>
    </xf>
    <xf numFmtId="3" fontId="109" fillId="0" borderId="40" xfId="60" applyNumberFormat="1" applyFont="1" applyFill="1" applyBorder="1" applyAlignment="1">
      <alignment vertical="center"/>
      <protection/>
    </xf>
    <xf numFmtId="3" fontId="109" fillId="0" borderId="39" xfId="60" applyNumberFormat="1" applyFont="1" applyFill="1" applyBorder="1" applyAlignment="1">
      <alignment vertical="center"/>
      <protection/>
    </xf>
    <xf numFmtId="3" fontId="40" fillId="0" borderId="100" xfId="60" applyNumberFormat="1" applyFont="1" applyFill="1" applyBorder="1" applyAlignment="1">
      <alignment vertical="center"/>
      <protection/>
    </xf>
    <xf numFmtId="3" fontId="39" fillId="0" borderId="100" xfId="60" applyNumberFormat="1" applyFont="1" applyFill="1" applyBorder="1" applyAlignment="1">
      <alignment vertical="center"/>
      <protection/>
    </xf>
    <xf numFmtId="3" fontId="23" fillId="0" borderId="103" xfId="60" applyNumberFormat="1" applyFont="1" applyFill="1" applyBorder="1" applyAlignment="1">
      <alignment vertical="center"/>
      <protection/>
    </xf>
    <xf numFmtId="3" fontId="23" fillId="0" borderId="104" xfId="60" applyNumberFormat="1" applyFont="1" applyFill="1" applyBorder="1" applyAlignment="1">
      <alignment vertical="center"/>
      <protection/>
    </xf>
    <xf numFmtId="3" fontId="22" fillId="0" borderId="44" xfId="59" applyNumberFormat="1" applyFont="1" applyBorder="1" applyAlignment="1">
      <alignment vertical="center"/>
      <protection/>
    </xf>
    <xf numFmtId="0" fontId="58" fillId="0" borderId="92" xfId="59" applyFont="1" applyBorder="1" applyAlignment="1">
      <alignment horizontal="left"/>
      <protection/>
    </xf>
    <xf numFmtId="0" fontId="58" fillId="0" borderId="28" xfId="59" applyFont="1" applyBorder="1" applyAlignment="1">
      <alignment horizontal="left"/>
      <protection/>
    </xf>
    <xf numFmtId="3" fontId="58" fillId="0" borderId="44" xfId="59" applyNumberFormat="1" applyFont="1" applyFill="1" applyBorder="1">
      <alignment/>
      <protection/>
    </xf>
    <xf numFmtId="3" fontId="19" fillId="34" borderId="77" xfId="59" applyNumberFormat="1" applyFont="1" applyFill="1" applyBorder="1" applyAlignment="1">
      <alignment vertical="center"/>
      <protection/>
    </xf>
    <xf numFmtId="3" fontId="19" fillId="34" borderId="106" xfId="59" applyNumberFormat="1" applyFont="1" applyFill="1" applyBorder="1" applyAlignment="1">
      <alignment vertical="center"/>
      <protection/>
    </xf>
    <xf numFmtId="3" fontId="43" fillId="0" borderId="82" xfId="59" applyNumberFormat="1" applyFont="1" applyBorder="1">
      <alignment/>
      <protection/>
    </xf>
    <xf numFmtId="164" fontId="6" fillId="0" borderId="3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10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0" fillId="0" borderId="57" xfId="0" applyBorder="1" applyAlignment="1">
      <alignment/>
    </xf>
    <xf numFmtId="0" fontId="18" fillId="0" borderId="26" xfId="0" applyFont="1" applyBorder="1" applyAlignment="1">
      <alignment horizontal="center"/>
    </xf>
    <xf numFmtId="0" fontId="0" fillId="0" borderId="113" xfId="0" applyBorder="1" applyAlignment="1">
      <alignment/>
    </xf>
    <xf numFmtId="3" fontId="21" fillId="4" borderId="113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35" borderId="31" xfId="0" applyNumberFormat="1" applyFill="1" applyBorder="1" applyAlignment="1">
      <alignment/>
    </xf>
    <xf numFmtId="3" fontId="0" fillId="4" borderId="114" xfId="0" applyNumberFormat="1" applyFill="1" applyBorder="1" applyAlignment="1">
      <alignment/>
    </xf>
    <xf numFmtId="0" fontId="0" fillId="0" borderId="115" xfId="0" applyBorder="1" applyAlignment="1">
      <alignment/>
    </xf>
    <xf numFmtId="3" fontId="21" fillId="4" borderId="116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5" borderId="21" xfId="0" applyNumberFormat="1" applyFill="1" applyBorder="1" applyAlignment="1">
      <alignment/>
    </xf>
    <xf numFmtId="3" fontId="0" fillId="4" borderId="26" xfId="0" applyNumberFormat="1" applyFill="1" applyBorder="1" applyAlignment="1">
      <alignment/>
    </xf>
    <xf numFmtId="0" fontId="21" fillId="0" borderId="37" xfId="0" applyFont="1" applyBorder="1" applyAlignment="1">
      <alignment/>
    </xf>
    <xf numFmtId="3" fontId="21" fillId="4" borderId="41" xfId="0" applyNumberFormat="1" applyFont="1" applyFill="1" applyBorder="1" applyAlignment="1">
      <alignment/>
    </xf>
    <xf numFmtId="3" fontId="21" fillId="36" borderId="91" xfId="0" applyNumberFormat="1" applyFont="1" applyFill="1" applyBorder="1" applyAlignment="1">
      <alignment/>
    </xf>
    <xf numFmtId="3" fontId="21" fillId="35" borderId="91" xfId="0" applyNumberFormat="1" applyFont="1" applyFill="1" applyBorder="1" applyAlignment="1">
      <alignment/>
    </xf>
    <xf numFmtId="3" fontId="21" fillId="35" borderId="117" xfId="0" applyNumberFormat="1" applyFont="1" applyFill="1" applyBorder="1" applyAlignment="1">
      <alignment/>
    </xf>
    <xf numFmtId="3" fontId="21" fillId="35" borderId="104" xfId="0" applyNumberFormat="1" applyFont="1" applyFill="1" applyBorder="1" applyAlignment="1">
      <alignment/>
    </xf>
    <xf numFmtId="3" fontId="21" fillId="4" borderId="36" xfId="0" applyNumberFormat="1" applyFont="1" applyFill="1" applyBorder="1" applyAlignment="1">
      <alignment/>
    </xf>
    <xf numFmtId="0" fontId="18" fillId="0" borderId="118" xfId="0" applyFont="1" applyBorder="1" applyAlignment="1">
      <alignment horizontal="center"/>
    </xf>
    <xf numFmtId="0" fontId="0" fillId="0" borderId="32" xfId="0" applyBorder="1" applyAlignment="1">
      <alignment horizontal="left"/>
    </xf>
    <xf numFmtId="3" fontId="0" fillId="4" borderId="30" xfId="0" applyNumberFormat="1" applyFill="1" applyBorder="1" applyAlignment="1">
      <alignment/>
    </xf>
    <xf numFmtId="0" fontId="0" fillId="0" borderId="119" xfId="0" applyBorder="1" applyAlignment="1">
      <alignment horizontal="right"/>
    </xf>
    <xf numFmtId="0" fontId="0" fillId="0" borderId="40" xfId="0" applyBorder="1" applyAlignment="1">
      <alignment horizontal="left"/>
    </xf>
    <xf numFmtId="3" fontId="0" fillId="4" borderId="20" xfId="0" applyNumberFormat="1" applyFill="1" applyBorder="1" applyAlignment="1">
      <alignment/>
    </xf>
    <xf numFmtId="0" fontId="18" fillId="0" borderId="111" xfId="0" applyFont="1" applyBorder="1" applyAlignment="1">
      <alignment horizontal="center" vertical="center"/>
    </xf>
    <xf numFmtId="0" fontId="21" fillId="0" borderId="69" xfId="0" applyFont="1" applyBorder="1" applyAlignment="1">
      <alignment/>
    </xf>
    <xf numFmtId="3" fontId="21" fillId="4" borderId="69" xfId="0" applyNumberFormat="1" applyFont="1" applyFill="1" applyBorder="1" applyAlignment="1">
      <alignment/>
    </xf>
    <xf numFmtId="3" fontId="21" fillId="36" borderId="120" xfId="0" applyNumberFormat="1" applyFont="1" applyFill="1" applyBorder="1" applyAlignment="1">
      <alignment horizontal="right"/>
    </xf>
    <xf numFmtId="3" fontId="21" fillId="4" borderId="94" xfId="0" applyNumberFormat="1" applyFont="1" applyFill="1" applyBorder="1" applyAlignment="1">
      <alignment/>
    </xf>
    <xf numFmtId="0" fontId="18" fillId="0" borderId="107" xfId="0" applyFont="1" applyBorder="1" applyAlignment="1">
      <alignment horizontal="center" vertical="center"/>
    </xf>
    <xf numFmtId="3" fontId="13" fillId="4" borderId="30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3" fontId="13" fillId="4" borderId="4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8" fillId="0" borderId="20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18" fillId="0" borderId="111" xfId="0" applyFont="1" applyBorder="1" applyAlignment="1">
      <alignment horizontal="center"/>
    </xf>
    <xf numFmtId="0" fontId="21" fillId="0" borderId="94" xfId="0" applyFont="1" applyBorder="1" applyAlignment="1">
      <alignment/>
    </xf>
    <xf numFmtId="3" fontId="21" fillId="36" borderId="70" xfId="0" applyNumberFormat="1" applyFont="1" applyFill="1" applyBorder="1" applyAlignment="1">
      <alignment/>
    </xf>
    <xf numFmtId="3" fontId="0" fillId="0" borderId="119" xfId="0" applyNumberFormat="1" applyBorder="1" applyAlignment="1">
      <alignment/>
    </xf>
    <xf numFmtId="3" fontId="0" fillId="35" borderId="74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29" xfId="0" applyNumberFormat="1" applyFill="1" applyBorder="1" applyAlignment="1">
      <alignment/>
    </xf>
    <xf numFmtId="0" fontId="0" fillId="0" borderId="31" xfId="0" applyBorder="1" applyAlignment="1">
      <alignment horizontal="right"/>
    </xf>
    <xf numFmtId="0" fontId="0" fillId="0" borderId="121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122" xfId="0" applyBorder="1" applyAlignment="1">
      <alignment/>
    </xf>
    <xf numFmtId="3" fontId="0" fillId="4" borderId="24" xfId="0" applyNumberFormat="1" applyFill="1" applyBorder="1" applyAlignment="1">
      <alignment/>
    </xf>
    <xf numFmtId="3" fontId="0" fillId="35" borderId="91" xfId="0" applyNumberFormat="1" applyFill="1" applyBorder="1" applyAlignment="1">
      <alignment/>
    </xf>
    <xf numFmtId="3" fontId="0" fillId="35" borderId="104" xfId="0" applyNumberFormat="1" applyFill="1" applyBorder="1" applyAlignment="1">
      <alignment/>
    </xf>
    <xf numFmtId="3" fontId="0" fillId="35" borderId="70" xfId="0" applyNumberFormat="1" applyFill="1" applyBorder="1" applyAlignment="1">
      <alignment/>
    </xf>
    <xf numFmtId="3" fontId="0" fillId="35" borderId="123" xfId="0" applyNumberFormat="1" applyFill="1" applyBorder="1" applyAlignment="1">
      <alignment/>
    </xf>
    <xf numFmtId="0" fontId="1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14" xfId="0" applyBorder="1" applyAlignment="1">
      <alignment/>
    </xf>
    <xf numFmtId="3" fontId="22" fillId="0" borderId="58" xfId="59" applyNumberFormat="1" applyFont="1" applyBorder="1" applyAlignment="1">
      <alignment vertical="center"/>
      <protection/>
    </xf>
    <xf numFmtId="3" fontId="22" fillId="0" borderId="98" xfId="59" applyNumberFormat="1" applyFont="1" applyBorder="1" applyAlignment="1">
      <alignment vertical="center"/>
      <protection/>
    </xf>
    <xf numFmtId="3" fontId="22" fillId="0" borderId="124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3" fontId="19" fillId="34" borderId="70" xfId="59" applyNumberFormat="1" applyFont="1" applyFill="1" applyBorder="1" applyAlignment="1">
      <alignment horizontal="right" vertical="center"/>
      <protection/>
    </xf>
    <xf numFmtId="3" fontId="19" fillId="34" borderId="85" xfId="59" applyNumberFormat="1" applyFont="1" applyFill="1" applyBorder="1" applyAlignment="1">
      <alignment vertical="center"/>
      <protection/>
    </xf>
    <xf numFmtId="3" fontId="19" fillId="34" borderId="93" xfId="59" applyNumberFormat="1" applyFont="1" applyFill="1" applyBorder="1" applyAlignment="1">
      <alignment vertical="center"/>
      <protection/>
    </xf>
    <xf numFmtId="0" fontId="22" fillId="34" borderId="72" xfId="59" applyFont="1" applyFill="1" applyBorder="1" applyAlignment="1">
      <alignment horizontal="left" vertical="center"/>
      <protection/>
    </xf>
    <xf numFmtId="3" fontId="15" fillId="34" borderId="94" xfId="59" applyNumberFormat="1" applyFont="1" applyFill="1" applyBorder="1" applyAlignment="1">
      <alignment horizontal="right" vertical="center"/>
      <protection/>
    </xf>
    <xf numFmtId="3" fontId="15" fillId="34" borderId="95" xfId="59" applyNumberFormat="1" applyFont="1" applyFill="1" applyBorder="1" applyAlignment="1">
      <alignment horizontal="right" vertical="center"/>
      <protection/>
    </xf>
    <xf numFmtId="3" fontId="57" fillId="34" borderId="85" xfId="59" applyNumberFormat="1" applyFont="1" applyFill="1" applyBorder="1" applyAlignment="1">
      <alignment horizontal="right" vertical="center"/>
      <protection/>
    </xf>
    <xf numFmtId="3" fontId="57" fillId="34" borderId="70" xfId="59" applyNumberFormat="1" applyFont="1" applyFill="1" applyBorder="1" applyAlignment="1">
      <alignment horizontal="right" vertical="center"/>
      <protection/>
    </xf>
    <xf numFmtId="3" fontId="57" fillId="34" borderId="71" xfId="59" applyNumberFormat="1" applyFont="1" applyFill="1" applyBorder="1" applyAlignment="1">
      <alignment vertical="center"/>
      <protection/>
    </xf>
    <xf numFmtId="3" fontId="57" fillId="34" borderId="72" xfId="59" applyNumberFormat="1" applyFont="1" applyFill="1" applyBorder="1" applyAlignment="1">
      <alignment vertical="center"/>
      <protection/>
    </xf>
    <xf numFmtId="3" fontId="57" fillId="34" borderId="70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25" xfId="59" applyFont="1" applyBorder="1" applyAlignment="1">
      <alignment horizontal="center" vertical="center"/>
      <protection/>
    </xf>
    <xf numFmtId="3" fontId="15" fillId="0" borderId="87" xfId="59" applyNumberFormat="1" applyFont="1" applyBorder="1">
      <alignment/>
      <protection/>
    </xf>
    <xf numFmtId="3" fontId="43" fillId="0" borderId="96" xfId="59" applyNumberFormat="1" applyFont="1" applyBorder="1">
      <alignment/>
      <protection/>
    </xf>
    <xf numFmtId="3" fontId="57" fillId="0" borderId="68" xfId="59" applyNumberFormat="1" applyFont="1" applyBorder="1" applyAlignment="1">
      <alignment horizontal="right" vertical="center"/>
      <protection/>
    </xf>
    <xf numFmtId="0" fontId="15" fillId="0" borderId="126" xfId="59" applyFont="1" applyBorder="1" applyAlignment="1">
      <alignment horizontal="right" vertical="center"/>
      <protection/>
    </xf>
    <xf numFmtId="0" fontId="19" fillId="0" borderId="46" xfId="59" applyFont="1" applyBorder="1" applyAlignment="1">
      <alignment horizontal="center" vertical="center"/>
      <protection/>
    </xf>
    <xf numFmtId="0" fontId="19" fillId="0" borderId="127" xfId="60" applyFont="1" applyFill="1" applyBorder="1" applyAlignment="1">
      <alignment horizontal="center" vertical="center" wrapText="1"/>
      <protection/>
    </xf>
    <xf numFmtId="0" fontId="19" fillId="0" borderId="41" xfId="59" applyFont="1" applyBorder="1" applyAlignment="1">
      <alignment horizontal="center" vertical="center"/>
      <protection/>
    </xf>
    <xf numFmtId="0" fontId="19" fillId="0" borderId="117" xfId="59" applyFont="1" applyBorder="1" applyAlignment="1">
      <alignment horizontal="center" vertical="center"/>
      <protection/>
    </xf>
    <xf numFmtId="0" fontId="23" fillId="0" borderId="75" xfId="59" applyFont="1" applyBorder="1" applyAlignment="1">
      <alignment horizontal="right" vertical="center"/>
      <protection/>
    </xf>
    <xf numFmtId="3" fontId="19" fillId="0" borderId="77" xfId="59" applyNumberFormat="1" applyFont="1" applyBorder="1" applyAlignment="1">
      <alignment horizontal="right" vertical="center"/>
      <protection/>
    </xf>
    <xf numFmtId="3" fontId="19" fillId="0" borderId="76" xfId="59" applyNumberFormat="1" applyFont="1" applyBorder="1" applyAlignment="1">
      <alignment vertical="center"/>
      <protection/>
    </xf>
    <xf numFmtId="3" fontId="19" fillId="0" borderId="65" xfId="59" applyNumberFormat="1" applyFont="1" applyBorder="1" applyAlignment="1">
      <alignment vertical="center"/>
      <protection/>
    </xf>
    <xf numFmtId="3" fontId="58" fillId="0" borderId="76" xfId="59" applyNumberFormat="1" applyFont="1" applyBorder="1" applyAlignment="1">
      <alignment vertical="center"/>
      <protection/>
    </xf>
    <xf numFmtId="3" fontId="23" fillId="0" borderId="76" xfId="59" applyNumberFormat="1" applyFont="1" applyFill="1" applyBorder="1" applyAlignment="1">
      <alignment vertical="center"/>
      <protection/>
    </xf>
    <xf numFmtId="3" fontId="15" fillId="0" borderId="79" xfId="59" applyNumberFormat="1" applyFont="1" applyBorder="1" applyAlignment="1">
      <alignment vertical="center"/>
      <protection/>
    </xf>
    <xf numFmtId="3" fontId="57" fillId="0" borderId="75" xfId="59" applyNumberFormat="1" applyFont="1" applyBorder="1" applyAlignment="1">
      <alignment vertical="center"/>
      <protection/>
    </xf>
    <xf numFmtId="3" fontId="57" fillId="0" borderId="77" xfId="59" applyNumberFormat="1" applyFont="1" applyBorder="1" applyAlignment="1">
      <alignment vertical="center"/>
      <protection/>
    </xf>
    <xf numFmtId="3" fontId="57" fillId="0" borderId="81" xfId="59" applyNumberFormat="1" applyFont="1" applyBorder="1" applyAlignment="1">
      <alignment vertical="center"/>
      <protection/>
    </xf>
    <xf numFmtId="0" fontId="19" fillId="0" borderId="99" xfId="59" applyFont="1" applyBorder="1" applyAlignment="1">
      <alignment horizontal="center"/>
      <protection/>
    </xf>
    <xf numFmtId="0" fontId="19" fillId="0" borderId="99" xfId="59" applyFont="1" applyBorder="1" applyAlignment="1">
      <alignment horizontal="center" vertical="center"/>
      <protection/>
    </xf>
    <xf numFmtId="3" fontId="19" fillId="34" borderId="94" xfId="59" applyNumberFormat="1" applyFont="1" applyFill="1" applyBorder="1" applyAlignment="1">
      <alignment horizontal="right" vertical="center"/>
      <protection/>
    </xf>
    <xf numFmtId="3" fontId="57" fillId="34" borderId="72" xfId="59" applyNumberFormat="1" applyFont="1" applyFill="1" applyBorder="1" applyAlignment="1">
      <alignment horizontal="right" vertical="center"/>
      <protection/>
    </xf>
    <xf numFmtId="3" fontId="57" fillId="34" borderId="93" xfId="59" applyNumberFormat="1" applyFont="1" applyFill="1" applyBorder="1" applyAlignment="1">
      <alignment vertical="center"/>
      <protection/>
    </xf>
    <xf numFmtId="0" fontId="22" fillId="0" borderId="53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3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3" fillId="0" borderId="92" xfId="59" applyFont="1" applyBorder="1" applyAlignment="1">
      <alignment horizontal="right" vertical="center"/>
      <protection/>
    </xf>
    <xf numFmtId="0" fontId="23" fillId="0" borderId="28" xfId="59" applyFont="1" applyBorder="1" applyAlignment="1">
      <alignment horizontal="right" vertical="center"/>
      <protection/>
    </xf>
    <xf numFmtId="0" fontId="23" fillId="0" borderId="42" xfId="59" applyFont="1" applyBorder="1" applyAlignment="1">
      <alignment horizontal="right" vertical="center"/>
      <protection/>
    </xf>
    <xf numFmtId="3" fontId="19" fillId="0" borderId="128" xfId="59" applyNumberFormat="1" applyFont="1" applyBorder="1" applyAlignment="1">
      <alignment horizontal="right" vertical="center"/>
      <protection/>
    </xf>
    <xf numFmtId="3" fontId="19" fillId="0" borderId="129" xfId="59" applyNumberFormat="1" applyFont="1" applyBorder="1" applyAlignment="1">
      <alignment horizontal="right" vertical="center"/>
      <protection/>
    </xf>
    <xf numFmtId="3" fontId="40" fillId="0" borderId="121" xfId="60" applyNumberFormat="1" applyFont="1" applyFill="1" applyBorder="1" applyAlignment="1">
      <alignment vertical="center" wrapText="1"/>
      <protection/>
    </xf>
    <xf numFmtId="3" fontId="40" fillId="0" borderId="50" xfId="60" applyNumberFormat="1" applyFont="1" applyFill="1" applyBorder="1" applyAlignment="1">
      <alignment vertical="center" wrapText="1"/>
      <protection/>
    </xf>
    <xf numFmtId="49" fontId="39" fillId="0" borderId="24" xfId="60" applyNumberFormat="1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vertical="center" wrapText="1"/>
      <protection/>
    </xf>
    <xf numFmtId="3" fontId="40" fillId="0" borderId="29" xfId="60" applyNumberFormat="1" applyFont="1" applyFill="1" applyBorder="1" applyAlignment="1">
      <alignment vertical="center" wrapText="1"/>
      <protection/>
    </xf>
    <xf numFmtId="0" fontId="18" fillId="0" borderId="68" xfId="59" applyFont="1" applyBorder="1">
      <alignment/>
      <protection/>
    </xf>
    <xf numFmtId="3" fontId="19" fillId="0" borderId="42" xfId="59" applyNumberFormat="1" applyFont="1" applyBorder="1" applyAlignment="1">
      <alignment horizontal="right" vertical="center"/>
      <protection/>
    </xf>
    <xf numFmtId="0" fontId="22" fillId="34" borderId="85" xfId="59" applyFont="1" applyFill="1" applyBorder="1" applyAlignment="1">
      <alignment horizontal="left" vertical="center" wrapText="1"/>
      <protection/>
    </xf>
    <xf numFmtId="0" fontId="22" fillId="0" borderId="73" xfId="59" applyFont="1" applyBorder="1" applyAlignment="1">
      <alignment horizontal="left"/>
      <protection/>
    </xf>
    <xf numFmtId="3" fontId="22" fillId="0" borderId="0" xfId="59" applyNumberFormat="1" applyFont="1" applyBorder="1" applyAlignment="1">
      <alignment/>
      <protection/>
    </xf>
    <xf numFmtId="3" fontId="57" fillId="0" borderId="126" xfId="59" applyNumberFormat="1" applyFont="1" applyBorder="1" applyAlignment="1">
      <alignment vertical="center"/>
      <protection/>
    </xf>
    <xf numFmtId="3" fontId="57" fillId="0" borderId="130" xfId="59" applyNumberFormat="1" applyFont="1" applyBorder="1" applyAlignment="1">
      <alignment vertical="center"/>
      <protection/>
    </xf>
    <xf numFmtId="0" fontId="2" fillId="33" borderId="0" xfId="61" applyFont="1" applyFill="1" applyBorder="1" applyAlignment="1">
      <alignment horizontal="right"/>
      <protection/>
    </xf>
    <xf numFmtId="3" fontId="2" fillId="33" borderId="0" xfId="61" applyNumberFormat="1" applyFont="1" applyFill="1" applyBorder="1" applyAlignment="1">
      <alignment horizontal="center" vertical="center"/>
      <protection/>
    </xf>
    <xf numFmtId="3" fontId="1" fillId="33" borderId="0" xfId="61" applyNumberFormat="1" applyFont="1" applyFill="1" applyBorder="1" applyAlignment="1">
      <alignment vertical="center"/>
      <protection/>
    </xf>
    <xf numFmtId="3" fontId="21" fillId="33" borderId="0" xfId="61" applyNumberFormat="1" applyFont="1" applyFill="1" applyBorder="1" applyAlignment="1">
      <alignment vertical="center"/>
      <protection/>
    </xf>
    <xf numFmtId="3" fontId="2" fillId="33" borderId="0" xfId="61" applyNumberFormat="1" applyFont="1" applyFill="1">
      <alignment/>
      <protection/>
    </xf>
    <xf numFmtId="3" fontId="1" fillId="33" borderId="0" xfId="61" applyNumberFormat="1" applyFont="1" applyFill="1">
      <alignment/>
      <protection/>
    </xf>
    <xf numFmtId="0" fontId="2" fillId="33" borderId="0" xfId="61" applyFont="1" applyFill="1">
      <alignment/>
      <protection/>
    </xf>
    <xf numFmtId="0" fontId="13" fillId="33" borderId="0" xfId="61" applyFill="1">
      <alignment/>
      <protection/>
    </xf>
    <xf numFmtId="3" fontId="0" fillId="4" borderId="32" xfId="0" applyNumberFormat="1" applyFill="1" applyBorder="1" applyAlignment="1">
      <alignment/>
    </xf>
    <xf numFmtId="0" fontId="0" fillId="0" borderId="26" xfId="0" applyBorder="1" applyAlignment="1">
      <alignment horizontal="left"/>
    </xf>
    <xf numFmtId="0" fontId="0" fillId="0" borderId="131" xfId="0" applyBorder="1" applyAlignment="1">
      <alignment horizontal="left"/>
    </xf>
    <xf numFmtId="3" fontId="0" fillId="35" borderId="31" xfId="0" applyNumberFormat="1" applyFill="1" applyBorder="1" applyAlignment="1">
      <alignment horizontal="right" vertical="center"/>
    </xf>
    <xf numFmtId="3" fontId="0" fillId="35" borderId="17" xfId="0" applyNumberFormat="1" applyFill="1" applyBorder="1" applyAlignment="1">
      <alignment/>
    </xf>
    <xf numFmtId="3" fontId="0" fillId="4" borderId="115" xfId="0" applyNumberFormat="1" applyFill="1" applyBorder="1" applyAlignment="1">
      <alignment/>
    </xf>
    <xf numFmtId="3" fontId="0" fillId="4" borderId="122" xfId="0" applyNumberFormat="1" applyFill="1" applyBorder="1" applyAlignment="1">
      <alignment/>
    </xf>
    <xf numFmtId="3" fontId="0" fillId="35" borderId="132" xfId="0" applyNumberFormat="1" applyFill="1" applyBorder="1" applyAlignment="1">
      <alignment horizontal="right" vertical="center"/>
    </xf>
    <xf numFmtId="3" fontId="0" fillId="35" borderId="14" xfId="0" applyNumberFormat="1" applyFill="1" applyBorder="1" applyAlignment="1">
      <alignment/>
    </xf>
    <xf numFmtId="3" fontId="21" fillId="35" borderId="14" xfId="0" applyNumberFormat="1" applyFont="1" applyFill="1" applyBorder="1" applyAlignment="1">
      <alignment/>
    </xf>
    <xf numFmtId="3" fontId="0" fillId="35" borderId="133" xfId="0" applyNumberFormat="1" applyFill="1" applyBorder="1" applyAlignment="1">
      <alignment horizontal="right" vertical="center"/>
    </xf>
    <xf numFmtId="3" fontId="0" fillId="0" borderId="19" xfId="0" applyNumberFormat="1" applyBorder="1" applyAlignment="1">
      <alignment/>
    </xf>
    <xf numFmtId="3" fontId="0" fillId="4" borderId="131" xfId="0" applyNumberFormat="1" applyFill="1" applyBorder="1" applyAlignment="1">
      <alignment/>
    </xf>
    <xf numFmtId="3" fontId="0" fillId="4" borderId="134" xfId="0" applyNumberFormat="1" applyFill="1" applyBorder="1" applyAlignment="1">
      <alignment/>
    </xf>
    <xf numFmtId="0" fontId="20" fillId="0" borderId="21" xfId="57" applyFont="1" applyBorder="1" applyAlignment="1">
      <alignment horizontal="center" vertical="center"/>
      <protection/>
    </xf>
    <xf numFmtId="3" fontId="40" fillId="0" borderId="21" xfId="58" applyNumberFormat="1" applyFont="1" applyBorder="1" applyAlignment="1">
      <alignment vertical="center"/>
      <protection/>
    </xf>
    <xf numFmtId="3" fontId="19" fillId="0" borderId="21" xfId="58" applyNumberFormat="1" applyFont="1" applyBorder="1" applyAlignment="1">
      <alignment vertical="center"/>
      <protection/>
    </xf>
    <xf numFmtId="3" fontId="45" fillId="0" borderId="21" xfId="58" applyNumberFormat="1" applyFont="1" applyBorder="1" applyAlignment="1">
      <alignment vertical="center"/>
      <protection/>
    </xf>
    <xf numFmtId="3" fontId="44" fillId="0" borderId="21" xfId="58" applyNumberFormat="1" applyFont="1" applyBorder="1" applyAlignment="1">
      <alignment vertical="center"/>
      <protection/>
    </xf>
    <xf numFmtId="0" fontId="45" fillId="0" borderId="17" xfId="58" applyFont="1" applyBorder="1" applyAlignment="1">
      <alignment horizontal="left" vertical="center" wrapText="1"/>
      <protection/>
    </xf>
    <xf numFmtId="3" fontId="26" fillId="0" borderId="21" xfId="42" applyNumberFormat="1" applyFont="1" applyBorder="1" applyAlignment="1">
      <alignment horizontal="right" vertical="center"/>
    </xf>
    <xf numFmtId="0" fontId="26" fillId="0" borderId="21" xfId="57" applyFont="1" applyBorder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0" fillId="0" borderId="9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7" xfId="0" applyBorder="1" applyAlignment="1">
      <alignment vertical="center"/>
    </xf>
    <xf numFmtId="0" fontId="18" fillId="0" borderId="88" xfId="0" applyFont="1" applyBorder="1" applyAlignment="1">
      <alignment horizontal="center" vertical="center"/>
    </xf>
    <xf numFmtId="0" fontId="18" fillId="37" borderId="88" xfId="0" applyFont="1" applyFill="1" applyBorder="1" applyAlignment="1">
      <alignment horizontal="center" vertical="center"/>
    </xf>
    <xf numFmtId="3" fontId="13" fillId="4" borderId="32" xfId="0" applyNumberFormat="1" applyFont="1" applyFill="1" applyBorder="1" applyAlignment="1">
      <alignment horizontal="right"/>
    </xf>
    <xf numFmtId="3" fontId="0" fillId="35" borderId="33" xfId="0" applyNumberFormat="1" applyFill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4" borderId="25" xfId="0" applyNumberFormat="1" applyFill="1" applyBorder="1" applyAlignment="1">
      <alignment/>
    </xf>
    <xf numFmtId="0" fontId="18" fillId="0" borderId="135" xfId="0" applyFont="1" applyBorder="1" applyAlignment="1">
      <alignment horizontal="center" vertical="center"/>
    </xf>
    <xf numFmtId="0" fontId="0" fillId="0" borderId="136" xfId="0" applyBorder="1" applyAlignment="1">
      <alignment vertical="center"/>
    </xf>
    <xf numFmtId="0" fontId="18" fillId="37" borderId="88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164" fontId="16" fillId="0" borderId="21" xfId="0" applyNumberFormat="1" applyFont="1" applyBorder="1" applyAlignment="1">
      <alignment vertical="center"/>
    </xf>
    <xf numFmtId="164" fontId="17" fillId="0" borderId="21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1" xfId="0" applyFont="1" applyBorder="1" applyAlignment="1">
      <alignment horizontal="left" vertical="center"/>
    </xf>
    <xf numFmtId="3" fontId="16" fillId="0" borderId="21" xfId="0" applyNumberFormat="1" applyFont="1" applyBorder="1" applyAlignment="1">
      <alignment vertical="center"/>
    </xf>
    <xf numFmtId="0" fontId="20" fillId="0" borderId="0" xfId="62" applyFont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" vertical="center" wrapText="1"/>
      <protection/>
    </xf>
    <xf numFmtId="0" fontId="20" fillId="0" borderId="20" xfId="62" applyFont="1" applyBorder="1" applyAlignment="1">
      <alignment horizontal="center" vertical="center"/>
      <protection/>
    </xf>
    <xf numFmtId="0" fontId="19" fillId="0" borderId="21" xfId="62" applyFont="1" applyBorder="1" applyAlignment="1">
      <alignment horizontal="center" vertical="center" wrapText="1"/>
      <protection/>
    </xf>
    <xf numFmtId="0" fontId="20" fillId="0" borderId="21" xfId="62" applyFont="1" applyBorder="1" applyAlignment="1">
      <alignment horizontal="center" vertical="center"/>
      <protection/>
    </xf>
    <xf numFmtId="3" fontId="20" fillId="0" borderId="21" xfId="62" applyNumberFormat="1" applyFont="1" applyBorder="1" applyAlignment="1">
      <alignment horizontal="center" vertical="center" wrapText="1"/>
      <protection/>
    </xf>
    <xf numFmtId="3" fontId="20" fillId="0" borderId="22" xfId="62" applyNumberFormat="1" applyFont="1" applyBorder="1" applyAlignment="1">
      <alignment horizontal="center" vertical="center" wrapText="1"/>
      <protection/>
    </xf>
    <xf numFmtId="0" fontId="15" fillId="0" borderId="21" xfId="62" applyFont="1" applyBorder="1" applyAlignment="1">
      <alignment horizontal="center" vertical="center"/>
      <protection/>
    </xf>
    <xf numFmtId="164" fontId="14" fillId="0" borderId="21" xfId="62" applyNumberFormat="1" applyFont="1" applyFill="1" applyBorder="1" applyAlignment="1">
      <alignment horizontal="right" vertical="center"/>
      <protection/>
    </xf>
    <xf numFmtId="164" fontId="14" fillId="0" borderId="21" xfId="62" applyNumberFormat="1" applyFont="1" applyFill="1" applyBorder="1" applyAlignment="1">
      <alignment horizontal="right" vertical="center" wrapText="1"/>
      <protection/>
    </xf>
    <xf numFmtId="164" fontId="15" fillId="0" borderId="22" xfId="62" applyNumberFormat="1" applyFont="1" applyBorder="1" applyAlignment="1">
      <alignment horizontal="right" vertical="center" wrapText="1"/>
      <protection/>
    </xf>
    <xf numFmtId="164" fontId="14" fillId="33" borderId="21" xfId="62" applyNumberFormat="1" applyFont="1" applyFill="1" applyBorder="1" applyAlignment="1">
      <alignment horizontal="right" vertical="center"/>
      <protection/>
    </xf>
    <xf numFmtId="164" fontId="14" fillId="33" borderId="21" xfId="62" applyNumberFormat="1" applyFont="1" applyFill="1" applyBorder="1" applyAlignment="1">
      <alignment horizontal="right" vertical="center" wrapText="1"/>
      <protection/>
    </xf>
    <xf numFmtId="0" fontId="20" fillId="0" borderId="24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164" fontId="14" fillId="33" borderId="18" xfId="62" applyNumberFormat="1" applyFont="1" applyFill="1" applyBorder="1" applyAlignment="1">
      <alignment horizontal="right" vertical="center"/>
      <protection/>
    </xf>
    <xf numFmtId="164" fontId="14" fillId="33" borderId="18" xfId="62" applyNumberFormat="1" applyFont="1" applyFill="1" applyBorder="1" applyAlignment="1">
      <alignment horizontal="right" vertical="center" wrapText="1"/>
      <protection/>
    </xf>
    <xf numFmtId="164" fontId="14" fillId="0" borderId="18" xfId="62" applyNumberFormat="1" applyFont="1" applyFill="1" applyBorder="1" applyAlignment="1">
      <alignment horizontal="right" vertical="center" wrapText="1"/>
      <protection/>
    </xf>
    <xf numFmtId="164" fontId="15" fillId="0" borderId="29" xfId="62" applyNumberFormat="1" applyFont="1" applyBorder="1" applyAlignment="1">
      <alignment horizontal="right" vertical="center" wrapText="1"/>
      <protection/>
    </xf>
    <xf numFmtId="0" fontId="14" fillId="33" borderId="0" xfId="62" applyFont="1" applyFill="1" applyAlignment="1">
      <alignment vertical="center"/>
      <protection/>
    </xf>
    <xf numFmtId="164" fontId="110" fillId="0" borderId="21" xfId="0" applyNumberFormat="1" applyFont="1" applyBorder="1" applyAlignment="1">
      <alignment vertical="center"/>
    </xf>
    <xf numFmtId="0" fontId="67" fillId="0" borderId="21" xfId="0" applyFont="1" applyBorder="1" applyAlignment="1">
      <alignment horizontal="right" vertical="center"/>
    </xf>
    <xf numFmtId="0" fontId="67" fillId="0" borderId="21" xfId="0" applyFont="1" applyBorder="1" applyAlignment="1">
      <alignment horizontal="right" vertical="center" wrapText="1"/>
    </xf>
    <xf numFmtId="164" fontId="67" fillId="0" borderId="21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22" fillId="0" borderId="48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 vertical="center"/>
      <protection/>
    </xf>
    <xf numFmtId="3" fontId="19" fillId="0" borderId="27" xfId="59" applyNumberFormat="1" applyFont="1" applyBorder="1" applyAlignment="1">
      <alignment horizontal="right" vertical="center"/>
      <protection/>
    </xf>
    <xf numFmtId="3" fontId="19" fillId="0" borderId="51" xfId="59" applyNumberFormat="1" applyFont="1" applyBorder="1" applyAlignment="1">
      <alignment horizontal="right" vertical="center"/>
      <protection/>
    </xf>
    <xf numFmtId="3" fontId="19" fillId="0" borderId="50" xfId="59" applyNumberFormat="1" applyFont="1" applyBorder="1" applyAlignment="1">
      <alignment horizontal="right" vertical="center"/>
      <protection/>
    </xf>
    <xf numFmtId="3" fontId="16" fillId="33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3" fontId="16" fillId="0" borderId="39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0" fontId="7" fillId="0" borderId="12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38" borderId="20" xfId="0" applyFont="1" applyFill="1" applyBorder="1" applyAlignment="1">
      <alignment vertical="center"/>
    </xf>
    <xf numFmtId="0" fontId="21" fillId="38" borderId="21" xfId="0" applyFont="1" applyFill="1" applyBorder="1" applyAlignment="1">
      <alignment/>
    </xf>
    <xf numFmtId="49" fontId="62" fillId="39" borderId="20" xfId="0" applyNumberFormat="1" applyFont="1" applyFill="1" applyBorder="1" applyAlignment="1">
      <alignment vertical="center" wrapText="1"/>
    </xf>
    <xf numFmtId="0" fontId="62" fillId="39" borderId="21" xfId="0" applyFont="1" applyFill="1" applyBorder="1" applyAlignment="1">
      <alignment/>
    </xf>
    <xf numFmtId="49" fontId="69" fillId="0" borderId="20" xfId="0" applyNumberFormat="1" applyFont="1" applyBorder="1" applyAlignment="1">
      <alignment wrapText="1"/>
    </xf>
    <xf numFmtId="0" fontId="69" fillId="0" borderId="21" xfId="0" applyFont="1" applyBorder="1" applyAlignment="1">
      <alignment/>
    </xf>
    <xf numFmtId="49" fontId="69" fillId="0" borderId="20" xfId="0" applyNumberFormat="1" applyFont="1" applyBorder="1" applyAlignment="1">
      <alignment/>
    </xf>
    <xf numFmtId="49" fontId="13" fillId="39" borderId="20" xfId="0" applyNumberFormat="1" applyFont="1" applyFill="1" applyBorder="1" applyAlignment="1">
      <alignment vertical="center" wrapText="1"/>
    </xf>
    <xf numFmtId="0" fontId="13" fillId="39" borderId="21" xfId="0" applyFont="1" applyFill="1" applyBorder="1" applyAlignment="1">
      <alignment/>
    </xf>
    <xf numFmtId="0" fontId="21" fillId="38" borderId="20" xfId="0" applyFont="1" applyFill="1" applyBorder="1" applyAlignment="1">
      <alignment vertical="center" wrapText="1"/>
    </xf>
    <xf numFmtId="0" fontId="21" fillId="38" borderId="21" xfId="0" applyFont="1" applyFill="1" applyBorder="1" applyAlignment="1">
      <alignment vertical="center"/>
    </xf>
    <xf numFmtId="0" fontId="69" fillId="0" borderId="20" xfId="0" applyFont="1" applyBorder="1" applyAlignment="1">
      <alignment wrapText="1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49" fontId="70" fillId="0" borderId="20" xfId="0" applyNumberFormat="1" applyFont="1" applyBorder="1" applyAlignment="1">
      <alignment/>
    </xf>
    <xf numFmtId="49" fontId="69" fillId="0" borderId="20" xfId="0" applyNumberFormat="1" applyFont="1" applyBorder="1" applyAlignment="1">
      <alignment/>
    </xf>
    <xf numFmtId="0" fontId="69" fillId="0" borderId="21" xfId="0" applyFont="1" applyFill="1" applyBorder="1" applyAlignment="1">
      <alignment/>
    </xf>
    <xf numFmtId="0" fontId="21" fillId="5" borderId="20" xfId="0" applyFont="1" applyFill="1" applyBorder="1" applyAlignment="1">
      <alignment vertical="center" wrapText="1"/>
    </xf>
    <xf numFmtId="0" fontId="21" fillId="5" borderId="21" xfId="0" applyFont="1" applyFill="1" applyBorder="1" applyAlignment="1">
      <alignment vertical="center"/>
    </xf>
    <xf numFmtId="49" fontId="69" fillId="0" borderId="20" xfId="0" applyNumberFormat="1" applyFont="1" applyBorder="1" applyAlignment="1">
      <alignment vertical="center" wrapText="1"/>
    </xf>
    <xf numFmtId="0" fontId="69" fillId="0" borderId="21" xfId="0" applyFont="1" applyBorder="1" applyAlignment="1">
      <alignment vertical="center"/>
    </xf>
    <xf numFmtId="0" fontId="22" fillId="0" borderId="48" xfId="59" applyFont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0" fontId="67" fillId="0" borderId="21" xfId="0" applyFont="1" applyBorder="1" applyAlignment="1">
      <alignment vertical="center" wrapText="1"/>
    </xf>
    <xf numFmtId="3" fontId="0" fillId="0" borderId="50" xfId="0" applyNumberFormat="1" applyBorder="1" applyAlignment="1">
      <alignment/>
    </xf>
    <xf numFmtId="3" fontId="0" fillId="4" borderId="107" xfId="0" applyNumberFormat="1" applyFill="1" applyBorder="1" applyAlignment="1">
      <alignment/>
    </xf>
    <xf numFmtId="3" fontId="22" fillId="0" borderId="57" xfId="59" applyNumberFormat="1" applyFont="1" applyBorder="1" applyAlignment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6" fillId="0" borderId="21" xfId="0" applyFont="1" applyFill="1" applyBorder="1" applyAlignment="1">
      <alignment vertical="center"/>
    </xf>
    <xf numFmtId="0" fontId="40" fillId="0" borderId="21" xfId="0" applyFont="1" applyBorder="1" applyAlignment="1">
      <alignment vertical="center"/>
    </xf>
    <xf numFmtId="3" fontId="40" fillId="0" borderId="21" xfId="0" applyNumberFormat="1" applyFont="1" applyBorder="1" applyAlignment="1">
      <alignment vertical="center"/>
    </xf>
    <xf numFmtId="3" fontId="44" fillId="0" borderId="21" xfId="0" applyNumberFormat="1" applyFont="1" applyBorder="1" applyAlignment="1">
      <alignment vertical="center"/>
    </xf>
    <xf numFmtId="3" fontId="44" fillId="0" borderId="102" xfId="0" applyNumberFormat="1" applyFont="1" applyBorder="1" applyAlignment="1">
      <alignment vertical="center"/>
    </xf>
    <xf numFmtId="0" fontId="21" fillId="0" borderId="21" xfId="61" applyFont="1" applyBorder="1" applyAlignment="1">
      <alignment vertical="center"/>
      <protection/>
    </xf>
    <xf numFmtId="0" fontId="13" fillId="0" borderId="21" xfId="61" applyFont="1" applyBorder="1" applyAlignment="1">
      <alignment vertical="center"/>
      <protection/>
    </xf>
    <xf numFmtId="0" fontId="6" fillId="0" borderId="14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7" fillId="0" borderId="21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6" fillId="0" borderId="102" xfId="0" applyFont="1" applyFill="1" applyBorder="1" applyAlignment="1">
      <alignment vertical="center"/>
    </xf>
    <xf numFmtId="0" fontId="8" fillId="0" borderId="101" xfId="0" applyFont="1" applyFill="1" applyBorder="1" applyAlignment="1">
      <alignment vertical="center"/>
    </xf>
    <xf numFmtId="0" fontId="8" fillId="0" borderId="102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33" xfId="0" applyFont="1" applyFill="1" applyBorder="1" applyAlignment="1">
      <alignment vertical="center"/>
    </xf>
    <xf numFmtId="3" fontId="22" fillId="0" borderId="44" xfId="59" applyNumberFormat="1" applyFont="1" applyBorder="1" applyAlignment="1">
      <alignment horizontal="right" vertical="center"/>
      <protection/>
    </xf>
    <xf numFmtId="0" fontId="22" fillId="0" borderId="53" xfId="59" applyFont="1" applyBorder="1" applyAlignment="1">
      <alignment horizontal="left" vertical="center"/>
      <protection/>
    </xf>
    <xf numFmtId="0" fontId="18" fillId="0" borderId="107" xfId="0" applyFont="1" applyBorder="1" applyAlignment="1">
      <alignment horizontal="center"/>
    </xf>
    <xf numFmtId="0" fontId="21" fillId="0" borderId="53" xfId="0" applyFont="1" applyBorder="1" applyAlignment="1">
      <alignment/>
    </xf>
    <xf numFmtId="3" fontId="21" fillId="4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21" fillId="36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 horizontal="center"/>
    </xf>
    <xf numFmtId="3" fontId="21" fillId="4" borderId="57" xfId="0" applyNumberFormat="1" applyFon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21" fillId="0" borderId="79" xfId="0" applyFont="1" applyBorder="1" applyAlignment="1">
      <alignment/>
    </xf>
    <xf numFmtId="3" fontId="0" fillId="33" borderId="33" xfId="0" applyNumberFormat="1" applyFill="1" applyBorder="1" applyAlignment="1">
      <alignment/>
    </xf>
    <xf numFmtId="3" fontId="0" fillId="33" borderId="7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91" xfId="0" applyNumberFormat="1" applyFill="1" applyBorder="1" applyAlignment="1">
      <alignment/>
    </xf>
    <xf numFmtId="3" fontId="0" fillId="33" borderId="104" xfId="0" applyNumberFormat="1" applyFill="1" applyBorder="1" applyAlignment="1">
      <alignment/>
    </xf>
    <xf numFmtId="3" fontId="0" fillId="33" borderId="7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21" fillId="33" borderId="76" xfId="0" applyNumberFormat="1" applyFont="1" applyFill="1" applyBorder="1" applyAlignment="1">
      <alignment/>
    </xf>
    <xf numFmtId="3" fontId="0" fillId="33" borderId="76" xfId="0" applyNumberFormat="1" applyFill="1" applyBorder="1" applyAlignment="1">
      <alignment/>
    </xf>
    <xf numFmtId="3" fontId="0" fillId="33" borderId="76" xfId="0" applyNumberFormat="1" applyFill="1" applyBorder="1" applyAlignment="1">
      <alignment horizontal="center"/>
    </xf>
    <xf numFmtId="3" fontId="21" fillId="33" borderId="124" xfId="0" applyNumberFormat="1" applyFont="1" applyFill="1" applyBorder="1" applyAlignment="1">
      <alignment/>
    </xf>
    <xf numFmtId="0" fontId="21" fillId="33" borderId="79" xfId="0" applyFont="1" applyFill="1" applyBorder="1" applyAlignment="1">
      <alignment/>
    </xf>
    <xf numFmtId="3" fontId="22" fillId="0" borderId="52" xfId="59" applyNumberFormat="1" applyFont="1" applyBorder="1" applyAlignment="1">
      <alignment vertical="center"/>
      <protection/>
    </xf>
    <xf numFmtId="0" fontId="22" fillId="0" borderId="58" xfId="59" applyFont="1" applyBorder="1" applyAlignment="1">
      <alignment horizontal="right" vertical="center" wrapText="1"/>
      <protection/>
    </xf>
    <xf numFmtId="3" fontId="19" fillId="0" borderId="0" xfId="59" applyNumberFormat="1" applyFont="1" applyBorder="1" applyAlignment="1">
      <alignment vertical="center"/>
      <protection/>
    </xf>
    <xf numFmtId="3" fontId="19" fillId="0" borderId="51" xfId="59" applyNumberFormat="1" applyFont="1" applyBorder="1" applyAlignment="1">
      <alignment vertical="center"/>
      <protection/>
    </xf>
    <xf numFmtId="3" fontId="57" fillId="0" borderId="27" xfId="59" applyNumberFormat="1" applyFont="1" applyBorder="1" applyAlignment="1">
      <alignment vertical="center"/>
      <protection/>
    </xf>
    <xf numFmtId="3" fontId="57" fillId="0" borderId="56" xfId="59" applyNumberFormat="1" applyFont="1" applyBorder="1" applyAlignment="1">
      <alignment vertical="center"/>
      <protection/>
    </xf>
    <xf numFmtId="3" fontId="57" fillId="0" borderId="48" xfId="59" applyNumberFormat="1" applyFont="1" applyBorder="1" applyAlignment="1">
      <alignment vertical="center"/>
      <protection/>
    </xf>
    <xf numFmtId="3" fontId="57" fillId="0" borderId="51" xfId="59" applyNumberFormat="1" applyFont="1" applyBorder="1" applyAlignment="1">
      <alignment vertical="center"/>
      <protection/>
    </xf>
    <xf numFmtId="3" fontId="40" fillId="0" borderId="101" xfId="60" applyNumberFormat="1" applyFont="1" applyFill="1" applyBorder="1" applyAlignment="1">
      <alignment vertical="center" wrapText="1"/>
      <protection/>
    </xf>
    <xf numFmtId="3" fontId="40" fillId="0" borderId="14" xfId="60" applyNumberFormat="1" applyFont="1" applyFill="1" applyBorder="1" applyAlignment="1">
      <alignment vertical="center" wrapText="1"/>
      <protection/>
    </xf>
    <xf numFmtId="0" fontId="18" fillId="0" borderId="0" xfId="0" applyFont="1" applyBorder="1" applyAlignment="1">
      <alignment horizontal="right" vertical="center"/>
    </xf>
    <xf numFmtId="0" fontId="18" fillId="0" borderId="50" xfId="0" applyFont="1" applyBorder="1" applyAlignment="1">
      <alignment horizontal="right" vertical="center"/>
    </xf>
    <xf numFmtId="0" fontId="18" fillId="0" borderId="53" xfId="59" applyFont="1" applyBorder="1" applyAlignment="1">
      <alignment vertical="center"/>
      <protection/>
    </xf>
    <xf numFmtId="0" fontId="18" fillId="0" borderId="0" xfId="59" applyFont="1" applyBorder="1" applyAlignment="1">
      <alignment vertical="center"/>
      <protection/>
    </xf>
    <xf numFmtId="0" fontId="18" fillId="0" borderId="57" xfId="59" applyFont="1" applyBorder="1" applyAlignment="1">
      <alignment vertical="center"/>
      <protection/>
    </xf>
    <xf numFmtId="0" fontId="22" fillId="0" borderId="57" xfId="59" applyFont="1" applyBorder="1" applyAlignment="1">
      <alignment vertical="center"/>
      <protection/>
    </xf>
    <xf numFmtId="0" fontId="69" fillId="33" borderId="21" xfId="0" applyFont="1" applyFill="1" applyBorder="1" applyAlignment="1">
      <alignment/>
    </xf>
    <xf numFmtId="0" fontId="0" fillId="0" borderId="0" xfId="0" applyFont="1" applyAlignment="1">
      <alignment/>
    </xf>
    <xf numFmtId="0" fontId="39" fillId="0" borderId="21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39" fillId="0" borderId="21" xfId="0" applyFont="1" applyBorder="1" applyAlignment="1">
      <alignment horizontal="left" wrapText="1"/>
    </xf>
    <xf numFmtId="0" fontId="40" fillId="0" borderId="21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9" fillId="0" borderId="14" xfId="58" applyFont="1" applyBorder="1" applyAlignment="1">
      <alignment horizontal="left" wrapText="1"/>
      <protection/>
    </xf>
    <xf numFmtId="0" fontId="39" fillId="0" borderId="17" xfId="58" applyFont="1" applyBorder="1" applyAlignment="1">
      <alignment horizontal="left" wrapText="1"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0" fontId="39" fillId="0" borderId="16" xfId="58" applyFont="1" applyBorder="1" applyAlignment="1">
      <alignment horizontal="left"/>
      <protection/>
    </xf>
    <xf numFmtId="0" fontId="39" fillId="0" borderId="21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40" fillId="0" borderId="14" xfId="58" applyFont="1" applyBorder="1" applyAlignment="1">
      <alignment horizontal="left" wrapText="1"/>
      <protection/>
    </xf>
    <xf numFmtId="0" fontId="40" fillId="0" borderId="17" xfId="58" applyFont="1" applyBorder="1" applyAlignment="1">
      <alignment horizontal="left" wrapText="1"/>
      <protection/>
    </xf>
    <xf numFmtId="0" fontId="18" fillId="0" borderId="0" xfId="58" applyFont="1" applyAlignment="1">
      <alignment horizontal="right" vertical="center"/>
      <protection/>
    </xf>
    <xf numFmtId="0" fontId="42" fillId="0" borderId="0" xfId="58" applyFont="1" applyFill="1" applyAlignment="1">
      <alignment horizontal="center" vertical="center"/>
      <protection/>
    </xf>
    <xf numFmtId="0" fontId="43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19" fillId="0" borderId="21" xfId="58" applyFont="1" applyBorder="1" applyAlignment="1">
      <alignment horizontal="left"/>
      <protection/>
    </xf>
    <xf numFmtId="0" fontId="39" fillId="0" borderId="14" xfId="58" applyFont="1" applyBorder="1" applyAlignment="1">
      <alignment horizontal="left" vertical="center" wrapText="1"/>
      <protection/>
    </xf>
    <xf numFmtId="0" fontId="39" fillId="0" borderId="17" xfId="58" applyFont="1" applyBorder="1" applyAlignment="1">
      <alignment horizontal="left" vertical="center" wrapText="1"/>
      <protection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0" fontId="20" fillId="0" borderId="137" xfId="0" applyFont="1" applyFill="1" applyBorder="1" applyAlignment="1">
      <alignment horizontal="center" vertical="center"/>
    </xf>
    <xf numFmtId="0" fontId="20" fillId="0" borderId="138" xfId="0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horizontal="center" vertical="center"/>
    </xf>
    <xf numFmtId="0" fontId="20" fillId="0" borderId="139" xfId="0" applyFont="1" applyFill="1" applyBorder="1" applyAlignment="1">
      <alignment horizontal="center" vertical="center" wrapText="1"/>
    </xf>
    <xf numFmtId="0" fontId="20" fillId="0" borderId="14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center" textRotation="90"/>
    </xf>
    <xf numFmtId="0" fontId="4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49" fontId="20" fillId="0" borderId="134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60" fillId="0" borderId="132" xfId="0" applyFont="1" applyFill="1" applyBorder="1" applyAlignment="1">
      <alignment horizontal="center" vertical="center" wrapText="1"/>
    </xf>
    <xf numFmtId="0" fontId="60" fillId="0" borderId="102" xfId="0" applyFont="1" applyFill="1" applyBorder="1" applyAlignment="1">
      <alignment horizontal="center" vertical="center" wrapText="1"/>
    </xf>
    <xf numFmtId="0" fontId="60" fillId="0" borderId="10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43" fillId="0" borderId="115" xfId="0" applyNumberFormat="1" applyFont="1" applyFill="1" applyBorder="1" applyAlignment="1">
      <alignment horizontal="left" vertical="center"/>
    </xf>
    <xf numFmtId="49" fontId="43" fillId="0" borderId="16" xfId="0" applyNumberFormat="1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horizontal="left" vertical="center"/>
    </xf>
    <xf numFmtId="49" fontId="43" fillId="0" borderId="122" xfId="0" applyNumberFormat="1" applyFont="1" applyFill="1" applyBorder="1" applyAlignment="1">
      <alignment horizontal="left" vertical="center"/>
    </xf>
    <xf numFmtId="49" fontId="43" fillId="0" borderId="90" xfId="0" applyNumberFormat="1" applyFont="1" applyFill="1" applyBorder="1" applyAlignment="1">
      <alignment horizontal="left" vertical="center"/>
    </xf>
    <xf numFmtId="49" fontId="43" fillId="0" borderId="23" xfId="0" applyNumberFormat="1" applyFont="1" applyFill="1" applyBorder="1" applyAlignment="1">
      <alignment horizontal="left" vertical="center"/>
    </xf>
    <xf numFmtId="49" fontId="43" fillId="0" borderId="113" xfId="0" applyNumberFormat="1" applyFont="1" applyFill="1" applyBorder="1" applyAlignment="1">
      <alignment horizontal="left" vertical="center"/>
    </xf>
    <xf numFmtId="49" fontId="43" fillId="0" borderId="138" xfId="0" applyNumberFormat="1" applyFont="1" applyFill="1" applyBorder="1" applyAlignment="1">
      <alignment horizontal="left" vertical="center"/>
    </xf>
    <xf numFmtId="49" fontId="43" fillId="0" borderId="141" xfId="0" applyNumberFormat="1" applyFont="1" applyFill="1" applyBorder="1" applyAlignment="1">
      <alignment horizontal="left" vertical="center"/>
    </xf>
    <xf numFmtId="0" fontId="57" fillId="0" borderId="116" xfId="60" applyFont="1" applyFill="1" applyBorder="1" applyAlignment="1">
      <alignment horizontal="left" vertical="center"/>
      <protection/>
    </xf>
    <xf numFmtId="0" fontId="57" fillId="0" borderId="142" xfId="60" applyFont="1" applyFill="1" applyBorder="1" applyAlignment="1">
      <alignment horizontal="left" vertical="center"/>
      <protection/>
    </xf>
    <xf numFmtId="0" fontId="57" fillId="0" borderId="13" xfId="60" applyFont="1" applyFill="1" applyBorder="1" applyAlignment="1">
      <alignment horizontal="left" vertical="center"/>
      <protection/>
    </xf>
    <xf numFmtId="0" fontId="23" fillId="0" borderId="41" xfId="60" applyFont="1" applyFill="1" applyBorder="1" applyAlignment="1">
      <alignment horizontal="left" vertical="center"/>
      <protection/>
    </xf>
    <xf numFmtId="0" fontId="23" fillId="0" borderId="99" xfId="60" applyFont="1" applyFill="1" applyBorder="1" applyAlignment="1">
      <alignment horizontal="left" vertical="center"/>
      <protection/>
    </xf>
    <xf numFmtId="0" fontId="23" fillId="0" borderId="105" xfId="60" applyFont="1" applyFill="1" applyBorder="1" applyAlignment="1">
      <alignment horizontal="left" vertical="center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35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1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3" fillId="0" borderId="41" xfId="60" applyFont="1" applyFill="1" applyBorder="1" applyAlignment="1">
      <alignment horizontal="left" vertical="center" wrapText="1"/>
      <protection/>
    </xf>
    <xf numFmtId="0" fontId="23" fillId="0" borderId="99" xfId="60" applyFont="1" applyFill="1" applyBorder="1" applyAlignment="1">
      <alignment horizontal="left" vertical="center" wrapText="1"/>
      <protection/>
    </xf>
    <xf numFmtId="0" fontId="23" fillId="0" borderId="105" xfId="60" applyFont="1" applyFill="1" applyBorder="1" applyAlignment="1">
      <alignment horizontal="left" vertical="center" wrapText="1"/>
      <protection/>
    </xf>
    <xf numFmtId="0" fontId="20" fillId="0" borderId="74" xfId="60" applyFont="1" applyFill="1" applyBorder="1" applyAlignment="1">
      <alignment horizontal="center" vertical="center"/>
      <protection/>
    </xf>
    <xf numFmtId="0" fontId="20" fillId="0" borderId="27" xfId="60" applyFont="1" applyFill="1" applyBorder="1" applyAlignment="1">
      <alignment horizontal="center" vertical="center"/>
      <protection/>
    </xf>
    <xf numFmtId="0" fontId="20" fillId="0" borderId="128" xfId="60" applyFont="1" applyFill="1" applyBorder="1" applyAlignment="1">
      <alignment horizontal="center" vertical="center"/>
      <protection/>
    </xf>
    <xf numFmtId="49" fontId="20" fillId="0" borderId="134" xfId="60" applyNumberFormat="1" applyFont="1" applyFill="1" applyBorder="1" applyAlignment="1">
      <alignment horizontal="center" vertical="center"/>
      <protection/>
    </xf>
    <xf numFmtId="49" fontId="20" fillId="0" borderId="121" xfId="60" applyNumberFormat="1" applyFont="1" applyFill="1" applyBorder="1" applyAlignment="1">
      <alignment horizontal="center" vertical="center"/>
      <protection/>
    </xf>
    <xf numFmtId="49" fontId="20" fillId="0" borderId="143" xfId="60" applyNumberFormat="1" applyFont="1" applyFill="1" applyBorder="1" applyAlignment="1">
      <alignment horizontal="center" vertical="center"/>
      <protection/>
    </xf>
    <xf numFmtId="0" fontId="15" fillId="0" borderId="99" xfId="60" applyFont="1" applyFill="1" applyBorder="1" applyAlignment="1">
      <alignment horizontal="center" vertical="center"/>
      <protection/>
    </xf>
    <xf numFmtId="0" fontId="15" fillId="0" borderId="105" xfId="60" applyFont="1" applyFill="1" applyBorder="1" applyAlignment="1">
      <alignment horizontal="center" vertical="center"/>
      <protection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7" fillId="0" borderId="144" xfId="60" applyFont="1" applyFill="1" applyBorder="1" applyAlignment="1">
      <alignment horizontal="center" vertical="center" wrapText="1"/>
      <protection/>
    </xf>
    <xf numFmtId="0" fontId="17" fillId="0" borderId="107" xfId="60" applyFont="1" applyFill="1" applyBorder="1" applyAlignment="1">
      <alignment horizontal="center" vertical="center" wrapText="1"/>
      <protection/>
    </xf>
    <xf numFmtId="0" fontId="17" fillId="0" borderId="145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20" fillId="0" borderId="57" xfId="60" applyFont="1" applyFill="1" applyBorder="1" applyAlignment="1">
      <alignment horizontal="center" vertical="center" wrapText="1"/>
      <protection/>
    </xf>
    <xf numFmtId="0" fontId="20" fillId="0" borderId="44" xfId="60" applyFont="1" applyFill="1" applyBorder="1" applyAlignment="1">
      <alignment horizontal="center" vertical="center" wrapText="1"/>
      <protection/>
    </xf>
    <xf numFmtId="0" fontId="22" fillId="0" borderId="48" xfId="59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center" vertical="center" wrapText="1"/>
      <protection/>
    </xf>
    <xf numFmtId="0" fontId="22" fillId="0" borderId="53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2" fillId="0" borderId="53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83" xfId="59" applyFont="1" applyBorder="1" applyAlignment="1">
      <alignment horizontal="left" vertical="center" wrapText="1"/>
      <protection/>
    </xf>
    <xf numFmtId="0" fontId="22" fillId="0" borderId="52" xfId="59" applyFont="1" applyBorder="1" applyAlignment="1">
      <alignment horizontal="left" vertical="center" wrapText="1"/>
      <protection/>
    </xf>
    <xf numFmtId="3" fontId="15" fillId="0" borderId="144" xfId="59" applyNumberFormat="1" applyFont="1" applyBorder="1" applyAlignment="1">
      <alignment horizontal="center" vertical="center"/>
      <protection/>
    </xf>
    <xf numFmtId="3" fontId="15" fillId="0" borderId="107" xfId="59" applyNumberFormat="1" applyFont="1" applyBorder="1" applyAlignment="1">
      <alignment horizontal="center" vertical="center"/>
      <protection/>
    </xf>
    <xf numFmtId="0" fontId="57" fillId="0" borderId="61" xfId="60" applyFont="1" applyFill="1" applyBorder="1" applyAlignment="1">
      <alignment horizontal="center" vertical="center" wrapText="1"/>
      <protection/>
    </xf>
    <xf numFmtId="0" fontId="18" fillId="0" borderId="45" xfId="0" applyFont="1" applyBorder="1" applyAlignment="1">
      <alignment/>
    </xf>
    <xf numFmtId="0" fontId="18" fillId="0" borderId="98" xfId="0" applyFont="1" applyBorder="1" applyAlignment="1">
      <alignment/>
    </xf>
    <xf numFmtId="0" fontId="18" fillId="0" borderId="146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44" xfId="0" applyFont="1" applyBorder="1" applyAlignment="1">
      <alignment/>
    </xf>
    <xf numFmtId="3" fontId="57" fillId="0" borderId="55" xfId="59" applyNumberFormat="1" applyFont="1" applyBorder="1" applyAlignment="1">
      <alignment horizontal="right" vertical="center"/>
      <protection/>
    </xf>
    <xf numFmtId="3" fontId="57" fillId="0" borderId="51" xfId="59" applyNumberFormat="1" applyFont="1" applyBorder="1" applyAlignment="1">
      <alignment horizontal="right" vertical="center"/>
      <protection/>
    </xf>
    <xf numFmtId="3" fontId="57" fillId="0" borderId="65" xfId="59" applyNumberFormat="1" applyFont="1" applyBorder="1" applyAlignment="1">
      <alignment horizontal="right" vertical="center"/>
      <protection/>
    </xf>
    <xf numFmtId="0" fontId="22" fillId="0" borderId="146" xfId="59" applyFont="1" applyBorder="1" applyAlignment="1">
      <alignment horizontal="left" vertical="center" wrapText="1"/>
      <protection/>
    </xf>
    <xf numFmtId="0" fontId="22" fillId="0" borderId="28" xfId="59" applyFont="1" applyBorder="1" applyAlignment="1">
      <alignment horizontal="left" vertical="center" wrapText="1"/>
      <protection/>
    </xf>
    <xf numFmtId="3" fontId="15" fillId="0" borderId="147" xfId="59" applyNumberFormat="1" applyFont="1" applyBorder="1" applyAlignment="1">
      <alignment horizontal="right" vertical="center"/>
      <protection/>
    </xf>
    <xf numFmtId="3" fontId="15" fillId="0" borderId="148" xfId="59" applyNumberFormat="1" applyFont="1" applyBorder="1" applyAlignment="1">
      <alignment horizontal="right" vertical="center"/>
      <protection/>
    </xf>
    <xf numFmtId="3" fontId="15" fillId="0" borderId="149" xfId="59" applyNumberFormat="1" applyFont="1" applyBorder="1" applyAlignment="1">
      <alignment horizontal="right" vertical="center"/>
      <protection/>
    </xf>
    <xf numFmtId="3" fontId="57" fillId="0" borderId="126" xfId="59" applyNumberFormat="1" applyFont="1" applyBorder="1" applyAlignment="1">
      <alignment horizontal="right" vertical="center"/>
      <protection/>
    </xf>
    <xf numFmtId="3" fontId="57" fillId="0" borderId="68" xfId="59" applyNumberFormat="1" applyFont="1" applyBorder="1" applyAlignment="1">
      <alignment horizontal="right" vertical="center"/>
      <protection/>
    </xf>
    <xf numFmtId="3" fontId="57" fillId="0" borderId="150" xfId="59" applyNumberFormat="1" applyFont="1" applyBorder="1" applyAlignment="1">
      <alignment horizontal="right" vertical="center"/>
      <protection/>
    </xf>
    <xf numFmtId="3" fontId="57" fillId="0" borderId="74" xfId="59" applyNumberFormat="1" applyFont="1" applyBorder="1" applyAlignment="1">
      <alignment horizontal="right" vertical="center"/>
      <protection/>
    </xf>
    <xf numFmtId="3" fontId="57" fillId="0" borderId="27" xfId="59" applyNumberFormat="1" applyFont="1" applyBorder="1" applyAlignment="1">
      <alignment horizontal="right" vertical="center"/>
      <protection/>
    </xf>
    <xf numFmtId="3" fontId="57" fillId="0" borderId="77" xfId="59" applyNumberFormat="1" applyFont="1" applyBorder="1" applyAlignment="1">
      <alignment horizontal="right" vertical="center"/>
      <protection/>
    </xf>
    <xf numFmtId="3" fontId="22" fillId="0" borderId="58" xfId="59" applyNumberFormat="1" applyFont="1" applyBorder="1" applyAlignment="1">
      <alignment horizontal="right" vertical="center"/>
      <protection/>
    </xf>
    <xf numFmtId="3" fontId="22" fillId="0" borderId="57" xfId="59" applyNumberFormat="1" applyFont="1" applyBorder="1" applyAlignment="1">
      <alignment horizontal="right" vertical="center"/>
      <protection/>
    </xf>
    <xf numFmtId="0" fontId="22" fillId="0" borderId="54" xfId="59" applyFont="1" applyBorder="1" applyAlignment="1">
      <alignment horizontal="left" vertical="center" wrapText="1"/>
      <protection/>
    </xf>
    <xf numFmtId="0" fontId="58" fillId="0" borderId="53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0" fontId="58" fillId="0" borderId="53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0" fontId="57" fillId="0" borderId="45" xfId="60" applyFont="1" applyFill="1" applyBorder="1" applyAlignment="1">
      <alignment horizontal="center" vertical="center" wrapText="1"/>
      <protection/>
    </xf>
    <xf numFmtId="0" fontId="57" fillId="0" borderId="64" xfId="60" applyFont="1" applyFill="1" applyBorder="1" applyAlignment="1">
      <alignment horizontal="center" vertical="center" wrapText="1"/>
      <protection/>
    </xf>
    <xf numFmtId="0" fontId="57" fillId="0" borderId="146" xfId="60" applyFont="1" applyFill="1" applyBorder="1" applyAlignment="1">
      <alignment horizontal="center" vertical="center" wrapText="1"/>
      <protection/>
    </xf>
    <xf numFmtId="0" fontId="57" fillId="0" borderId="28" xfId="60" applyFont="1" applyFill="1" applyBorder="1" applyAlignment="1">
      <alignment horizontal="center" vertical="center" wrapText="1"/>
      <protection/>
    </xf>
    <xf numFmtId="0" fontId="57" fillId="0" borderId="151" xfId="60" applyFont="1" applyFill="1" applyBorder="1" applyAlignment="1">
      <alignment horizontal="center" vertical="center" wrapText="1"/>
      <protection/>
    </xf>
    <xf numFmtId="0" fontId="22" fillId="0" borderId="83" xfId="59" applyFont="1" applyBorder="1" applyAlignment="1">
      <alignment horizontal="left" wrapText="1"/>
      <protection/>
    </xf>
    <xf numFmtId="0" fontId="22" fillId="0" borderId="52" xfId="59" applyFont="1" applyBorder="1" applyAlignment="1">
      <alignment horizontal="left" wrapText="1"/>
      <protection/>
    </xf>
    <xf numFmtId="0" fontId="22" fillId="0" borderId="53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3" fontId="15" fillId="0" borderId="152" xfId="59" applyNumberFormat="1" applyFont="1" applyBorder="1" applyAlignment="1">
      <alignment horizontal="right" vertical="center"/>
      <protection/>
    </xf>
    <xf numFmtId="3" fontId="15" fillId="0" borderId="78" xfId="59" applyNumberFormat="1" applyFont="1" applyBorder="1" applyAlignment="1">
      <alignment horizontal="right" vertical="center"/>
      <protection/>
    </xf>
    <xf numFmtId="3" fontId="15" fillId="0" borderId="107" xfId="59" applyNumberFormat="1" applyFont="1" applyBorder="1" applyAlignment="1">
      <alignment horizontal="right" vertical="center"/>
      <protection/>
    </xf>
    <xf numFmtId="3" fontId="15" fillId="0" borderId="145" xfId="59" applyNumberFormat="1" applyFont="1" applyBorder="1" applyAlignment="1">
      <alignment horizontal="right" vertical="center"/>
      <protection/>
    </xf>
    <xf numFmtId="0" fontId="22" fillId="0" borderId="79" xfId="59" applyFont="1" applyBorder="1" applyAlignment="1">
      <alignment horizontal="left" vertical="center"/>
      <protection/>
    </xf>
    <xf numFmtId="0" fontId="22" fillId="0" borderId="76" xfId="59" applyFont="1" applyBorder="1" applyAlignment="1">
      <alignment horizontal="left" vertical="center"/>
      <protection/>
    </xf>
    <xf numFmtId="0" fontId="18" fillId="0" borderId="64" xfId="0" applyFont="1" applyBorder="1" applyAlignment="1">
      <alignment/>
    </xf>
    <xf numFmtId="0" fontId="57" fillId="34" borderId="85" xfId="59" applyFont="1" applyFill="1" applyBorder="1" applyAlignment="1">
      <alignment vertical="center"/>
      <protection/>
    </xf>
    <xf numFmtId="0" fontId="57" fillId="34" borderId="153" xfId="59" applyFont="1" applyFill="1" applyBorder="1" applyAlignment="1">
      <alignment vertical="center"/>
      <protection/>
    </xf>
    <xf numFmtId="3" fontId="15" fillId="0" borderId="144" xfId="59" applyNumberFormat="1" applyFont="1" applyBorder="1" applyAlignment="1">
      <alignment horizontal="right" vertical="center"/>
      <protection/>
    </xf>
    <xf numFmtId="0" fontId="22" fillId="0" borderId="53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0" fontId="58" fillId="0" borderId="48" xfId="59" applyFont="1" applyBorder="1" applyAlignment="1">
      <alignment horizontal="left"/>
      <protection/>
    </xf>
    <xf numFmtId="0" fontId="22" fillId="0" borderId="62" xfId="59" applyFont="1" applyBorder="1" applyAlignment="1">
      <alignment horizontal="left"/>
      <protection/>
    </xf>
    <xf numFmtId="0" fontId="22" fillId="0" borderId="45" xfId="59" applyFont="1" applyBorder="1" applyAlignment="1">
      <alignment horizontal="left"/>
      <protection/>
    </xf>
    <xf numFmtId="0" fontId="15" fillId="0" borderId="61" xfId="60" applyFont="1" applyFill="1" applyBorder="1" applyAlignment="1">
      <alignment horizontal="center" vertical="center" wrapText="1"/>
      <protection/>
    </xf>
    <xf numFmtId="0" fontId="18" fillId="0" borderId="45" xfId="0" applyFont="1" applyBorder="1" applyAlignment="1">
      <alignment horizontal="center" vertical="center" wrapText="1"/>
    </xf>
    <xf numFmtId="0" fontId="57" fillId="0" borderId="98" xfId="60" applyFont="1" applyFill="1" applyBorder="1" applyAlignment="1">
      <alignment horizontal="center" vertical="center" wrapText="1"/>
      <protection/>
    </xf>
    <xf numFmtId="0" fontId="57" fillId="0" borderId="44" xfId="60" applyFont="1" applyFill="1" applyBorder="1" applyAlignment="1">
      <alignment horizontal="center" vertical="center" wrapText="1"/>
      <protection/>
    </xf>
    <xf numFmtId="0" fontId="22" fillId="0" borderId="48" xfId="59" applyFont="1" applyBorder="1" applyAlignment="1">
      <alignment horizontal="left" wrapText="1"/>
      <protection/>
    </xf>
    <xf numFmtId="0" fontId="22" fillId="0" borderId="83" xfId="59" applyFont="1" applyBorder="1" applyAlignment="1">
      <alignment horizontal="left" vertical="center"/>
      <protection/>
    </xf>
    <xf numFmtId="0" fontId="22" fillId="0" borderId="52" xfId="59" applyFont="1" applyBorder="1" applyAlignment="1">
      <alignment horizontal="left" vertical="center"/>
      <protection/>
    </xf>
    <xf numFmtId="3" fontId="15" fillId="0" borderId="144" xfId="59" applyNumberFormat="1" applyFont="1" applyBorder="1" applyAlignment="1">
      <alignment horizontal="right" vertical="center" wrapText="1"/>
      <protection/>
    </xf>
    <xf numFmtId="3" fontId="15" fillId="0" borderId="107" xfId="59" applyNumberFormat="1" applyFont="1" applyBorder="1" applyAlignment="1">
      <alignment horizontal="right" vertical="center" wrapText="1"/>
      <protection/>
    </xf>
    <xf numFmtId="0" fontId="57" fillId="0" borderId="62" xfId="59" applyFont="1" applyBorder="1" applyAlignment="1">
      <alignment horizontal="center" vertical="center"/>
      <protection/>
    </xf>
    <xf numFmtId="0" fontId="18" fillId="0" borderId="45" xfId="59" applyFont="1" applyBorder="1" applyAlignment="1">
      <alignment horizontal="center" vertical="center"/>
      <protection/>
    </xf>
    <xf numFmtId="0" fontId="18" fillId="0" borderId="98" xfId="59" applyFont="1" applyBorder="1" applyAlignment="1">
      <alignment horizontal="center" vertical="center"/>
      <protection/>
    </xf>
    <xf numFmtId="0" fontId="18" fillId="0" borderId="92" xfId="59" applyFont="1" applyBorder="1" applyAlignment="1">
      <alignment horizontal="center" vertical="center"/>
      <protection/>
    </xf>
    <xf numFmtId="0" fontId="18" fillId="0" borderId="28" xfId="59" applyFont="1" applyBorder="1" applyAlignment="1">
      <alignment horizontal="center" vertical="center"/>
      <protection/>
    </xf>
    <xf numFmtId="0" fontId="18" fillId="0" borderId="44" xfId="59" applyFont="1" applyBorder="1" applyAlignment="1">
      <alignment horizontal="center" vertical="center"/>
      <protection/>
    </xf>
    <xf numFmtId="0" fontId="42" fillId="0" borderId="0" xfId="60" applyFont="1" applyFill="1" applyAlignment="1">
      <alignment horizontal="center" vertical="center" wrapText="1"/>
      <protection/>
    </xf>
    <xf numFmtId="0" fontId="22" fillId="0" borderId="48" xfId="59" applyFont="1" applyBorder="1" applyAlignment="1">
      <alignment horizontal="left" vertical="center" wrapText="1"/>
      <protection/>
    </xf>
    <xf numFmtId="0" fontId="22" fillId="0" borderId="83" xfId="59" applyFont="1" applyBorder="1" applyAlignment="1">
      <alignment horizontal="left"/>
      <protection/>
    </xf>
    <xf numFmtId="0" fontId="22" fillId="0" borderId="52" xfId="59" applyFont="1" applyBorder="1" applyAlignment="1">
      <alignment horizontal="left"/>
      <protection/>
    </xf>
    <xf numFmtId="3" fontId="15" fillId="0" borderId="61" xfId="59" applyNumberFormat="1" applyFont="1" applyBorder="1" applyAlignment="1">
      <alignment horizontal="right" vertical="center"/>
      <protection/>
    </xf>
    <xf numFmtId="3" fontId="15" fillId="0" borderId="53" xfId="59" applyNumberFormat="1" applyFont="1" applyBorder="1" applyAlignment="1">
      <alignment horizontal="right" vertical="center"/>
      <protection/>
    </xf>
    <xf numFmtId="3" fontId="15" fillId="0" borderId="146" xfId="59" applyNumberFormat="1" applyFont="1" applyBorder="1" applyAlignment="1">
      <alignment horizontal="right" vertical="center"/>
      <protection/>
    </xf>
    <xf numFmtId="0" fontId="22" fillId="0" borderId="146" xfId="59" applyFont="1" applyBorder="1" applyAlignment="1">
      <alignment horizontal="left" wrapText="1"/>
      <protection/>
    </xf>
    <xf numFmtId="0" fontId="22" fillId="0" borderId="28" xfId="59" applyFont="1" applyBorder="1" applyAlignment="1">
      <alignment horizontal="left" wrapText="1"/>
      <protection/>
    </xf>
    <xf numFmtId="0" fontId="23" fillId="0" borderId="76" xfId="59" applyFont="1" applyBorder="1" applyAlignment="1">
      <alignment horizontal="right" vertical="center"/>
      <protection/>
    </xf>
    <xf numFmtId="0" fontId="23" fillId="0" borderId="106" xfId="59" applyFont="1" applyBorder="1" applyAlignment="1">
      <alignment horizontal="right" vertical="center"/>
      <protection/>
    </xf>
    <xf numFmtId="0" fontId="23" fillId="0" borderId="48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0" xfId="59" applyFont="1" applyBorder="1" applyAlignment="1">
      <alignment horizontal="right"/>
      <protection/>
    </xf>
    <xf numFmtId="0" fontId="22" fillId="0" borderId="61" xfId="59" applyFont="1" applyBorder="1" applyAlignment="1">
      <alignment horizontal="left" vertical="center"/>
      <protection/>
    </xf>
    <xf numFmtId="0" fontId="22" fillId="0" borderId="45" xfId="59" applyFont="1" applyBorder="1" applyAlignment="1">
      <alignment horizontal="left" vertical="center"/>
      <protection/>
    </xf>
    <xf numFmtId="0" fontId="58" fillId="0" borderId="75" xfId="59" applyFont="1" applyBorder="1" applyAlignment="1">
      <alignment horizontal="left" vertical="center"/>
      <protection/>
    </xf>
    <xf numFmtId="0" fontId="58" fillId="0" borderId="76" xfId="59" applyFont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62" xfId="60" applyFont="1" applyFill="1" applyBorder="1" applyAlignment="1">
      <alignment horizontal="center" vertical="center" wrapText="1"/>
      <protection/>
    </xf>
    <xf numFmtId="0" fontId="15" fillId="0" borderId="154" xfId="60" applyFont="1" applyFill="1" applyBorder="1" applyAlignment="1">
      <alignment horizontal="center" vertical="center" wrapText="1"/>
      <protection/>
    </xf>
    <xf numFmtId="0" fontId="18" fillId="0" borderId="155" xfId="0" applyFont="1" applyBorder="1" applyAlignment="1">
      <alignment horizontal="center" vertical="center" wrapText="1"/>
    </xf>
    <xf numFmtId="0" fontId="18" fillId="0" borderId="156" xfId="0" applyFont="1" applyBorder="1" applyAlignment="1">
      <alignment horizontal="center" vertical="center" wrapText="1"/>
    </xf>
    <xf numFmtId="0" fontId="57" fillId="0" borderId="62" xfId="59" applyFont="1" applyBorder="1" applyAlignment="1">
      <alignment horizontal="center" vertical="center" wrapText="1"/>
      <protection/>
    </xf>
    <xf numFmtId="0" fontId="57" fillId="0" borderId="45" xfId="59" applyFont="1" applyBorder="1" applyAlignment="1">
      <alignment horizontal="center" vertical="center" wrapText="1"/>
      <protection/>
    </xf>
    <xf numFmtId="0" fontId="57" fillId="0" borderId="92" xfId="59" applyFont="1" applyBorder="1" applyAlignment="1">
      <alignment horizontal="center" vertical="center" wrapText="1"/>
      <protection/>
    </xf>
    <xf numFmtId="0" fontId="57" fillId="0" borderId="28" xfId="59" applyFont="1" applyBorder="1" applyAlignment="1">
      <alignment horizontal="center" vertical="center" wrapText="1"/>
      <protection/>
    </xf>
    <xf numFmtId="0" fontId="15" fillId="0" borderId="67" xfId="60" applyFont="1" applyFill="1" applyBorder="1" applyAlignment="1">
      <alignment horizontal="center" vertical="center" wrapText="1"/>
      <protection/>
    </xf>
    <xf numFmtId="0" fontId="18" fillId="0" borderId="151" xfId="0" applyFont="1" applyBorder="1" applyAlignment="1">
      <alignment/>
    </xf>
    <xf numFmtId="0" fontId="15" fillId="34" borderId="72" xfId="59" applyFont="1" applyFill="1" applyBorder="1" applyAlignment="1">
      <alignment horizontal="right" vertical="center"/>
      <protection/>
    </xf>
    <xf numFmtId="0" fontId="18" fillId="34" borderId="85" xfId="0" applyFont="1" applyFill="1" applyBorder="1" applyAlignment="1">
      <alignment horizontal="right" vertical="center"/>
    </xf>
    <xf numFmtId="0" fontId="18" fillId="34" borderId="157" xfId="0" applyFont="1" applyFill="1" applyBorder="1" applyAlignment="1">
      <alignment horizontal="right" vertical="center"/>
    </xf>
    <xf numFmtId="0" fontId="15" fillId="34" borderId="85" xfId="59" applyFont="1" applyFill="1" applyBorder="1" applyAlignment="1">
      <alignment vertical="center"/>
      <protection/>
    </xf>
    <xf numFmtId="0" fontId="15" fillId="34" borderId="85" xfId="0" applyFont="1" applyFill="1" applyBorder="1" applyAlignment="1">
      <alignment vertical="center"/>
    </xf>
    <xf numFmtId="0" fontId="15" fillId="34" borderId="153" xfId="0" applyFont="1" applyFill="1" applyBorder="1" applyAlignment="1">
      <alignment vertical="center"/>
    </xf>
    <xf numFmtId="0" fontId="18" fillId="0" borderId="9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5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92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5" fillId="34" borderId="72" xfId="59" applyFont="1" applyFill="1" applyBorder="1" applyAlignment="1">
      <alignment horizontal="right" vertical="center" wrapText="1"/>
      <protection/>
    </xf>
    <xf numFmtId="0" fontId="18" fillId="34" borderId="85" xfId="0" applyFont="1" applyFill="1" applyBorder="1" applyAlignment="1">
      <alignment horizontal="right" vertical="center" wrapText="1"/>
    </xf>
    <xf numFmtId="0" fontId="18" fillId="34" borderId="157" xfId="0" applyFont="1" applyFill="1" applyBorder="1" applyAlignment="1">
      <alignment horizontal="right" vertical="center" wrapText="1"/>
    </xf>
    <xf numFmtId="0" fontId="57" fillId="0" borderId="45" xfId="59" applyFont="1" applyBorder="1" applyAlignment="1">
      <alignment horizontal="center" vertical="center"/>
      <protection/>
    </xf>
    <xf numFmtId="0" fontId="57" fillId="0" borderId="98" xfId="59" applyFont="1" applyBorder="1" applyAlignment="1">
      <alignment horizontal="center" vertical="center"/>
      <protection/>
    </xf>
    <xf numFmtId="0" fontId="57" fillId="0" borderId="92" xfId="59" applyFont="1" applyBorder="1" applyAlignment="1">
      <alignment horizontal="center" vertical="center"/>
      <protection/>
    </xf>
    <xf numFmtId="0" fontId="57" fillId="0" borderId="28" xfId="59" applyFont="1" applyBorder="1" applyAlignment="1">
      <alignment horizontal="center" vertical="center"/>
      <protection/>
    </xf>
    <xf numFmtId="0" fontId="57" fillId="0" borderId="44" xfId="59" applyFont="1" applyBorder="1" applyAlignment="1">
      <alignment horizontal="center" vertical="center"/>
      <protection/>
    </xf>
    <xf numFmtId="0" fontId="15" fillId="34" borderId="72" xfId="59" applyFont="1" applyFill="1" applyBorder="1" applyAlignment="1">
      <alignment horizontal="right"/>
      <protection/>
    </xf>
    <xf numFmtId="0" fontId="18" fillId="34" borderId="85" xfId="0" applyFont="1" applyFill="1" applyBorder="1" applyAlignment="1">
      <alignment horizontal="right"/>
    </xf>
    <xf numFmtId="0" fontId="18" fillId="34" borderId="157" xfId="0" applyFont="1" applyFill="1" applyBorder="1" applyAlignment="1">
      <alignment horizontal="right"/>
    </xf>
    <xf numFmtId="0" fontId="15" fillId="34" borderId="85" xfId="59" applyFont="1" applyFill="1" applyBorder="1" applyAlignment="1">
      <alignment/>
      <protection/>
    </xf>
    <xf numFmtId="0" fontId="15" fillId="34" borderId="85" xfId="0" applyFont="1" applyFill="1" applyBorder="1" applyAlignment="1">
      <alignment/>
    </xf>
    <xf numFmtId="0" fontId="15" fillId="34" borderId="153" xfId="0" applyFont="1" applyFill="1" applyBorder="1" applyAlignment="1">
      <alignment/>
    </xf>
    <xf numFmtId="0" fontId="22" fillId="0" borderId="54" xfId="59" applyFont="1" applyBorder="1" applyAlignment="1">
      <alignment horizontal="left"/>
      <protection/>
    </xf>
    <xf numFmtId="0" fontId="18" fillId="0" borderId="0" xfId="0" applyFont="1" applyBorder="1" applyAlignment="1">
      <alignment horizontal="right"/>
    </xf>
    <xf numFmtId="0" fontId="18" fillId="0" borderId="50" xfId="0" applyFont="1" applyBorder="1" applyAlignment="1">
      <alignment horizontal="right"/>
    </xf>
    <xf numFmtId="0" fontId="19" fillId="0" borderId="0" xfId="59" applyFont="1" applyAlignment="1">
      <alignment horizontal="center"/>
      <protection/>
    </xf>
    <xf numFmtId="0" fontId="18" fillId="0" borderId="0" xfId="0" applyFont="1" applyAlignment="1">
      <alignment/>
    </xf>
    <xf numFmtId="0" fontId="57" fillId="34" borderId="75" xfId="59" applyFont="1" applyFill="1" applyBorder="1" applyAlignment="1">
      <alignment vertical="center" wrapText="1"/>
      <protection/>
    </xf>
    <xf numFmtId="0" fontId="14" fillId="34" borderId="76" xfId="0" applyFont="1" applyFill="1" applyBorder="1" applyAlignment="1">
      <alignment vertical="center" wrapText="1"/>
    </xf>
    <xf numFmtId="0" fontId="14" fillId="34" borderId="106" xfId="0" applyFont="1" applyFill="1" applyBorder="1" applyAlignment="1">
      <alignment vertical="center" wrapText="1"/>
    </xf>
    <xf numFmtId="0" fontId="43" fillId="0" borderId="158" xfId="59" applyFont="1" applyBorder="1" applyAlignment="1">
      <alignment horizontal="center"/>
      <protection/>
    </xf>
    <xf numFmtId="0" fontId="18" fillId="0" borderId="73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23" fillId="0" borderId="54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49" xfId="59" applyFont="1" applyBorder="1" applyAlignment="1">
      <alignment horizontal="right" vertical="center"/>
      <protection/>
    </xf>
    <xf numFmtId="0" fontId="23" fillId="0" borderId="48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 vertical="center"/>
      <protection/>
    </xf>
    <xf numFmtId="0" fontId="22" fillId="0" borderId="48" xfId="59" applyFont="1" applyBorder="1" applyAlignment="1">
      <alignment horizontal="left" vertical="center"/>
      <protection/>
    </xf>
    <xf numFmtId="3" fontId="19" fillId="0" borderId="74" xfId="59" applyNumberFormat="1" applyFont="1" applyBorder="1" applyAlignment="1">
      <alignment horizontal="right" vertical="center"/>
      <protection/>
    </xf>
    <xf numFmtId="3" fontId="19" fillId="0" borderId="27" xfId="59" applyNumberFormat="1" applyFont="1" applyBorder="1" applyAlignment="1">
      <alignment horizontal="right" vertical="center"/>
      <protection/>
    </xf>
    <xf numFmtId="3" fontId="22" fillId="0" borderId="44" xfId="59" applyNumberFormat="1" applyFont="1" applyBorder="1" applyAlignment="1">
      <alignment horizontal="right" vertical="center"/>
      <protection/>
    </xf>
    <xf numFmtId="0" fontId="22" fillId="0" borderId="48" xfId="59" applyFont="1" applyBorder="1" applyAlignment="1">
      <alignment horizontal="left"/>
      <protection/>
    </xf>
    <xf numFmtId="0" fontId="43" fillId="0" borderId="45" xfId="59" applyFont="1" applyBorder="1" applyAlignment="1">
      <alignment horizontal="center"/>
      <protection/>
    </xf>
    <xf numFmtId="0" fontId="18" fillId="0" borderId="45" xfId="0" applyFont="1" applyBorder="1" applyAlignment="1">
      <alignment horizontal="center"/>
    </xf>
    <xf numFmtId="0" fontId="15" fillId="0" borderId="76" xfId="59" applyFont="1" applyBorder="1" applyAlignment="1">
      <alignment/>
      <protection/>
    </xf>
    <xf numFmtId="0" fontId="15" fillId="0" borderId="76" xfId="0" applyFont="1" applyBorder="1" applyAlignment="1">
      <alignment/>
    </xf>
    <xf numFmtId="0" fontId="15" fillId="0" borderId="124" xfId="0" applyFont="1" applyBorder="1" applyAlignment="1">
      <alignment/>
    </xf>
    <xf numFmtId="3" fontId="19" fillId="0" borderId="55" xfId="59" applyNumberFormat="1" applyFont="1" applyBorder="1" applyAlignment="1">
      <alignment horizontal="right" vertical="center"/>
      <protection/>
    </xf>
    <xf numFmtId="3" fontId="19" fillId="0" borderId="51" xfId="59" applyNumberFormat="1" applyFont="1" applyBorder="1" applyAlignment="1">
      <alignment horizontal="right" vertical="center"/>
      <protection/>
    </xf>
    <xf numFmtId="0" fontId="57" fillId="0" borderId="76" xfId="59" applyFont="1" applyBorder="1" applyAlignment="1">
      <alignment/>
      <protection/>
    </xf>
    <xf numFmtId="0" fontId="57" fillId="0" borderId="124" xfId="59" applyFont="1" applyBorder="1" applyAlignment="1">
      <alignment/>
      <protection/>
    </xf>
    <xf numFmtId="0" fontId="18" fillId="0" borderId="0" xfId="59" applyFont="1" applyAlignment="1">
      <alignment horizontal="center"/>
      <protection/>
    </xf>
    <xf numFmtId="3" fontId="15" fillId="0" borderId="83" xfId="59" applyNumberFormat="1" applyFont="1" applyBorder="1" applyAlignment="1">
      <alignment horizontal="right" vertical="center"/>
      <protection/>
    </xf>
    <xf numFmtId="0" fontId="22" fillId="0" borderId="54" xfId="59" applyFont="1" applyBorder="1" applyAlignment="1">
      <alignment horizontal="left" wrapText="1"/>
      <protection/>
    </xf>
    <xf numFmtId="0" fontId="22" fillId="0" borderId="54" xfId="59" applyFont="1" applyBorder="1" applyAlignment="1">
      <alignment horizontal="center"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48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3" fontId="15" fillId="0" borderId="58" xfId="59" applyNumberFormat="1" applyFont="1" applyBorder="1" applyAlignment="1">
      <alignment horizontal="right" vertical="center"/>
      <protection/>
    </xf>
    <xf numFmtId="3" fontId="22" fillId="0" borderId="58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0" fontId="57" fillId="34" borderId="85" xfId="59" applyFont="1" applyFill="1" applyBorder="1" applyAlignment="1">
      <alignment/>
      <protection/>
    </xf>
    <xf numFmtId="0" fontId="57" fillId="34" borderId="153" xfId="59" applyFont="1" applyFill="1" applyBorder="1" applyAlignment="1">
      <alignment/>
      <protection/>
    </xf>
    <xf numFmtId="0" fontId="21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7" fillId="0" borderId="101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5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0" xfId="62" applyFont="1" applyBorder="1" applyAlignment="1">
      <alignment horizontal="center" vertical="center"/>
      <protection/>
    </xf>
    <xf numFmtId="0" fontId="20" fillId="0" borderId="20" xfId="62" applyFont="1" applyBorder="1" applyAlignment="1">
      <alignment horizontal="center" vertical="center"/>
      <protection/>
    </xf>
    <xf numFmtId="0" fontId="15" fillId="0" borderId="31" xfId="62" applyFont="1" applyBorder="1" applyAlignment="1">
      <alignment horizontal="center" vertical="center" wrapText="1"/>
      <protection/>
    </xf>
    <xf numFmtId="0" fontId="15" fillId="0" borderId="21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 wrapText="1"/>
      <protection/>
    </xf>
    <xf numFmtId="0" fontId="2" fillId="32" borderId="21" xfId="61" applyFont="1" applyFill="1" applyBorder="1" applyAlignment="1">
      <alignment horizontal="right"/>
      <protection/>
    </xf>
    <xf numFmtId="0" fontId="2" fillId="32" borderId="14" xfId="61" applyFont="1" applyFill="1" applyBorder="1" applyAlignment="1">
      <alignment horizontal="right"/>
      <protection/>
    </xf>
    <xf numFmtId="0" fontId="36" fillId="32" borderId="21" xfId="61" applyFont="1" applyFill="1" applyBorder="1" applyAlignment="1">
      <alignment horizontal="left"/>
      <protection/>
    </xf>
    <xf numFmtId="0" fontId="36" fillId="32" borderId="14" xfId="61" applyFont="1" applyFill="1" applyBorder="1" applyAlignment="1">
      <alignment horizontal="left"/>
      <protection/>
    </xf>
    <xf numFmtId="0" fontId="1" fillId="0" borderId="144" xfId="61" applyFont="1" applyBorder="1" applyAlignment="1">
      <alignment horizontal="center" vertical="center" wrapText="1"/>
      <protection/>
    </xf>
    <xf numFmtId="0" fontId="13" fillId="0" borderId="25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00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1" xfId="61" applyFont="1" applyBorder="1" applyAlignment="1">
      <alignment horizontal="center" vertical="center"/>
      <protection/>
    </xf>
    <xf numFmtId="0" fontId="1" fillId="0" borderId="137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 wrapText="1"/>
      <protection/>
    </xf>
    <xf numFmtId="0" fontId="1" fillId="0" borderId="119" xfId="61" applyFont="1" applyBorder="1" applyAlignment="1">
      <alignment horizontal="center" vertical="center" wrapText="1"/>
      <protection/>
    </xf>
    <xf numFmtId="0" fontId="1" fillId="0" borderId="31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1" fillId="0" borderId="61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65" fillId="0" borderId="159" xfId="0" applyFont="1" applyBorder="1" applyAlignment="1">
      <alignment horizontal="left" vertical="center" wrapText="1"/>
    </xf>
    <xf numFmtId="0" fontId="65" fillId="0" borderId="160" xfId="0" applyFont="1" applyBorder="1" applyAlignment="1">
      <alignment horizontal="left" vertical="center" wrapText="1"/>
    </xf>
    <xf numFmtId="0" fontId="65" fillId="0" borderId="161" xfId="0" applyFont="1" applyBorder="1" applyAlignment="1">
      <alignment horizontal="left" vertical="center" wrapText="1"/>
    </xf>
    <xf numFmtId="3" fontId="0" fillId="35" borderId="144" xfId="0" applyNumberFormat="1" applyFill="1" applyBorder="1" applyAlignment="1">
      <alignment horizontal="center"/>
    </xf>
    <xf numFmtId="3" fontId="0" fillId="35" borderId="107" xfId="0" applyNumberFormat="1" applyFill="1" applyBorder="1" applyAlignment="1">
      <alignment horizontal="center"/>
    </xf>
    <xf numFmtId="3" fontId="0" fillId="35" borderId="145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5" borderId="78" xfId="0" applyNumberFormat="1" applyFill="1" applyBorder="1" applyAlignment="1">
      <alignment horizontal="center"/>
    </xf>
    <xf numFmtId="0" fontId="65" fillId="0" borderId="159" xfId="0" applyFont="1" applyBorder="1" applyAlignment="1">
      <alignment horizontal="left" vertical="center"/>
    </xf>
    <xf numFmtId="0" fontId="65" fillId="0" borderId="160" xfId="0" applyFont="1" applyBorder="1" applyAlignment="1">
      <alignment horizontal="left" vertical="center"/>
    </xf>
    <xf numFmtId="0" fontId="65" fillId="0" borderId="161" xfId="0" applyFont="1" applyBorder="1" applyAlignment="1">
      <alignment horizontal="left" vertical="center"/>
    </xf>
    <xf numFmtId="0" fontId="64" fillId="40" borderId="87" xfId="0" applyFont="1" applyFill="1" applyBorder="1" applyAlignment="1">
      <alignment horizontal="center" vertical="center"/>
    </xf>
    <xf numFmtId="0" fontId="64" fillId="40" borderId="73" xfId="0" applyFont="1" applyFill="1" applyBorder="1" applyAlignment="1">
      <alignment horizontal="center" vertical="center"/>
    </xf>
    <xf numFmtId="0" fontId="64" fillId="40" borderId="16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19" fillId="0" borderId="144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62" fillId="0" borderId="83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122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137" xfId="0" applyFont="1" applyBorder="1" applyAlignment="1">
      <alignment horizontal="center" vertical="center" wrapText="1"/>
    </xf>
    <xf numFmtId="0" fontId="63" fillId="0" borderId="144" xfId="0" applyFont="1" applyBorder="1" applyAlignment="1">
      <alignment horizontal="center" vertical="center" wrapText="1"/>
    </xf>
    <xf numFmtId="0" fontId="63" fillId="0" borderId="10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162" xfId="0" applyFont="1" applyBorder="1" applyAlignment="1">
      <alignment horizontal="center"/>
    </xf>
    <xf numFmtId="0" fontId="65" fillId="0" borderId="163" xfId="0" applyFont="1" applyBorder="1" applyAlignment="1">
      <alignment horizontal="left" vertical="center" wrapText="1"/>
    </xf>
    <xf numFmtId="0" fontId="65" fillId="0" borderId="155" xfId="0" applyFont="1" applyBorder="1" applyAlignment="1">
      <alignment horizontal="left" vertical="center" wrapText="1"/>
    </xf>
    <xf numFmtId="0" fontId="65" fillId="0" borderId="61" xfId="0" applyFont="1" applyBorder="1" applyAlignment="1">
      <alignment horizontal="left" vertical="center" wrapText="1"/>
    </xf>
    <xf numFmtId="0" fontId="65" fillId="0" borderId="45" xfId="0" applyFont="1" applyBorder="1" applyAlignment="1">
      <alignment horizontal="left" vertical="center" wrapText="1"/>
    </xf>
    <xf numFmtId="0" fontId="65" fillId="0" borderId="98" xfId="0" applyFont="1" applyBorder="1" applyAlignment="1">
      <alignment horizontal="left" vertical="center" wrapText="1"/>
    </xf>
    <xf numFmtId="3" fontId="21" fillId="33" borderId="158" xfId="0" applyNumberFormat="1" applyFont="1" applyFill="1" applyBorder="1" applyAlignment="1">
      <alignment horizontal="center"/>
    </xf>
    <xf numFmtId="3" fontId="21" fillId="33" borderId="73" xfId="0" applyNumberFormat="1" applyFont="1" applyFill="1" applyBorder="1" applyAlignment="1">
      <alignment horizontal="center"/>
    </xf>
    <xf numFmtId="3" fontId="21" fillId="33" borderId="89" xfId="0" applyNumberFormat="1" applyFont="1" applyFill="1" applyBorder="1" applyAlignment="1">
      <alignment horizontal="center"/>
    </xf>
    <xf numFmtId="0" fontId="65" fillId="33" borderId="163" xfId="0" applyFont="1" applyFill="1" applyBorder="1" applyAlignment="1">
      <alignment horizontal="left" vertical="center"/>
    </xf>
    <xf numFmtId="0" fontId="65" fillId="33" borderId="155" xfId="0" applyFont="1" applyFill="1" applyBorder="1" applyAlignment="1">
      <alignment horizontal="left" vertical="center"/>
    </xf>
    <xf numFmtId="0" fontId="65" fillId="33" borderId="136" xfId="0" applyFont="1" applyFill="1" applyBorder="1" applyAlignment="1">
      <alignment horizontal="left" vertical="center"/>
    </xf>
    <xf numFmtId="0" fontId="0" fillId="33" borderId="87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162" xfId="0" applyFill="1" applyBorder="1" applyAlignment="1">
      <alignment horizontal="center"/>
    </xf>
    <xf numFmtId="3" fontId="0" fillId="35" borderId="58" xfId="0" applyNumberFormat="1" applyFill="1" applyBorder="1" applyAlignment="1">
      <alignment horizontal="center"/>
    </xf>
    <xf numFmtId="3" fontId="0" fillId="35" borderId="57" xfId="0" applyNumberFormat="1" applyFill="1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1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125" style="134" customWidth="1"/>
    <col min="2" max="3" width="9.125" style="134" customWidth="1"/>
    <col min="4" max="4" width="5.875" style="134" customWidth="1"/>
    <col min="5" max="5" width="49.875" style="134" customWidth="1"/>
    <col min="6" max="6" width="16.125" style="134" bestFit="1" customWidth="1"/>
    <col min="7" max="7" width="13.625" style="134" customWidth="1"/>
    <col min="8" max="9" width="15.125" style="134" customWidth="1"/>
    <col min="10" max="10" width="15.875" style="134" bestFit="1" customWidth="1"/>
    <col min="11" max="11" width="9.125" style="269" customWidth="1"/>
    <col min="12" max="16384" width="9.125" style="134" customWidth="1"/>
  </cols>
  <sheetData>
    <row r="1" spans="1:10" ht="12.75">
      <c r="A1" s="80"/>
      <c r="B1" s="161"/>
      <c r="C1" s="161"/>
      <c r="D1" s="161"/>
      <c r="E1" s="162"/>
      <c r="F1" s="970" t="s">
        <v>1209</v>
      </c>
      <c r="G1" s="971"/>
      <c r="H1" s="971"/>
      <c r="I1" s="971"/>
      <c r="J1" s="971"/>
    </row>
    <row r="2" spans="1:10" ht="15.75">
      <c r="A2" s="975" t="s">
        <v>769</v>
      </c>
      <c r="B2" s="975"/>
      <c r="C2" s="975"/>
      <c r="D2" s="975"/>
      <c r="E2" s="975"/>
      <c r="F2" s="975"/>
      <c r="G2" s="975"/>
      <c r="H2" s="975"/>
      <c r="I2" s="975"/>
      <c r="J2" s="975"/>
    </row>
    <row r="3" spans="1:10" ht="12.75">
      <c r="A3" s="80"/>
      <c r="B3" s="80"/>
      <c r="C3" s="80"/>
      <c r="D3" s="80"/>
      <c r="E3" s="80"/>
      <c r="F3" s="161"/>
      <c r="G3" s="161"/>
      <c r="H3" s="161"/>
      <c r="I3" s="161"/>
      <c r="J3" s="161"/>
    </row>
    <row r="4" spans="1:10" ht="12.75">
      <c r="A4" s="80"/>
      <c r="B4" s="161"/>
      <c r="C4" s="161"/>
      <c r="D4" s="161"/>
      <c r="E4" s="161"/>
      <c r="F4" s="161"/>
      <c r="G4" s="161"/>
      <c r="H4" s="161"/>
      <c r="I4" s="161"/>
      <c r="J4" s="162" t="s">
        <v>629</v>
      </c>
    </row>
    <row r="5" spans="1:10" ht="60">
      <c r="A5" s="982" t="s">
        <v>0</v>
      </c>
      <c r="B5" s="983"/>
      <c r="C5" s="983"/>
      <c r="D5" s="983"/>
      <c r="E5" s="984"/>
      <c r="F5" s="141" t="s">
        <v>89</v>
      </c>
      <c r="G5" s="141" t="s">
        <v>367</v>
      </c>
      <c r="H5" s="141" t="s">
        <v>768</v>
      </c>
      <c r="I5" s="141" t="s">
        <v>853</v>
      </c>
      <c r="J5" s="141" t="s">
        <v>361</v>
      </c>
    </row>
    <row r="6" spans="1:11" s="145" customFormat="1" ht="15">
      <c r="A6" s="163" t="s">
        <v>420</v>
      </c>
      <c r="B6" s="972" t="s">
        <v>421</v>
      </c>
      <c r="C6" s="973"/>
      <c r="D6" s="973"/>
      <c r="E6" s="974"/>
      <c r="F6" s="164" t="s">
        <v>422</v>
      </c>
      <c r="G6" s="164" t="s">
        <v>423</v>
      </c>
      <c r="H6" s="164" t="s">
        <v>424</v>
      </c>
      <c r="I6" s="164" t="s">
        <v>425</v>
      </c>
      <c r="J6" s="164" t="s">
        <v>427</v>
      </c>
      <c r="K6" s="573"/>
    </row>
    <row r="7" spans="1:11" s="167" customFormat="1" ht="12.75">
      <c r="A7" s="165" t="s">
        <v>219</v>
      </c>
      <c r="B7" s="977" t="s">
        <v>220</v>
      </c>
      <c r="C7" s="977"/>
      <c r="D7" s="977"/>
      <c r="E7" s="977"/>
      <c r="F7" s="166">
        <f>SUM(F8+F15+F16+F17+F28+F29)</f>
        <v>970674621</v>
      </c>
      <c r="G7" s="166">
        <f>SUM(G8+G15+G16+G17+G28+G29)</f>
        <v>3882312</v>
      </c>
      <c r="H7" s="166">
        <f>SUM(H8+H15+H16+H17+H28+H29)</f>
        <v>44149359</v>
      </c>
      <c r="I7" s="166">
        <f>SUM(I8+I15+I16+I17+I28+I29)</f>
        <v>0</v>
      </c>
      <c r="J7" s="166">
        <f>SUM(F7:I7)</f>
        <v>1018706292</v>
      </c>
      <c r="K7" s="574"/>
    </row>
    <row r="8" spans="1:11" ht="12.75">
      <c r="A8" s="168"/>
      <c r="B8" s="168" t="s">
        <v>221</v>
      </c>
      <c r="C8" s="969" t="s">
        <v>222</v>
      </c>
      <c r="D8" s="969"/>
      <c r="E8" s="969"/>
      <c r="F8" s="169">
        <f>SUM(F9:F14)</f>
        <v>539142938</v>
      </c>
      <c r="G8" s="169">
        <f>SUM(G9:G14)</f>
        <v>0</v>
      </c>
      <c r="H8" s="169">
        <f>SUM(H9:H14)</f>
        <v>0</v>
      </c>
      <c r="I8" s="169">
        <f>SUM(I9:I14)</f>
        <v>0</v>
      </c>
      <c r="J8" s="170">
        <f aca="true" t="shared" si="0" ref="J8:J72">SUM(F8:I8)</f>
        <v>539142938</v>
      </c>
      <c r="K8" s="575"/>
    </row>
    <row r="9" spans="1:11" ht="12.75">
      <c r="A9" s="171"/>
      <c r="B9" s="171"/>
      <c r="C9" s="171" t="s">
        <v>223</v>
      </c>
      <c r="D9" s="171"/>
      <c r="E9" s="171" t="s">
        <v>651</v>
      </c>
      <c r="F9" s="172">
        <f>200053809+140422</f>
        <v>200194231</v>
      </c>
      <c r="G9" s="172">
        <v>0</v>
      </c>
      <c r="H9" s="172">
        <v>0</v>
      </c>
      <c r="I9" s="172">
        <v>0</v>
      </c>
      <c r="J9" s="173">
        <f t="shared" si="0"/>
        <v>200194231</v>
      </c>
      <c r="K9" s="576"/>
    </row>
    <row r="10" spans="1:11" ht="12.75">
      <c r="A10" s="171"/>
      <c r="B10" s="174"/>
      <c r="C10" s="171" t="s">
        <v>224</v>
      </c>
      <c r="D10" s="171"/>
      <c r="E10" s="171" t="s">
        <v>657</v>
      </c>
      <c r="F10" s="172">
        <f>112608900+367584+1341084-824700</f>
        <v>113492868</v>
      </c>
      <c r="G10" s="172">
        <v>0</v>
      </c>
      <c r="H10" s="172">
        <v>0</v>
      </c>
      <c r="I10" s="172">
        <v>0</v>
      </c>
      <c r="J10" s="173">
        <f t="shared" si="0"/>
        <v>113492868</v>
      </c>
      <c r="K10" s="576"/>
    </row>
    <row r="11" spans="1:11" ht="12.75">
      <c r="A11" s="171"/>
      <c r="B11" s="171"/>
      <c r="C11" s="171" t="s">
        <v>225</v>
      </c>
      <c r="D11" s="171"/>
      <c r="E11" s="171" t="s">
        <v>630</v>
      </c>
      <c r="F11" s="172">
        <f>165550125+9189220+195364-509480-636698+1824296</f>
        <v>175612827</v>
      </c>
      <c r="G11" s="172">
        <v>0</v>
      </c>
      <c r="H11" s="172">
        <v>0</v>
      </c>
      <c r="I11" s="172">
        <v>0</v>
      </c>
      <c r="J11" s="173">
        <f t="shared" si="0"/>
        <v>175612827</v>
      </c>
      <c r="K11" s="576"/>
    </row>
    <row r="12" spans="1:11" ht="12.75">
      <c r="A12" s="171"/>
      <c r="B12" s="171"/>
      <c r="C12" s="171" t="s">
        <v>226</v>
      </c>
      <c r="D12" s="171"/>
      <c r="E12" s="171" t="s">
        <v>658</v>
      </c>
      <c r="F12" s="172">
        <f>10661310+1004278+95585-239481</f>
        <v>11521692</v>
      </c>
      <c r="G12" s="172">
        <v>0</v>
      </c>
      <c r="H12" s="172">
        <v>0</v>
      </c>
      <c r="I12" s="172">
        <v>0</v>
      </c>
      <c r="J12" s="173">
        <f t="shared" si="0"/>
        <v>11521692</v>
      </c>
      <c r="K12" s="576"/>
    </row>
    <row r="13" spans="1:11" ht="12.75">
      <c r="A13" s="171"/>
      <c r="B13" s="171"/>
      <c r="C13" s="171" t="s">
        <v>227</v>
      </c>
      <c r="D13" s="171"/>
      <c r="E13" s="171" t="s">
        <v>652</v>
      </c>
      <c r="F13" s="172">
        <f>1096532+7265000+30000000-40212</f>
        <v>38321320</v>
      </c>
      <c r="G13" s="172">
        <v>0</v>
      </c>
      <c r="H13" s="172">
        <v>0</v>
      </c>
      <c r="I13" s="172">
        <v>0</v>
      </c>
      <c r="J13" s="173">
        <f t="shared" si="0"/>
        <v>38321320</v>
      </c>
      <c r="K13" s="576"/>
    </row>
    <row r="14" spans="1:11" ht="12.75">
      <c r="A14" s="175"/>
      <c r="B14" s="175"/>
      <c r="C14" s="171" t="s">
        <v>228</v>
      </c>
      <c r="D14" s="175"/>
      <c r="E14" s="171" t="s">
        <v>546</v>
      </c>
      <c r="F14" s="172">
        <v>0</v>
      </c>
      <c r="G14" s="172">
        <v>0</v>
      </c>
      <c r="H14" s="172">
        <v>0</v>
      </c>
      <c r="I14" s="172">
        <v>0</v>
      </c>
      <c r="J14" s="173">
        <f t="shared" si="0"/>
        <v>0</v>
      </c>
      <c r="K14" s="576"/>
    </row>
    <row r="15" spans="1:11" ht="12.75">
      <c r="A15" s="168"/>
      <c r="B15" s="168" t="s">
        <v>229</v>
      </c>
      <c r="C15" s="969" t="s">
        <v>230</v>
      </c>
      <c r="D15" s="969"/>
      <c r="E15" s="969"/>
      <c r="F15" s="169">
        <v>0</v>
      </c>
      <c r="G15" s="169">
        <v>0</v>
      </c>
      <c r="H15" s="169">
        <v>0</v>
      </c>
      <c r="I15" s="169">
        <v>0</v>
      </c>
      <c r="J15" s="170">
        <f t="shared" si="0"/>
        <v>0</v>
      </c>
      <c r="K15" s="575"/>
    </row>
    <row r="16" spans="1:11" ht="12.75">
      <c r="A16" s="168"/>
      <c r="B16" s="168" t="s">
        <v>231</v>
      </c>
      <c r="C16" s="969" t="s">
        <v>653</v>
      </c>
      <c r="D16" s="969"/>
      <c r="E16" s="969"/>
      <c r="F16" s="169">
        <v>0</v>
      </c>
      <c r="G16" s="169">
        <v>0</v>
      </c>
      <c r="H16" s="169">
        <v>0</v>
      </c>
      <c r="I16" s="169">
        <v>0</v>
      </c>
      <c r="J16" s="170">
        <f t="shared" si="0"/>
        <v>0</v>
      </c>
      <c r="K16" s="575"/>
    </row>
    <row r="17" spans="1:11" ht="12.75">
      <c r="A17" s="168"/>
      <c r="B17" s="168" t="s">
        <v>232</v>
      </c>
      <c r="C17" s="969" t="s">
        <v>654</v>
      </c>
      <c r="D17" s="969"/>
      <c r="E17" s="969"/>
      <c r="F17" s="169">
        <f>SUM(F18:F27)</f>
        <v>0</v>
      </c>
      <c r="G17" s="169">
        <f>SUM(G18:G27)</f>
        <v>0</v>
      </c>
      <c r="H17" s="169">
        <f>SUM(H18:H27)</f>
        <v>0</v>
      </c>
      <c r="I17" s="169">
        <f>SUM(I18:I27)</f>
        <v>0</v>
      </c>
      <c r="J17" s="170">
        <f t="shared" si="0"/>
        <v>0</v>
      </c>
      <c r="K17" s="575"/>
    </row>
    <row r="18" spans="1:11" ht="12.75" hidden="1">
      <c r="A18" s="176"/>
      <c r="B18" s="176"/>
      <c r="C18" s="177" t="s">
        <v>2</v>
      </c>
      <c r="D18" s="177" t="s">
        <v>157</v>
      </c>
      <c r="E18" s="177" t="s">
        <v>158</v>
      </c>
      <c r="F18" s="178">
        <v>0</v>
      </c>
      <c r="G18" s="178">
        <v>0</v>
      </c>
      <c r="H18" s="178">
        <v>0</v>
      </c>
      <c r="I18" s="178">
        <v>0</v>
      </c>
      <c r="J18" s="179">
        <f t="shared" si="0"/>
        <v>0</v>
      </c>
      <c r="K18" s="577"/>
    </row>
    <row r="19" spans="1:11" ht="12.75" hidden="1">
      <c r="A19" s="176"/>
      <c r="B19" s="176"/>
      <c r="C19" s="177"/>
      <c r="D19" s="177" t="s">
        <v>159</v>
      </c>
      <c r="E19" s="177" t="s">
        <v>160</v>
      </c>
      <c r="F19" s="178">
        <v>0</v>
      </c>
      <c r="G19" s="178">
        <v>0</v>
      </c>
      <c r="H19" s="178">
        <v>0</v>
      </c>
      <c r="I19" s="178">
        <v>0</v>
      </c>
      <c r="J19" s="179">
        <f t="shared" si="0"/>
        <v>0</v>
      </c>
      <c r="K19" s="577"/>
    </row>
    <row r="20" spans="1:11" ht="12.75" hidden="1">
      <c r="A20" s="176"/>
      <c r="B20" s="176"/>
      <c r="C20" s="177"/>
      <c r="D20" s="177" t="s">
        <v>161</v>
      </c>
      <c r="E20" s="177" t="s">
        <v>233</v>
      </c>
      <c r="F20" s="178">
        <v>0</v>
      </c>
      <c r="G20" s="178">
        <v>0</v>
      </c>
      <c r="H20" s="178">
        <v>0</v>
      </c>
      <c r="I20" s="178">
        <v>0</v>
      </c>
      <c r="J20" s="179">
        <f t="shared" si="0"/>
        <v>0</v>
      </c>
      <c r="K20" s="577"/>
    </row>
    <row r="21" spans="1:11" ht="12.75" hidden="1">
      <c r="A21" s="176"/>
      <c r="B21" s="176"/>
      <c r="C21" s="177"/>
      <c r="D21" s="177" t="s">
        <v>163</v>
      </c>
      <c r="E21" s="177" t="s">
        <v>164</v>
      </c>
      <c r="F21" s="178">
        <v>0</v>
      </c>
      <c r="G21" s="178">
        <v>0</v>
      </c>
      <c r="H21" s="178">
        <v>0</v>
      </c>
      <c r="I21" s="178">
        <v>0</v>
      </c>
      <c r="J21" s="179">
        <f t="shared" si="0"/>
        <v>0</v>
      </c>
      <c r="K21" s="577"/>
    </row>
    <row r="22" spans="1:11" ht="12.75" hidden="1">
      <c r="A22" s="176"/>
      <c r="B22" s="176"/>
      <c r="C22" s="177"/>
      <c r="D22" s="177" t="s">
        <v>165</v>
      </c>
      <c r="E22" s="177" t="s">
        <v>166</v>
      </c>
      <c r="F22" s="178">
        <v>0</v>
      </c>
      <c r="G22" s="178">
        <v>0</v>
      </c>
      <c r="H22" s="178">
        <v>0</v>
      </c>
      <c r="I22" s="178">
        <v>0</v>
      </c>
      <c r="J22" s="179">
        <f t="shared" si="0"/>
        <v>0</v>
      </c>
      <c r="K22" s="577"/>
    </row>
    <row r="23" spans="1:11" ht="12.75" hidden="1">
      <c r="A23" s="176"/>
      <c r="B23" s="176"/>
      <c r="C23" s="177"/>
      <c r="D23" s="177" t="s">
        <v>167</v>
      </c>
      <c r="E23" s="177" t="s">
        <v>168</v>
      </c>
      <c r="F23" s="178">
        <v>0</v>
      </c>
      <c r="G23" s="178">
        <v>0</v>
      </c>
      <c r="H23" s="178">
        <v>0</v>
      </c>
      <c r="I23" s="178">
        <v>0</v>
      </c>
      <c r="J23" s="179">
        <f t="shared" si="0"/>
        <v>0</v>
      </c>
      <c r="K23" s="577"/>
    </row>
    <row r="24" spans="1:11" ht="12.75" hidden="1">
      <c r="A24" s="176"/>
      <c r="B24" s="176"/>
      <c r="C24" s="177"/>
      <c r="D24" s="177" t="s">
        <v>169</v>
      </c>
      <c r="E24" s="177" t="s">
        <v>170</v>
      </c>
      <c r="F24" s="178">
        <v>0</v>
      </c>
      <c r="G24" s="178">
        <v>0</v>
      </c>
      <c r="H24" s="178">
        <v>0</v>
      </c>
      <c r="I24" s="178">
        <v>0</v>
      </c>
      <c r="J24" s="179">
        <f t="shared" si="0"/>
        <v>0</v>
      </c>
      <c r="K24" s="577"/>
    </row>
    <row r="25" spans="1:11" ht="12.75" hidden="1">
      <c r="A25" s="176"/>
      <c r="B25" s="176"/>
      <c r="C25" s="177"/>
      <c r="D25" s="177" t="s">
        <v>171</v>
      </c>
      <c r="E25" s="177" t="s">
        <v>172</v>
      </c>
      <c r="F25" s="178"/>
      <c r="G25" s="178">
        <v>0</v>
      </c>
      <c r="H25" s="178">
        <v>0</v>
      </c>
      <c r="I25" s="178">
        <v>0</v>
      </c>
      <c r="J25" s="179">
        <f t="shared" si="0"/>
        <v>0</v>
      </c>
      <c r="K25" s="577"/>
    </row>
    <row r="26" spans="1:11" ht="12.75" hidden="1">
      <c r="A26" s="176"/>
      <c r="B26" s="176"/>
      <c r="C26" s="177"/>
      <c r="D26" s="177" t="s">
        <v>173</v>
      </c>
      <c r="E26" s="177" t="s">
        <v>174</v>
      </c>
      <c r="F26" s="178">
        <v>0</v>
      </c>
      <c r="G26" s="178">
        <v>0</v>
      </c>
      <c r="H26" s="178">
        <v>0</v>
      </c>
      <c r="I26" s="178">
        <v>0</v>
      </c>
      <c r="J26" s="179">
        <f t="shared" si="0"/>
        <v>0</v>
      </c>
      <c r="K26" s="577"/>
    </row>
    <row r="27" spans="1:11" ht="12.75" hidden="1">
      <c r="A27" s="176"/>
      <c r="B27" s="176"/>
      <c r="C27" s="177"/>
      <c r="D27" s="177" t="s">
        <v>175</v>
      </c>
      <c r="E27" s="177" t="s">
        <v>176</v>
      </c>
      <c r="F27" s="178">
        <v>0</v>
      </c>
      <c r="G27" s="178">
        <v>0</v>
      </c>
      <c r="H27" s="178">
        <v>0</v>
      </c>
      <c r="I27" s="178">
        <v>0</v>
      </c>
      <c r="J27" s="179">
        <f t="shared" si="0"/>
        <v>0</v>
      </c>
      <c r="K27" s="577"/>
    </row>
    <row r="28" spans="1:11" ht="13.5" customHeight="1">
      <c r="A28" s="168"/>
      <c r="B28" s="168" t="s">
        <v>234</v>
      </c>
      <c r="C28" s="969" t="s">
        <v>655</v>
      </c>
      <c r="D28" s="969"/>
      <c r="E28" s="969"/>
      <c r="F28" s="169">
        <v>0</v>
      </c>
      <c r="G28" s="169">
        <v>0</v>
      </c>
      <c r="H28" s="169">
        <v>0</v>
      </c>
      <c r="I28" s="169">
        <v>0</v>
      </c>
      <c r="J28" s="170">
        <f t="shared" si="0"/>
        <v>0</v>
      </c>
      <c r="K28" s="575"/>
    </row>
    <row r="29" spans="1:11" ht="13.5" customHeight="1">
      <c r="A29" s="168"/>
      <c r="B29" s="168" t="s">
        <v>235</v>
      </c>
      <c r="C29" s="969" t="s">
        <v>656</v>
      </c>
      <c r="D29" s="969"/>
      <c r="E29" s="969"/>
      <c r="F29" s="169">
        <f>SUM(F30:F39)</f>
        <v>431531683</v>
      </c>
      <c r="G29" s="169">
        <f>SUM(G30:G39)</f>
        <v>3882312</v>
      </c>
      <c r="H29" s="169">
        <f>SUM(H30:H39)</f>
        <v>44149359</v>
      </c>
      <c r="I29" s="169">
        <f>SUM(I30:I39)</f>
        <v>0</v>
      </c>
      <c r="J29" s="170">
        <f t="shared" si="0"/>
        <v>479563354</v>
      </c>
      <c r="K29" s="575"/>
    </row>
    <row r="30" spans="1:11" ht="12.75" hidden="1">
      <c r="A30" s="176"/>
      <c r="B30" s="176"/>
      <c r="C30" s="177" t="s">
        <v>2</v>
      </c>
      <c r="D30" s="177" t="s">
        <v>157</v>
      </c>
      <c r="E30" s="177" t="s">
        <v>158</v>
      </c>
      <c r="F30" s="178">
        <v>0</v>
      </c>
      <c r="G30" s="178">
        <v>0</v>
      </c>
      <c r="H30" s="178">
        <v>0</v>
      </c>
      <c r="I30" s="178">
        <v>0</v>
      </c>
      <c r="J30" s="179">
        <f t="shared" si="0"/>
        <v>0</v>
      </c>
      <c r="K30" s="577"/>
    </row>
    <row r="31" spans="1:11" ht="12.75" hidden="1">
      <c r="A31" s="176"/>
      <c r="B31" s="176"/>
      <c r="C31" s="177"/>
      <c r="D31" s="177" t="s">
        <v>159</v>
      </c>
      <c r="E31" s="177" t="s">
        <v>160</v>
      </c>
      <c r="F31" s="178">
        <v>0</v>
      </c>
      <c r="G31" s="178">
        <v>0</v>
      </c>
      <c r="H31" s="178">
        <v>0</v>
      </c>
      <c r="I31" s="178">
        <v>0</v>
      </c>
      <c r="J31" s="179">
        <f t="shared" si="0"/>
        <v>0</v>
      </c>
      <c r="K31" s="577"/>
    </row>
    <row r="32" spans="1:11" ht="12.75">
      <c r="A32" s="180"/>
      <c r="B32" s="180"/>
      <c r="C32" s="177" t="s">
        <v>2</v>
      </c>
      <c r="D32" s="181"/>
      <c r="E32" s="181" t="s">
        <v>659</v>
      </c>
      <c r="F32" s="178">
        <f>63035474+88971424+32379432+17772766+10976885+2000000-2893619+32379432-32379432+99948309-99948309+17772766-17772766+20805062-1250000</f>
        <v>231797424</v>
      </c>
      <c r="G32" s="178">
        <v>0</v>
      </c>
      <c r="H32" s="178">
        <v>43407259</v>
      </c>
      <c r="I32" s="178">
        <v>0</v>
      </c>
      <c r="J32" s="179">
        <f t="shared" si="0"/>
        <v>275204683</v>
      </c>
      <c r="K32" s="577"/>
    </row>
    <row r="33" spans="1:11" ht="12.75">
      <c r="A33" s="176"/>
      <c r="B33" s="176"/>
      <c r="C33" s="177"/>
      <c r="D33" s="177"/>
      <c r="E33" s="177" t="s">
        <v>164</v>
      </c>
      <c r="F33" s="178">
        <f>29503396+6245115+6018160</f>
        <v>41766671</v>
      </c>
      <c r="G33" s="178">
        <f>1969798+37116</f>
        <v>2006914</v>
      </c>
      <c r="H33" s="178">
        <v>0</v>
      </c>
      <c r="I33" s="178">
        <v>0</v>
      </c>
      <c r="J33" s="179">
        <f t="shared" si="0"/>
        <v>43773585</v>
      </c>
      <c r="K33" s="577"/>
    </row>
    <row r="34" spans="1:11" ht="12.75">
      <c r="A34" s="176"/>
      <c r="B34" s="176"/>
      <c r="C34" s="177"/>
      <c r="D34" s="177"/>
      <c r="E34" s="177" t="s">
        <v>166</v>
      </c>
      <c r="F34" s="178">
        <f>21588000</f>
        <v>21588000</v>
      </c>
      <c r="G34" s="178">
        <v>0</v>
      </c>
      <c r="H34" s="178">
        <v>0</v>
      </c>
      <c r="I34" s="178">
        <v>0</v>
      </c>
      <c r="J34" s="179">
        <f t="shared" si="0"/>
        <v>21588000</v>
      </c>
      <c r="K34" s="577"/>
    </row>
    <row r="35" spans="1:11" ht="12.75">
      <c r="A35" s="176"/>
      <c r="B35" s="176"/>
      <c r="C35" s="177"/>
      <c r="D35" s="177"/>
      <c r="E35" s="177" t="s">
        <v>168</v>
      </c>
      <c r="F35" s="178">
        <f>11977188+23626850+46614899+38901777-8045171-7935168+1100000+11113165</f>
        <v>117353540</v>
      </c>
      <c r="G35" s="178">
        <f>581210+1294188</f>
        <v>1875398</v>
      </c>
      <c r="H35" s="178">
        <f>0+742100</f>
        <v>742100</v>
      </c>
      <c r="I35" s="178">
        <v>0</v>
      </c>
      <c r="J35" s="179">
        <f t="shared" si="0"/>
        <v>119971038</v>
      </c>
      <c r="K35" s="577"/>
    </row>
    <row r="36" spans="1:11" ht="11.25" customHeight="1">
      <c r="A36" s="176"/>
      <c r="B36" s="176"/>
      <c r="C36" s="177"/>
      <c r="D36" s="177"/>
      <c r="E36" s="177" t="s">
        <v>170</v>
      </c>
      <c r="F36" s="178">
        <f>9462661+3652363+3971695+1407021+1011276-478968</f>
        <v>19026048</v>
      </c>
      <c r="G36" s="178">
        <v>0</v>
      </c>
      <c r="H36" s="178">
        <v>0</v>
      </c>
      <c r="I36" s="178">
        <v>0</v>
      </c>
      <c r="J36" s="179">
        <f t="shared" si="0"/>
        <v>19026048</v>
      </c>
      <c r="K36" s="577"/>
    </row>
    <row r="37" spans="1:11" ht="12.75" hidden="1">
      <c r="A37" s="176"/>
      <c r="B37" s="176"/>
      <c r="C37" s="177"/>
      <c r="D37" s="177"/>
      <c r="E37" s="177" t="s">
        <v>172</v>
      </c>
      <c r="F37" s="178">
        <v>0</v>
      </c>
      <c r="G37" s="178">
        <v>0</v>
      </c>
      <c r="H37" s="178">
        <v>0</v>
      </c>
      <c r="I37" s="178">
        <v>0</v>
      </c>
      <c r="J37" s="179">
        <f t="shared" si="0"/>
        <v>0</v>
      </c>
      <c r="K37" s="577"/>
    </row>
    <row r="38" spans="1:11" ht="12.75" hidden="1">
      <c r="A38" s="176"/>
      <c r="B38" s="176"/>
      <c r="C38" s="177"/>
      <c r="D38" s="177"/>
      <c r="E38" s="177" t="s">
        <v>660</v>
      </c>
      <c r="F38" s="178">
        <v>0</v>
      </c>
      <c r="G38" s="178">
        <v>0</v>
      </c>
      <c r="H38" s="178">
        <v>0</v>
      </c>
      <c r="I38" s="178">
        <v>0</v>
      </c>
      <c r="J38" s="179">
        <f t="shared" si="0"/>
        <v>0</v>
      </c>
      <c r="K38" s="577"/>
    </row>
    <row r="39" spans="1:11" ht="12.75" hidden="1">
      <c r="A39" s="176"/>
      <c r="B39" s="176"/>
      <c r="C39" s="177"/>
      <c r="D39" s="177"/>
      <c r="E39" s="177" t="s">
        <v>661</v>
      </c>
      <c r="F39" s="178">
        <v>0</v>
      </c>
      <c r="G39" s="178">
        <v>0</v>
      </c>
      <c r="H39" s="178">
        <v>0</v>
      </c>
      <c r="I39" s="178">
        <v>0</v>
      </c>
      <c r="J39" s="179">
        <f t="shared" si="0"/>
        <v>0</v>
      </c>
      <c r="K39" s="577"/>
    </row>
    <row r="40" spans="1:11" s="167" customFormat="1" ht="12.75">
      <c r="A40" s="165" t="s">
        <v>236</v>
      </c>
      <c r="B40" s="977" t="s">
        <v>667</v>
      </c>
      <c r="C40" s="977"/>
      <c r="D40" s="977"/>
      <c r="E40" s="977"/>
      <c r="F40" s="166">
        <f>SUM(F41:F45)</f>
        <v>544111527</v>
      </c>
      <c r="G40" s="166">
        <f>SUM(G41:G45)</f>
        <v>0</v>
      </c>
      <c r="H40" s="166">
        <f>SUM(H41:H45)</f>
        <v>1687190</v>
      </c>
      <c r="I40" s="166">
        <f>SUM(I41:I45)</f>
        <v>0</v>
      </c>
      <c r="J40" s="166">
        <f t="shared" si="0"/>
        <v>545798717</v>
      </c>
      <c r="K40" s="574"/>
    </row>
    <row r="41" spans="1:11" ht="11.25" customHeight="1">
      <c r="A41" s="168"/>
      <c r="B41" s="168" t="s">
        <v>237</v>
      </c>
      <c r="C41" s="969" t="s">
        <v>662</v>
      </c>
      <c r="D41" s="969"/>
      <c r="E41" s="969"/>
      <c r="F41" s="169">
        <v>29947750</v>
      </c>
      <c r="G41" s="169">
        <v>0</v>
      </c>
      <c r="H41" s="169">
        <v>0</v>
      </c>
      <c r="I41" s="169">
        <v>0</v>
      </c>
      <c r="J41" s="170">
        <f t="shared" si="0"/>
        <v>29947750</v>
      </c>
      <c r="K41" s="575"/>
    </row>
    <row r="42" spans="1:11" ht="12.75" hidden="1">
      <c r="A42" s="168"/>
      <c r="B42" s="168" t="s">
        <v>238</v>
      </c>
      <c r="C42" s="969" t="s">
        <v>663</v>
      </c>
      <c r="D42" s="969"/>
      <c r="E42" s="969"/>
      <c r="F42" s="169">
        <v>0</v>
      </c>
      <c r="G42" s="169">
        <v>0</v>
      </c>
      <c r="H42" s="169">
        <v>0</v>
      </c>
      <c r="I42" s="169">
        <v>0</v>
      </c>
      <c r="J42" s="170">
        <f t="shared" si="0"/>
        <v>0</v>
      </c>
      <c r="K42" s="575"/>
    </row>
    <row r="43" spans="1:11" ht="12.75" hidden="1">
      <c r="A43" s="168"/>
      <c r="B43" s="168" t="s">
        <v>239</v>
      </c>
      <c r="C43" s="969" t="s">
        <v>664</v>
      </c>
      <c r="D43" s="969"/>
      <c r="E43" s="969"/>
      <c r="F43" s="169">
        <v>0</v>
      </c>
      <c r="G43" s="169">
        <v>0</v>
      </c>
      <c r="H43" s="169">
        <v>0</v>
      </c>
      <c r="I43" s="169">
        <v>0</v>
      </c>
      <c r="J43" s="170">
        <f t="shared" si="0"/>
        <v>0</v>
      </c>
      <c r="K43" s="575"/>
    </row>
    <row r="44" spans="1:11" ht="12.75" hidden="1">
      <c r="A44" s="168"/>
      <c r="B44" s="168" t="s">
        <v>240</v>
      </c>
      <c r="C44" s="969" t="s">
        <v>665</v>
      </c>
      <c r="D44" s="969"/>
      <c r="E44" s="969"/>
      <c r="F44" s="169">
        <v>0</v>
      </c>
      <c r="G44" s="169">
        <v>0</v>
      </c>
      <c r="H44" s="169">
        <v>0</v>
      </c>
      <c r="I44" s="169">
        <v>0</v>
      </c>
      <c r="J44" s="170">
        <f t="shared" si="0"/>
        <v>0</v>
      </c>
      <c r="K44" s="575"/>
    </row>
    <row r="45" spans="1:11" ht="12" customHeight="1">
      <c r="A45" s="168"/>
      <c r="B45" s="168" t="s">
        <v>241</v>
      </c>
      <c r="C45" s="969" t="s">
        <v>666</v>
      </c>
      <c r="D45" s="969"/>
      <c r="E45" s="969"/>
      <c r="F45" s="169">
        <f>SUM(F46:F56)</f>
        <v>514163777</v>
      </c>
      <c r="G45" s="169">
        <f>SUM(G46:G55)</f>
        <v>0</v>
      </c>
      <c r="H45" s="169">
        <f>SUM(H46:H55)</f>
        <v>1687190</v>
      </c>
      <c r="I45" s="169">
        <f>SUM(I46:I55)</f>
        <v>0</v>
      </c>
      <c r="J45" s="170">
        <f t="shared" si="0"/>
        <v>515850967</v>
      </c>
      <c r="K45" s="575"/>
    </row>
    <row r="46" spans="1:11" ht="12.75" hidden="1">
      <c r="A46" s="176"/>
      <c r="B46" s="176"/>
      <c r="C46" s="177" t="s">
        <v>2</v>
      </c>
      <c r="D46" s="177" t="s">
        <v>157</v>
      </c>
      <c r="E46" s="177" t="s">
        <v>158</v>
      </c>
      <c r="F46" s="178">
        <v>0</v>
      </c>
      <c r="G46" s="178">
        <v>0</v>
      </c>
      <c r="H46" s="178">
        <v>0</v>
      </c>
      <c r="I46" s="178">
        <v>0</v>
      </c>
      <c r="J46" s="179">
        <f t="shared" si="0"/>
        <v>0</v>
      </c>
      <c r="K46" s="577"/>
    </row>
    <row r="47" spans="1:11" ht="12.75" hidden="1">
      <c r="A47" s="176"/>
      <c r="B47" s="176"/>
      <c r="C47" s="177"/>
      <c r="D47" s="177" t="s">
        <v>159</v>
      </c>
      <c r="E47" s="177" t="s">
        <v>160</v>
      </c>
      <c r="F47" s="178">
        <v>0</v>
      </c>
      <c r="G47" s="178">
        <v>0</v>
      </c>
      <c r="H47" s="178">
        <v>0</v>
      </c>
      <c r="I47" s="178">
        <v>0</v>
      </c>
      <c r="J47" s="179">
        <f t="shared" si="0"/>
        <v>0</v>
      </c>
      <c r="K47" s="577"/>
    </row>
    <row r="48" spans="1:11" ht="12.75">
      <c r="A48" s="180"/>
      <c r="B48" s="180"/>
      <c r="C48" s="177" t="s">
        <v>2</v>
      </c>
      <c r="D48" s="181"/>
      <c r="E48" s="181" t="s">
        <v>233</v>
      </c>
      <c r="F48" s="178">
        <f>2500000+21694288+6019000+5000000+9889960+15511691+2497100+1920000+95000000+106200000+2893619+3832400-3832400+17861888-17861888+100000000-100000000+2500000-2500000+15511691-15511691+2497100-2497100+192470000+47500000+830000+1250000</f>
        <v>511175658</v>
      </c>
      <c r="G48" s="178">
        <v>0</v>
      </c>
      <c r="H48" s="178">
        <v>1687190</v>
      </c>
      <c r="I48" s="178">
        <v>0</v>
      </c>
      <c r="J48" s="179">
        <f t="shared" si="0"/>
        <v>512862848</v>
      </c>
      <c r="K48" s="577"/>
    </row>
    <row r="49" spans="1:11" ht="12.75" hidden="1">
      <c r="A49" s="176"/>
      <c r="B49" s="176"/>
      <c r="C49" s="177"/>
      <c r="D49" s="177" t="s">
        <v>163</v>
      </c>
      <c r="E49" s="177" t="s">
        <v>164</v>
      </c>
      <c r="F49" s="178">
        <v>0</v>
      </c>
      <c r="G49" s="178">
        <v>0</v>
      </c>
      <c r="H49" s="178">
        <v>0</v>
      </c>
      <c r="I49" s="178">
        <v>0</v>
      </c>
      <c r="J49" s="179">
        <f t="shared" si="0"/>
        <v>0</v>
      </c>
      <c r="K49" s="577"/>
    </row>
    <row r="50" spans="1:11" ht="12.75" hidden="1">
      <c r="A50" s="176"/>
      <c r="B50" s="176"/>
      <c r="C50" s="177"/>
      <c r="D50" s="177" t="s">
        <v>165</v>
      </c>
      <c r="E50" s="177" t="s">
        <v>166</v>
      </c>
      <c r="F50" s="178">
        <v>0</v>
      </c>
      <c r="G50" s="178">
        <v>0</v>
      </c>
      <c r="H50" s="178">
        <v>0</v>
      </c>
      <c r="I50" s="178">
        <v>0</v>
      </c>
      <c r="J50" s="179">
        <f t="shared" si="0"/>
        <v>0</v>
      </c>
      <c r="K50" s="577"/>
    </row>
    <row r="51" spans="1:11" ht="12" customHeight="1">
      <c r="A51" s="176"/>
      <c r="B51" s="176"/>
      <c r="C51" s="177"/>
      <c r="D51" s="177"/>
      <c r="E51" s="177" t="s">
        <v>168</v>
      </c>
      <c r="F51" s="178">
        <f>299888+1846997</f>
        <v>2146885</v>
      </c>
      <c r="G51" s="178">
        <v>0</v>
      </c>
      <c r="H51" s="178">
        <v>0</v>
      </c>
      <c r="I51" s="178">
        <v>0</v>
      </c>
      <c r="J51" s="179">
        <f t="shared" si="0"/>
        <v>2146885</v>
      </c>
      <c r="K51" s="577"/>
    </row>
    <row r="52" spans="1:11" ht="12.75" hidden="1">
      <c r="A52" s="176"/>
      <c r="B52" s="176"/>
      <c r="C52" s="177"/>
      <c r="D52" s="177" t="s">
        <v>169</v>
      </c>
      <c r="E52" s="177" t="s">
        <v>170</v>
      </c>
      <c r="F52" s="178">
        <v>0</v>
      </c>
      <c r="G52" s="178">
        <v>0</v>
      </c>
      <c r="H52" s="178">
        <v>0</v>
      </c>
      <c r="I52" s="178">
        <v>0</v>
      </c>
      <c r="J52" s="179">
        <f t="shared" si="0"/>
        <v>0</v>
      </c>
      <c r="K52" s="577"/>
    </row>
    <row r="53" spans="1:11" ht="12.75" hidden="1">
      <c r="A53" s="176"/>
      <c r="B53" s="176"/>
      <c r="C53" s="177"/>
      <c r="D53" s="177" t="s">
        <v>171</v>
      </c>
      <c r="E53" s="177" t="s">
        <v>172</v>
      </c>
      <c r="F53" s="178">
        <v>0</v>
      </c>
      <c r="G53" s="178">
        <v>0</v>
      </c>
      <c r="H53" s="178">
        <v>0</v>
      </c>
      <c r="I53" s="178">
        <v>0</v>
      </c>
      <c r="J53" s="179">
        <f t="shared" si="0"/>
        <v>0</v>
      </c>
      <c r="K53" s="577"/>
    </row>
    <row r="54" spans="1:11" ht="12.75" hidden="1">
      <c r="A54" s="176"/>
      <c r="B54" s="176"/>
      <c r="C54" s="177"/>
      <c r="D54" s="177" t="s">
        <v>173</v>
      </c>
      <c r="E54" s="177" t="s">
        <v>174</v>
      </c>
      <c r="F54" s="178">
        <v>0</v>
      </c>
      <c r="G54" s="178">
        <v>0</v>
      </c>
      <c r="H54" s="178">
        <v>0</v>
      </c>
      <c r="I54" s="178">
        <v>0</v>
      </c>
      <c r="J54" s="179">
        <f t="shared" si="0"/>
        <v>0</v>
      </c>
      <c r="K54" s="577"/>
    </row>
    <row r="55" spans="1:11" ht="12.75" hidden="1">
      <c r="A55" s="176"/>
      <c r="B55" s="176"/>
      <c r="C55" s="177"/>
      <c r="D55" s="177" t="s">
        <v>175</v>
      </c>
      <c r="E55" s="177" t="s">
        <v>176</v>
      </c>
      <c r="F55" s="178">
        <v>0</v>
      </c>
      <c r="G55" s="178">
        <v>0</v>
      </c>
      <c r="H55" s="178">
        <v>0</v>
      </c>
      <c r="I55" s="178">
        <v>0</v>
      </c>
      <c r="J55" s="179">
        <f t="shared" si="0"/>
        <v>0</v>
      </c>
      <c r="K55" s="577"/>
    </row>
    <row r="56" spans="1:11" ht="12.75">
      <c r="A56" s="176"/>
      <c r="B56" s="176"/>
      <c r="C56" s="177"/>
      <c r="D56" s="177"/>
      <c r="E56" s="177" t="s">
        <v>164</v>
      </c>
      <c r="F56" s="178">
        <v>841234</v>
      </c>
      <c r="G56" s="178">
        <v>0</v>
      </c>
      <c r="H56" s="178">
        <v>0</v>
      </c>
      <c r="I56" s="178">
        <v>0</v>
      </c>
      <c r="J56" s="179">
        <f t="shared" si="0"/>
        <v>841234</v>
      </c>
      <c r="K56" s="577"/>
    </row>
    <row r="57" spans="1:11" s="167" customFormat="1" ht="12.75">
      <c r="A57" s="165" t="s">
        <v>242</v>
      </c>
      <c r="B57" s="977" t="s">
        <v>243</v>
      </c>
      <c r="C57" s="977"/>
      <c r="D57" s="977"/>
      <c r="E57" s="977"/>
      <c r="F57" s="166">
        <f>SUM(F58+F59+F60+F61+F64+F75)</f>
        <v>227595000</v>
      </c>
      <c r="G57" s="166">
        <f>SUM(G58+G59+G60+G61+G64+G75)</f>
        <v>0</v>
      </c>
      <c r="H57" s="166">
        <f>SUM(H58+H59+H60+H61+H64+H75)</f>
        <v>0</v>
      </c>
      <c r="I57" s="166">
        <f>SUM(I58+I59+I60+I61+I64+I75)</f>
        <v>0</v>
      </c>
      <c r="J57" s="166">
        <f t="shared" si="0"/>
        <v>227595000</v>
      </c>
      <c r="K57" s="574"/>
    </row>
    <row r="58" spans="1:11" ht="12.75">
      <c r="A58" s="168"/>
      <c r="B58" s="168" t="s">
        <v>244</v>
      </c>
      <c r="C58" s="969" t="s">
        <v>245</v>
      </c>
      <c r="D58" s="969"/>
      <c r="E58" s="969"/>
      <c r="F58" s="169">
        <v>50000</v>
      </c>
      <c r="G58" s="169">
        <v>0</v>
      </c>
      <c r="H58" s="169">
        <v>0</v>
      </c>
      <c r="I58" s="169">
        <v>0</v>
      </c>
      <c r="J58" s="170">
        <f t="shared" si="0"/>
        <v>50000</v>
      </c>
      <c r="K58" s="575"/>
    </row>
    <row r="59" spans="1:11" ht="12.75">
      <c r="A59" s="168"/>
      <c r="B59" s="168" t="s">
        <v>246</v>
      </c>
      <c r="C59" s="969" t="s">
        <v>247</v>
      </c>
      <c r="D59" s="969"/>
      <c r="E59" s="969"/>
      <c r="F59" s="169">
        <v>0</v>
      </c>
      <c r="G59" s="169">
        <v>0</v>
      </c>
      <c r="H59" s="169">
        <v>0</v>
      </c>
      <c r="I59" s="169">
        <v>0</v>
      </c>
      <c r="J59" s="170">
        <f t="shared" si="0"/>
        <v>0</v>
      </c>
      <c r="K59" s="575"/>
    </row>
    <row r="60" spans="1:11" ht="12.75">
      <c r="A60" s="168"/>
      <c r="B60" s="168" t="s">
        <v>248</v>
      </c>
      <c r="C60" s="969" t="s">
        <v>249</v>
      </c>
      <c r="D60" s="969"/>
      <c r="E60" s="969"/>
      <c r="F60" s="169">
        <v>0</v>
      </c>
      <c r="G60" s="169">
        <v>0</v>
      </c>
      <c r="H60" s="169">
        <v>0</v>
      </c>
      <c r="I60" s="169">
        <v>0</v>
      </c>
      <c r="J60" s="170">
        <f t="shared" si="0"/>
        <v>0</v>
      </c>
      <c r="K60" s="575"/>
    </row>
    <row r="61" spans="1:11" ht="12.75">
      <c r="A61" s="168"/>
      <c r="B61" s="168" t="s">
        <v>250</v>
      </c>
      <c r="C61" s="969" t="s">
        <v>251</v>
      </c>
      <c r="D61" s="969"/>
      <c r="E61" s="969"/>
      <c r="F61" s="169">
        <f>SUM(F62:F63)</f>
        <v>36900000</v>
      </c>
      <c r="G61" s="169">
        <f>SUM(G62:G63)</f>
        <v>0</v>
      </c>
      <c r="H61" s="169">
        <v>0</v>
      </c>
      <c r="I61" s="169">
        <v>0</v>
      </c>
      <c r="J61" s="170">
        <f t="shared" si="0"/>
        <v>36900000</v>
      </c>
      <c r="K61" s="575"/>
    </row>
    <row r="62" spans="1:11" ht="12.75">
      <c r="A62" s="176"/>
      <c r="B62" s="176"/>
      <c r="C62" s="177"/>
      <c r="D62" s="177"/>
      <c r="E62" s="177" t="s">
        <v>252</v>
      </c>
      <c r="F62" s="178">
        <v>36000000</v>
      </c>
      <c r="G62" s="178">
        <v>0</v>
      </c>
      <c r="H62" s="178">
        <v>0</v>
      </c>
      <c r="I62" s="178">
        <v>0</v>
      </c>
      <c r="J62" s="179">
        <f t="shared" si="0"/>
        <v>36000000</v>
      </c>
      <c r="K62" s="577"/>
    </row>
    <row r="63" spans="1:11" ht="12.75">
      <c r="A63" s="176"/>
      <c r="B63" s="176"/>
      <c r="C63" s="177"/>
      <c r="D63" s="177"/>
      <c r="E63" s="177" t="s">
        <v>253</v>
      </c>
      <c r="F63" s="178">
        <v>900000</v>
      </c>
      <c r="G63" s="178">
        <v>0</v>
      </c>
      <c r="H63" s="178">
        <v>0</v>
      </c>
      <c r="I63" s="178">
        <v>0</v>
      </c>
      <c r="J63" s="179">
        <f t="shared" si="0"/>
        <v>900000</v>
      </c>
      <c r="K63" s="577"/>
    </row>
    <row r="64" spans="1:11" ht="12.75">
      <c r="A64" s="168"/>
      <c r="B64" s="168" t="s">
        <v>254</v>
      </c>
      <c r="C64" s="969" t="s">
        <v>255</v>
      </c>
      <c r="D64" s="969"/>
      <c r="E64" s="969"/>
      <c r="F64" s="169">
        <f>SUM(F65+F68+F70+F71+F73)</f>
        <v>189500000</v>
      </c>
      <c r="G64" s="169">
        <f>SUM(G65+G68+G70+G71+G73)</f>
        <v>0</v>
      </c>
      <c r="H64" s="169">
        <v>0</v>
      </c>
      <c r="I64" s="169">
        <v>0</v>
      </c>
      <c r="J64" s="170">
        <f t="shared" si="0"/>
        <v>189500000</v>
      </c>
      <c r="K64" s="575"/>
    </row>
    <row r="65" spans="1:11" ht="12.75">
      <c r="A65" s="171"/>
      <c r="B65" s="171"/>
      <c r="C65" s="171" t="s">
        <v>256</v>
      </c>
      <c r="D65" s="171" t="s">
        <v>257</v>
      </c>
      <c r="E65" s="171"/>
      <c r="F65" s="172">
        <f>SUM(F66:F67)</f>
        <v>165500000</v>
      </c>
      <c r="G65" s="172">
        <f>SUM(G66:G67)</f>
        <v>0</v>
      </c>
      <c r="H65" s="172">
        <v>0</v>
      </c>
      <c r="I65" s="172">
        <v>0</v>
      </c>
      <c r="J65" s="173">
        <f t="shared" si="0"/>
        <v>165500000</v>
      </c>
      <c r="K65" s="576"/>
    </row>
    <row r="66" spans="1:11" ht="12.75">
      <c r="A66" s="176"/>
      <c r="B66" s="176"/>
      <c r="C66" s="177"/>
      <c r="D66" s="177"/>
      <c r="E66" s="177" t="s">
        <v>668</v>
      </c>
      <c r="F66" s="178">
        <v>165000000</v>
      </c>
      <c r="G66" s="178">
        <v>0</v>
      </c>
      <c r="H66" s="178">
        <v>0</v>
      </c>
      <c r="I66" s="178">
        <v>0</v>
      </c>
      <c r="J66" s="179">
        <f t="shared" si="0"/>
        <v>165000000</v>
      </c>
      <c r="K66" s="577"/>
    </row>
    <row r="67" spans="1:11" ht="12.75">
      <c r="A67" s="176"/>
      <c r="B67" s="176"/>
      <c r="C67" s="177"/>
      <c r="D67" s="177"/>
      <c r="E67" s="177" t="s">
        <v>669</v>
      </c>
      <c r="F67" s="178">
        <v>500000</v>
      </c>
      <c r="G67" s="178">
        <v>0</v>
      </c>
      <c r="H67" s="178">
        <v>0</v>
      </c>
      <c r="I67" s="178">
        <v>0</v>
      </c>
      <c r="J67" s="179">
        <f t="shared" si="0"/>
        <v>500000</v>
      </c>
      <c r="K67" s="577"/>
    </row>
    <row r="68" spans="1:11" ht="11.25" customHeight="1">
      <c r="A68" s="171"/>
      <c r="B68" s="171"/>
      <c r="C68" s="171" t="s">
        <v>258</v>
      </c>
      <c r="D68" s="171" t="s">
        <v>590</v>
      </c>
      <c r="E68" s="171"/>
      <c r="F68" s="172">
        <f>SUM(F69)</f>
        <v>0</v>
      </c>
      <c r="G68" s="172">
        <f>SUM(G69)</f>
        <v>0</v>
      </c>
      <c r="H68" s="172">
        <f>SUM(H69)</f>
        <v>0</v>
      </c>
      <c r="I68" s="172">
        <f>SUM(I69)</f>
        <v>0</v>
      </c>
      <c r="J68" s="173">
        <f t="shared" si="0"/>
        <v>0</v>
      </c>
      <c r="K68" s="576"/>
    </row>
    <row r="69" spans="1:11" ht="12.75" hidden="1">
      <c r="A69" s="171"/>
      <c r="B69" s="171"/>
      <c r="C69" s="171"/>
      <c r="D69" s="171"/>
      <c r="E69" s="177" t="s">
        <v>591</v>
      </c>
      <c r="F69" s="172">
        <v>0</v>
      </c>
      <c r="G69" s="172">
        <v>0</v>
      </c>
      <c r="H69" s="172">
        <v>0</v>
      </c>
      <c r="I69" s="172">
        <v>0</v>
      </c>
      <c r="J69" s="173">
        <f t="shared" si="0"/>
        <v>0</v>
      </c>
      <c r="K69" s="576"/>
    </row>
    <row r="70" spans="1:11" ht="12.75">
      <c r="A70" s="171"/>
      <c r="B70" s="171"/>
      <c r="C70" s="171" t="s">
        <v>259</v>
      </c>
      <c r="D70" s="171" t="s">
        <v>260</v>
      </c>
      <c r="E70" s="171"/>
      <c r="F70" s="172">
        <v>0</v>
      </c>
      <c r="G70" s="172">
        <v>0</v>
      </c>
      <c r="H70" s="172">
        <v>0</v>
      </c>
      <c r="I70" s="172">
        <v>0</v>
      </c>
      <c r="J70" s="173">
        <f t="shared" si="0"/>
        <v>0</v>
      </c>
      <c r="K70" s="576"/>
    </row>
    <row r="71" spans="1:11" ht="12.75">
      <c r="A71" s="171"/>
      <c r="B71" s="171"/>
      <c r="C71" s="171" t="s">
        <v>261</v>
      </c>
      <c r="D71" s="171" t="s">
        <v>262</v>
      </c>
      <c r="E71" s="171"/>
      <c r="F71" s="172">
        <f>SUM(F72)</f>
        <v>24000000</v>
      </c>
      <c r="G71" s="172">
        <f>SUM(G72:G72)</f>
        <v>0</v>
      </c>
      <c r="H71" s="172">
        <v>0</v>
      </c>
      <c r="I71" s="172">
        <v>0</v>
      </c>
      <c r="J71" s="173">
        <f t="shared" si="0"/>
        <v>24000000</v>
      </c>
      <c r="K71" s="576"/>
    </row>
    <row r="72" spans="1:11" ht="11.25" customHeight="1">
      <c r="A72" s="176"/>
      <c r="B72" s="176"/>
      <c r="C72" s="176"/>
      <c r="D72" s="177"/>
      <c r="E72" s="177" t="s">
        <v>670</v>
      </c>
      <c r="F72" s="178">
        <v>24000000</v>
      </c>
      <c r="G72" s="178">
        <v>0</v>
      </c>
      <c r="H72" s="178">
        <v>0</v>
      </c>
      <c r="I72" s="178">
        <v>0</v>
      </c>
      <c r="J72" s="179">
        <f t="shared" si="0"/>
        <v>24000000</v>
      </c>
      <c r="K72" s="577"/>
    </row>
    <row r="73" spans="1:11" ht="12.75" hidden="1">
      <c r="A73" s="171"/>
      <c r="B73" s="171"/>
      <c r="C73" s="171" t="s">
        <v>263</v>
      </c>
      <c r="D73" s="171" t="s">
        <v>264</v>
      </c>
      <c r="E73" s="171"/>
      <c r="F73" s="172">
        <f>SUM(F74:F74)</f>
        <v>0</v>
      </c>
      <c r="G73" s="172">
        <v>0</v>
      </c>
      <c r="H73" s="172">
        <v>0</v>
      </c>
      <c r="I73" s="172">
        <v>0</v>
      </c>
      <c r="J73" s="173">
        <f aca="true" t="shared" si="1" ref="J73:J137">SUM(F73:I73)</f>
        <v>0</v>
      </c>
      <c r="K73" s="576"/>
    </row>
    <row r="74" spans="1:11" ht="12.75" hidden="1">
      <c r="A74" s="176"/>
      <c r="B74" s="176"/>
      <c r="C74" s="176"/>
      <c r="D74" s="177"/>
      <c r="E74" s="177" t="s">
        <v>266</v>
      </c>
      <c r="F74" s="178">
        <v>0</v>
      </c>
      <c r="G74" s="178">
        <v>0</v>
      </c>
      <c r="H74" s="178">
        <v>0</v>
      </c>
      <c r="I74" s="178">
        <v>0</v>
      </c>
      <c r="J74" s="179">
        <f t="shared" si="1"/>
        <v>0</v>
      </c>
      <c r="K74" s="577"/>
    </row>
    <row r="75" spans="1:11" ht="12.75">
      <c r="A75" s="168"/>
      <c r="B75" s="168" t="s">
        <v>267</v>
      </c>
      <c r="C75" s="969" t="s">
        <v>268</v>
      </c>
      <c r="D75" s="969"/>
      <c r="E75" s="969"/>
      <c r="F75" s="169">
        <f>SUM(F76:F85)</f>
        <v>1145000</v>
      </c>
      <c r="G75" s="169">
        <f>SUM(G76:G85)</f>
        <v>0</v>
      </c>
      <c r="H75" s="169">
        <f>SUM(H76:H85)</f>
        <v>0</v>
      </c>
      <c r="I75" s="169">
        <f>SUM(I76:I85)</f>
        <v>0</v>
      </c>
      <c r="J75" s="170">
        <f t="shared" si="1"/>
        <v>1145000</v>
      </c>
      <c r="K75" s="575"/>
    </row>
    <row r="76" spans="1:11" ht="12.75" hidden="1">
      <c r="A76" s="182"/>
      <c r="B76" s="182"/>
      <c r="C76" s="182"/>
      <c r="D76" s="177"/>
      <c r="E76" s="177" t="s">
        <v>269</v>
      </c>
      <c r="F76" s="178">
        <v>0</v>
      </c>
      <c r="G76" s="178">
        <v>0</v>
      </c>
      <c r="H76" s="178">
        <v>0</v>
      </c>
      <c r="I76" s="178">
        <v>0</v>
      </c>
      <c r="J76" s="179">
        <f t="shared" si="1"/>
        <v>0</v>
      </c>
      <c r="K76" s="577"/>
    </row>
    <row r="77" spans="1:11" ht="12.75" hidden="1">
      <c r="A77" s="176"/>
      <c r="B77" s="176"/>
      <c r="C77" s="176"/>
      <c r="D77" s="177"/>
      <c r="E77" s="177" t="s">
        <v>270</v>
      </c>
      <c r="F77" s="178">
        <v>0</v>
      </c>
      <c r="G77" s="178"/>
      <c r="H77" s="178">
        <v>0</v>
      </c>
      <c r="I77" s="178">
        <v>0</v>
      </c>
      <c r="J77" s="179">
        <f t="shared" si="1"/>
        <v>0</v>
      </c>
      <c r="K77" s="577"/>
    </row>
    <row r="78" spans="1:11" ht="12.75" hidden="1">
      <c r="A78" s="182"/>
      <c r="B78" s="182"/>
      <c r="C78" s="182"/>
      <c r="D78" s="177"/>
      <c r="E78" s="177" t="s">
        <v>271</v>
      </c>
      <c r="F78" s="178">
        <v>0</v>
      </c>
      <c r="G78" s="178">
        <v>0</v>
      </c>
      <c r="H78" s="178">
        <v>0</v>
      </c>
      <c r="I78" s="178">
        <v>0</v>
      </c>
      <c r="J78" s="179">
        <f t="shared" si="1"/>
        <v>0</v>
      </c>
      <c r="K78" s="577"/>
    </row>
    <row r="79" spans="1:11" ht="12.75" customHeight="1">
      <c r="A79" s="182"/>
      <c r="B79" s="182"/>
      <c r="C79" s="182"/>
      <c r="D79" s="177"/>
      <c r="E79" s="177" t="s">
        <v>265</v>
      </c>
      <c r="F79" s="178">
        <v>495000</v>
      </c>
      <c r="G79" s="178">
        <v>0</v>
      </c>
      <c r="H79" s="178">
        <v>0</v>
      </c>
      <c r="I79" s="178">
        <v>0</v>
      </c>
      <c r="J79" s="179">
        <f t="shared" si="1"/>
        <v>495000</v>
      </c>
      <c r="K79" s="577"/>
    </row>
    <row r="80" spans="1:11" ht="0.75" customHeight="1" hidden="1">
      <c r="A80" s="182"/>
      <c r="B80" s="182"/>
      <c r="C80" s="182"/>
      <c r="D80" s="177"/>
      <c r="E80" s="177" t="s">
        <v>272</v>
      </c>
      <c r="F80" s="178">
        <v>0</v>
      </c>
      <c r="G80" s="178">
        <v>0</v>
      </c>
      <c r="H80" s="178">
        <v>0</v>
      </c>
      <c r="I80" s="178">
        <v>0</v>
      </c>
      <c r="J80" s="179">
        <f t="shared" si="1"/>
        <v>0</v>
      </c>
      <c r="K80" s="577"/>
    </row>
    <row r="81" spans="1:11" ht="12.75" hidden="1">
      <c r="A81" s="182"/>
      <c r="B81" s="182"/>
      <c r="C81" s="182"/>
      <c r="D81" s="177"/>
      <c r="E81" s="177" t="s">
        <v>273</v>
      </c>
      <c r="F81" s="178">
        <v>0</v>
      </c>
      <c r="G81" s="178">
        <v>0</v>
      </c>
      <c r="H81" s="178">
        <v>0</v>
      </c>
      <c r="I81" s="178">
        <v>0</v>
      </c>
      <c r="J81" s="179">
        <f t="shared" si="1"/>
        <v>0</v>
      </c>
      <c r="K81" s="577"/>
    </row>
    <row r="82" spans="1:11" ht="12.75" hidden="1">
      <c r="A82" s="182"/>
      <c r="B82" s="182"/>
      <c r="C82" s="182"/>
      <c r="D82" s="177"/>
      <c r="E82" s="177" t="s">
        <v>631</v>
      </c>
      <c r="F82" s="178"/>
      <c r="G82" s="178">
        <v>0</v>
      </c>
      <c r="H82" s="178">
        <v>0</v>
      </c>
      <c r="I82" s="178">
        <v>0</v>
      </c>
      <c r="J82" s="179">
        <f t="shared" si="1"/>
        <v>0</v>
      </c>
      <c r="K82" s="577"/>
    </row>
    <row r="83" spans="1:11" ht="30" customHeight="1" hidden="1">
      <c r="A83" s="176"/>
      <c r="B83" s="176"/>
      <c r="C83" s="176"/>
      <c r="D83" s="176"/>
      <c r="E83" s="183" t="s">
        <v>671</v>
      </c>
      <c r="F83" s="178">
        <v>0</v>
      </c>
      <c r="G83" s="178">
        <v>0</v>
      </c>
      <c r="H83" s="178">
        <v>0</v>
      </c>
      <c r="I83" s="178">
        <v>0</v>
      </c>
      <c r="J83" s="179">
        <f t="shared" si="1"/>
        <v>0</v>
      </c>
      <c r="K83" s="577"/>
    </row>
    <row r="84" spans="1:11" ht="12.75" hidden="1">
      <c r="A84" s="182"/>
      <c r="B84" s="182"/>
      <c r="C84" s="182"/>
      <c r="D84" s="182"/>
      <c r="E84" s="177" t="s">
        <v>274</v>
      </c>
      <c r="F84" s="178">
        <v>0</v>
      </c>
      <c r="G84" s="178">
        <v>0</v>
      </c>
      <c r="H84" s="178">
        <v>0</v>
      </c>
      <c r="I84" s="178">
        <v>0</v>
      </c>
      <c r="J84" s="179">
        <f t="shared" si="1"/>
        <v>0</v>
      </c>
      <c r="K84" s="577"/>
    </row>
    <row r="85" spans="1:11" ht="12.75">
      <c r="A85" s="176"/>
      <c r="B85" s="176"/>
      <c r="C85" s="176"/>
      <c r="D85" s="176"/>
      <c r="E85" s="181" t="s">
        <v>275</v>
      </c>
      <c r="F85" s="178">
        <v>650000</v>
      </c>
      <c r="G85" s="178">
        <v>0</v>
      </c>
      <c r="H85" s="178">
        <v>0</v>
      </c>
      <c r="I85" s="178">
        <v>0</v>
      </c>
      <c r="J85" s="179">
        <f t="shared" si="1"/>
        <v>650000</v>
      </c>
      <c r="K85" s="577"/>
    </row>
    <row r="86" spans="1:11" s="167" customFormat="1" ht="12.75">
      <c r="A86" s="165" t="s">
        <v>276</v>
      </c>
      <c r="B86" s="977" t="s">
        <v>277</v>
      </c>
      <c r="C86" s="977"/>
      <c r="D86" s="977"/>
      <c r="E86" s="977"/>
      <c r="F86" s="166">
        <f>SUM(F87+F88+F91+F93+F100+F101+F102+F103+F110+F118+F119)</f>
        <v>47826113</v>
      </c>
      <c r="G86" s="166">
        <f>SUM(G87+G88+G91+G93+G100+G101+G102+G103+G110+G118+G119)</f>
        <v>5176466</v>
      </c>
      <c r="H86" s="166">
        <f>SUM(H87+H88+H91+H93+H100+H101+H102+H103+H110+H118+H119)</f>
        <v>1293067</v>
      </c>
      <c r="I86" s="166">
        <f>SUM(I87+I88+I91+I93+I100+I101+I102+I103+I110+I118+I119)</f>
        <v>398595</v>
      </c>
      <c r="J86" s="166">
        <f t="shared" si="1"/>
        <v>54694241</v>
      </c>
      <c r="K86" s="574"/>
    </row>
    <row r="87" spans="1:11" ht="12.75">
      <c r="A87" s="171"/>
      <c r="B87" s="171"/>
      <c r="C87" s="171" t="s">
        <v>278</v>
      </c>
      <c r="D87" s="171" t="s">
        <v>547</v>
      </c>
      <c r="E87" s="171"/>
      <c r="F87" s="172">
        <f>400000+5848600</f>
        <v>6248600</v>
      </c>
      <c r="G87" s="172">
        <v>0</v>
      </c>
      <c r="H87" s="172">
        <v>0</v>
      </c>
      <c r="I87" s="172">
        <v>0</v>
      </c>
      <c r="J87" s="173">
        <f t="shared" si="1"/>
        <v>6248600</v>
      </c>
      <c r="K87" s="576"/>
    </row>
    <row r="88" spans="1:11" ht="11.25" customHeight="1">
      <c r="A88" s="171"/>
      <c r="B88" s="171"/>
      <c r="C88" s="171" t="s">
        <v>279</v>
      </c>
      <c r="D88" s="171" t="s">
        <v>351</v>
      </c>
      <c r="E88" s="171"/>
      <c r="F88" s="172">
        <f>14236474+4500000+48819+1050000+51312+2652628</f>
        <v>22539233</v>
      </c>
      <c r="G88" s="172">
        <v>250000</v>
      </c>
      <c r="H88" s="172">
        <f>70000</f>
        <v>70000</v>
      </c>
      <c r="I88" s="172">
        <f>100559+2851094-51312-2652628+66142</f>
        <v>313855</v>
      </c>
      <c r="J88" s="173">
        <f t="shared" si="1"/>
        <v>23173088</v>
      </c>
      <c r="K88" s="576"/>
    </row>
    <row r="89" spans="1:11" ht="12.75" hidden="1">
      <c r="A89" s="176"/>
      <c r="B89" s="176"/>
      <c r="C89" s="177" t="s">
        <v>2</v>
      </c>
      <c r="D89" s="177"/>
      <c r="E89" s="177" t="s">
        <v>280</v>
      </c>
      <c r="F89" s="184">
        <f>13202074+194400+840000</f>
        <v>14236474</v>
      </c>
      <c r="G89" s="184">
        <v>0</v>
      </c>
      <c r="H89" s="178">
        <v>0</v>
      </c>
      <c r="I89" s="178">
        <f>50000+600000</f>
        <v>650000</v>
      </c>
      <c r="J89" s="179">
        <f t="shared" si="1"/>
        <v>14886474</v>
      </c>
      <c r="K89" s="577"/>
    </row>
    <row r="90" spans="1:11" ht="12.75" hidden="1">
      <c r="A90" s="176"/>
      <c r="B90" s="176"/>
      <c r="C90" s="177"/>
      <c r="D90" s="177"/>
      <c r="E90" s="177" t="s">
        <v>672</v>
      </c>
      <c r="F90" s="178">
        <v>0</v>
      </c>
      <c r="G90" s="178">
        <v>0</v>
      </c>
      <c r="H90" s="178">
        <v>0</v>
      </c>
      <c r="I90" s="178">
        <v>0</v>
      </c>
      <c r="J90" s="179">
        <f t="shared" si="1"/>
        <v>0</v>
      </c>
      <c r="K90" s="577"/>
    </row>
    <row r="91" spans="1:11" ht="12.75">
      <c r="A91" s="171"/>
      <c r="B91" s="171"/>
      <c r="C91" s="171" t="s">
        <v>281</v>
      </c>
      <c r="D91" s="171" t="s">
        <v>282</v>
      </c>
      <c r="E91" s="171"/>
      <c r="F91" s="172">
        <f>2486532+652000+101556+36960+360500</f>
        <v>3637548</v>
      </c>
      <c r="G91" s="172">
        <v>3949049</v>
      </c>
      <c r="H91" s="172">
        <v>0</v>
      </c>
      <c r="I91" s="172">
        <f>360500-360500</f>
        <v>0</v>
      </c>
      <c r="J91" s="173">
        <f t="shared" si="1"/>
        <v>7586597</v>
      </c>
      <c r="K91" s="576"/>
    </row>
    <row r="92" spans="1:11" ht="12.75" hidden="1">
      <c r="A92" s="176"/>
      <c r="B92" s="176"/>
      <c r="C92" s="177" t="s">
        <v>2</v>
      </c>
      <c r="D92" s="177"/>
      <c r="E92" s="177" t="s">
        <v>7</v>
      </c>
      <c r="F92" s="178">
        <f>1707176+250000+101556</f>
        <v>2058732</v>
      </c>
      <c r="G92" s="178">
        <v>1604136</v>
      </c>
      <c r="H92" s="178">
        <v>0</v>
      </c>
      <c r="I92" s="178">
        <v>0</v>
      </c>
      <c r="J92" s="179">
        <f t="shared" si="1"/>
        <v>3662868</v>
      </c>
      <c r="K92" s="577"/>
    </row>
    <row r="93" spans="1:11" ht="12" customHeight="1">
      <c r="A93" s="171"/>
      <c r="B93" s="171"/>
      <c r="C93" s="171" t="s">
        <v>283</v>
      </c>
      <c r="D93" s="171" t="s">
        <v>284</v>
      </c>
      <c r="E93" s="171"/>
      <c r="F93" s="172">
        <f>639000+15000</f>
        <v>654000</v>
      </c>
      <c r="G93" s="172">
        <v>0</v>
      </c>
      <c r="H93" s="172">
        <v>0</v>
      </c>
      <c r="I93" s="172">
        <v>0</v>
      </c>
      <c r="J93" s="173">
        <f t="shared" si="1"/>
        <v>654000</v>
      </c>
      <c r="K93" s="576"/>
    </row>
    <row r="94" spans="1:11" ht="12.75" hidden="1">
      <c r="A94" s="176"/>
      <c r="B94" s="176"/>
      <c r="C94" s="177" t="s">
        <v>2</v>
      </c>
      <c r="D94" s="177"/>
      <c r="E94" s="177" t="s">
        <v>285</v>
      </c>
      <c r="F94" s="178">
        <v>0</v>
      </c>
      <c r="G94" s="178">
        <v>0</v>
      </c>
      <c r="H94" s="178">
        <v>0</v>
      </c>
      <c r="I94" s="178">
        <v>0</v>
      </c>
      <c r="J94" s="179">
        <f t="shared" si="1"/>
        <v>0</v>
      </c>
      <c r="K94" s="577"/>
    </row>
    <row r="95" spans="1:11" ht="12.75" hidden="1">
      <c r="A95" s="176"/>
      <c r="B95" s="176"/>
      <c r="C95" s="177"/>
      <c r="D95" s="177"/>
      <c r="E95" s="177" t="s">
        <v>673</v>
      </c>
      <c r="F95" s="178">
        <v>0</v>
      </c>
      <c r="G95" s="178">
        <v>0</v>
      </c>
      <c r="H95" s="178">
        <v>0</v>
      </c>
      <c r="I95" s="178">
        <v>0</v>
      </c>
      <c r="J95" s="179">
        <f t="shared" si="1"/>
        <v>0</v>
      </c>
      <c r="K95" s="577"/>
    </row>
    <row r="96" spans="1:11" ht="12" customHeight="1" hidden="1">
      <c r="A96" s="176"/>
      <c r="B96" s="176"/>
      <c r="C96" s="177" t="s">
        <v>2</v>
      </c>
      <c r="D96" s="177"/>
      <c r="E96" s="177" t="s">
        <v>674</v>
      </c>
      <c r="F96" s="178">
        <v>639000</v>
      </c>
      <c r="G96" s="178">
        <v>0</v>
      </c>
      <c r="H96" s="178">
        <v>0</v>
      </c>
      <c r="I96" s="178">
        <v>0</v>
      </c>
      <c r="J96" s="179">
        <f t="shared" si="1"/>
        <v>639000</v>
      </c>
      <c r="K96" s="577"/>
    </row>
    <row r="97" spans="1:11" ht="12.75" hidden="1">
      <c r="A97" s="176"/>
      <c r="B97" s="176"/>
      <c r="C97" s="177"/>
      <c r="D97" s="177"/>
      <c r="E97" s="177" t="s">
        <v>675</v>
      </c>
      <c r="F97" s="178">
        <v>0</v>
      </c>
      <c r="G97" s="178">
        <v>0</v>
      </c>
      <c r="H97" s="178">
        <v>0</v>
      </c>
      <c r="I97" s="178">
        <v>0</v>
      </c>
      <c r="J97" s="179">
        <f t="shared" si="1"/>
        <v>0</v>
      </c>
      <c r="K97" s="577"/>
    </row>
    <row r="98" spans="1:11" ht="12.75" hidden="1">
      <c r="A98" s="176"/>
      <c r="B98" s="176"/>
      <c r="C98" s="177"/>
      <c r="D98" s="177"/>
      <c r="E98" s="177" t="s">
        <v>676</v>
      </c>
      <c r="F98" s="178">
        <v>0</v>
      </c>
      <c r="G98" s="178">
        <v>0</v>
      </c>
      <c r="H98" s="178">
        <v>0</v>
      </c>
      <c r="I98" s="178">
        <v>0</v>
      </c>
      <c r="J98" s="179">
        <f t="shared" si="1"/>
        <v>0</v>
      </c>
      <c r="K98" s="577"/>
    </row>
    <row r="99" spans="1:11" ht="12.75" hidden="1">
      <c r="A99" s="176"/>
      <c r="B99" s="176"/>
      <c r="C99" s="177"/>
      <c r="D99" s="177"/>
      <c r="E99" s="177" t="s">
        <v>548</v>
      </c>
      <c r="F99" s="178">
        <v>0</v>
      </c>
      <c r="G99" s="178">
        <v>0</v>
      </c>
      <c r="H99" s="178">
        <v>0</v>
      </c>
      <c r="I99" s="178">
        <v>0</v>
      </c>
      <c r="J99" s="179">
        <f t="shared" si="1"/>
        <v>0</v>
      </c>
      <c r="K99" s="577"/>
    </row>
    <row r="100" spans="1:11" ht="12.75">
      <c r="A100" s="171"/>
      <c r="B100" s="171"/>
      <c r="C100" s="171" t="s">
        <v>286</v>
      </c>
      <c r="D100" s="171" t="s">
        <v>287</v>
      </c>
      <c r="E100" s="171"/>
      <c r="F100" s="172">
        <v>5498780</v>
      </c>
      <c r="G100" s="172">
        <v>0</v>
      </c>
      <c r="H100" s="172">
        <f>713200+250155</f>
        <v>963355</v>
      </c>
      <c r="I100" s="172">
        <v>0</v>
      </c>
      <c r="J100" s="173">
        <f t="shared" si="1"/>
        <v>6462135</v>
      </c>
      <c r="K100" s="576"/>
    </row>
    <row r="101" spans="1:11" ht="12.75">
      <c r="A101" s="171"/>
      <c r="B101" s="171"/>
      <c r="C101" s="171" t="s">
        <v>288</v>
      </c>
      <c r="D101" s="171" t="s">
        <v>289</v>
      </c>
      <c r="E101" s="171"/>
      <c r="F101" s="172">
        <f>551266+176040+1323000+1484671+15638+13181+9979+13878+651522</f>
        <v>4239175</v>
      </c>
      <c r="G101" s="172">
        <v>977417</v>
      </c>
      <c r="H101" s="172">
        <f>192170+67542</f>
        <v>259712</v>
      </c>
      <c r="I101" s="172">
        <f>27151+705130+1-13878-651522+17858</f>
        <v>84740</v>
      </c>
      <c r="J101" s="173">
        <f t="shared" si="1"/>
        <v>5561044</v>
      </c>
      <c r="K101" s="576"/>
    </row>
    <row r="102" spans="1:11" ht="12.75">
      <c r="A102" s="171"/>
      <c r="B102" s="171"/>
      <c r="C102" s="171" t="s">
        <v>290</v>
      </c>
      <c r="D102" s="171" t="s">
        <v>291</v>
      </c>
      <c r="E102" s="171"/>
      <c r="F102" s="172">
        <f>0+3863162+809838</f>
        <v>4673000</v>
      </c>
      <c r="G102" s="172">
        <v>0</v>
      </c>
      <c r="H102" s="172">
        <v>0</v>
      </c>
      <c r="I102" s="172">
        <v>0</v>
      </c>
      <c r="J102" s="173">
        <f t="shared" si="1"/>
        <v>4673000</v>
      </c>
      <c r="K102" s="576"/>
    </row>
    <row r="103" spans="1:11" ht="11.25" customHeight="1">
      <c r="A103" s="171"/>
      <c r="B103" s="171"/>
      <c r="C103" s="171" t="s">
        <v>292</v>
      </c>
      <c r="D103" s="171" t="s">
        <v>592</v>
      </c>
      <c r="E103" s="171"/>
      <c r="F103" s="172">
        <f>SUM(F104,F107)</f>
        <v>3000</v>
      </c>
      <c r="G103" s="172">
        <f>SUM(G104+G107)</f>
        <v>0</v>
      </c>
      <c r="H103" s="172">
        <f>SUM(H104+H107)</f>
        <v>0</v>
      </c>
      <c r="I103" s="172">
        <f>SUM(I104+I107)</f>
        <v>0</v>
      </c>
      <c r="J103" s="173">
        <f t="shared" si="1"/>
        <v>3000</v>
      </c>
      <c r="K103" s="576"/>
    </row>
    <row r="104" spans="1:11" ht="12.75" hidden="1">
      <c r="A104" s="171"/>
      <c r="B104" s="171"/>
      <c r="C104" s="177"/>
      <c r="D104" s="980" t="s">
        <v>677</v>
      </c>
      <c r="E104" s="981"/>
      <c r="F104" s="178">
        <v>0</v>
      </c>
      <c r="G104" s="178">
        <v>0</v>
      </c>
      <c r="H104" s="178">
        <v>0</v>
      </c>
      <c r="I104" s="178">
        <v>0</v>
      </c>
      <c r="J104" s="179">
        <f t="shared" si="1"/>
        <v>0</v>
      </c>
      <c r="K104" s="577"/>
    </row>
    <row r="105" spans="1:11" ht="12.75" hidden="1">
      <c r="A105" s="171"/>
      <c r="B105" s="171"/>
      <c r="C105" s="171" t="s">
        <v>2</v>
      </c>
      <c r="D105" s="171"/>
      <c r="E105" s="177" t="s">
        <v>7</v>
      </c>
      <c r="F105" s="178">
        <v>0</v>
      </c>
      <c r="G105" s="178">
        <v>0</v>
      </c>
      <c r="H105" s="178">
        <v>0</v>
      </c>
      <c r="I105" s="178">
        <v>0</v>
      </c>
      <c r="J105" s="179">
        <f t="shared" si="1"/>
        <v>0</v>
      </c>
      <c r="K105" s="577"/>
    </row>
    <row r="106" spans="1:11" ht="12.75" hidden="1">
      <c r="A106" s="171"/>
      <c r="B106" s="171"/>
      <c r="C106" s="171"/>
      <c r="D106" s="171"/>
      <c r="E106" s="177" t="s">
        <v>678</v>
      </c>
      <c r="F106" s="178">
        <v>0</v>
      </c>
      <c r="G106" s="178">
        <v>0</v>
      </c>
      <c r="H106" s="178">
        <v>0</v>
      </c>
      <c r="I106" s="178">
        <v>0</v>
      </c>
      <c r="J106" s="179">
        <f t="shared" si="1"/>
        <v>0</v>
      </c>
      <c r="K106" s="577"/>
    </row>
    <row r="107" spans="1:11" ht="12.75" hidden="1">
      <c r="A107" s="171"/>
      <c r="B107" s="171"/>
      <c r="C107" s="171" t="s">
        <v>2</v>
      </c>
      <c r="D107" s="980" t="s">
        <v>594</v>
      </c>
      <c r="E107" s="981"/>
      <c r="F107" s="178">
        <v>3000</v>
      </c>
      <c r="G107" s="178">
        <v>0</v>
      </c>
      <c r="H107" s="178">
        <v>0</v>
      </c>
      <c r="I107" s="178">
        <v>0</v>
      </c>
      <c r="J107" s="179">
        <f t="shared" si="1"/>
        <v>3000</v>
      </c>
      <c r="K107" s="577"/>
    </row>
    <row r="108" spans="1:11" ht="12.75" hidden="1">
      <c r="A108" s="171"/>
      <c r="B108" s="171"/>
      <c r="C108" s="171"/>
      <c r="D108" s="171"/>
      <c r="E108" s="177" t="s">
        <v>7</v>
      </c>
      <c r="F108" s="178">
        <v>0</v>
      </c>
      <c r="G108" s="178">
        <v>0</v>
      </c>
      <c r="H108" s="178">
        <v>0</v>
      </c>
      <c r="I108" s="178">
        <v>0</v>
      </c>
      <c r="J108" s="179">
        <f t="shared" si="1"/>
        <v>0</v>
      </c>
      <c r="K108" s="577"/>
    </row>
    <row r="109" spans="1:11" ht="12.75" hidden="1">
      <c r="A109" s="171"/>
      <c r="B109" s="171"/>
      <c r="C109" s="171"/>
      <c r="D109" s="171"/>
      <c r="E109" s="177" t="s">
        <v>549</v>
      </c>
      <c r="F109" s="178">
        <v>0</v>
      </c>
      <c r="G109" s="178">
        <v>0</v>
      </c>
      <c r="H109" s="178">
        <v>0</v>
      </c>
      <c r="I109" s="178">
        <v>0</v>
      </c>
      <c r="J109" s="179">
        <f t="shared" si="1"/>
        <v>0</v>
      </c>
      <c r="K109" s="577"/>
    </row>
    <row r="110" spans="1:11" ht="12.75">
      <c r="A110" s="171"/>
      <c r="B110" s="171"/>
      <c r="C110" s="171" t="s">
        <v>293</v>
      </c>
      <c r="D110" s="171" t="s">
        <v>597</v>
      </c>
      <c r="E110" s="171"/>
      <c r="F110" s="172">
        <f>SUM(F111:F112)</f>
        <v>0</v>
      </c>
      <c r="G110" s="172">
        <f>SUM(G111:G112)</f>
        <v>0</v>
      </c>
      <c r="H110" s="172">
        <f>SUM(H111:H112)</f>
        <v>0</v>
      </c>
      <c r="I110" s="172">
        <f>SUM(I111:I112)</f>
        <v>0</v>
      </c>
      <c r="J110" s="173">
        <f t="shared" si="1"/>
        <v>0</v>
      </c>
      <c r="K110" s="576"/>
    </row>
    <row r="111" spans="1:11" ht="12.75" hidden="1">
      <c r="A111" s="171"/>
      <c r="B111" s="171"/>
      <c r="C111" s="171"/>
      <c r="D111" s="980" t="s">
        <v>595</v>
      </c>
      <c r="E111" s="981"/>
      <c r="F111" s="172">
        <v>0</v>
      </c>
      <c r="G111" s="172">
        <v>0</v>
      </c>
      <c r="H111" s="172">
        <v>0</v>
      </c>
      <c r="I111" s="172">
        <v>0</v>
      </c>
      <c r="J111" s="173">
        <f t="shared" si="1"/>
        <v>0</v>
      </c>
      <c r="K111" s="576"/>
    </row>
    <row r="112" spans="1:11" ht="12.75" hidden="1">
      <c r="A112" s="171"/>
      <c r="B112" s="171"/>
      <c r="C112" s="171"/>
      <c r="D112" s="980" t="s">
        <v>596</v>
      </c>
      <c r="E112" s="981"/>
      <c r="F112" s="172">
        <v>0</v>
      </c>
      <c r="G112" s="172">
        <v>0</v>
      </c>
      <c r="H112" s="172">
        <v>0</v>
      </c>
      <c r="I112" s="172">
        <v>0</v>
      </c>
      <c r="J112" s="173">
        <f t="shared" si="1"/>
        <v>0</v>
      </c>
      <c r="K112" s="576"/>
    </row>
    <row r="113" spans="1:11" ht="12.75" hidden="1">
      <c r="A113" s="171"/>
      <c r="B113" s="171"/>
      <c r="C113" s="171" t="s">
        <v>2</v>
      </c>
      <c r="D113" s="171"/>
      <c r="E113" s="177" t="s">
        <v>598</v>
      </c>
      <c r="F113" s="172">
        <v>0</v>
      </c>
      <c r="G113" s="172">
        <v>0</v>
      </c>
      <c r="H113" s="172">
        <v>0</v>
      </c>
      <c r="I113" s="172">
        <v>0</v>
      </c>
      <c r="J113" s="173">
        <f t="shared" si="1"/>
        <v>0</v>
      </c>
      <c r="K113" s="576"/>
    </row>
    <row r="114" spans="1:11" ht="12.75" hidden="1">
      <c r="A114" s="171"/>
      <c r="B114" s="171"/>
      <c r="C114" s="171"/>
      <c r="D114" s="171"/>
      <c r="E114" s="177" t="s">
        <v>593</v>
      </c>
      <c r="F114" s="172">
        <v>0</v>
      </c>
      <c r="G114" s="172">
        <v>0</v>
      </c>
      <c r="H114" s="172">
        <v>0</v>
      </c>
      <c r="I114" s="172">
        <v>0</v>
      </c>
      <c r="J114" s="173">
        <f t="shared" si="1"/>
        <v>0</v>
      </c>
      <c r="K114" s="576"/>
    </row>
    <row r="115" spans="1:11" ht="12.75" hidden="1">
      <c r="A115" s="171"/>
      <c r="B115" s="171"/>
      <c r="C115" s="171"/>
      <c r="D115" s="171"/>
      <c r="E115" s="177" t="s">
        <v>599</v>
      </c>
      <c r="F115" s="172">
        <v>0</v>
      </c>
      <c r="G115" s="172">
        <v>0</v>
      </c>
      <c r="H115" s="172">
        <v>0</v>
      </c>
      <c r="I115" s="172">
        <v>0</v>
      </c>
      <c r="J115" s="173">
        <f t="shared" si="1"/>
        <v>0</v>
      </c>
      <c r="K115" s="576"/>
    </row>
    <row r="116" spans="1:11" ht="12.75" hidden="1">
      <c r="A116" s="171"/>
      <c r="B116" s="171"/>
      <c r="C116" s="171"/>
      <c r="D116" s="171"/>
      <c r="E116" s="177" t="s">
        <v>600</v>
      </c>
      <c r="F116" s="172">
        <v>0</v>
      </c>
      <c r="G116" s="172">
        <v>0</v>
      </c>
      <c r="H116" s="172">
        <v>0</v>
      </c>
      <c r="I116" s="172">
        <v>0</v>
      </c>
      <c r="J116" s="173">
        <f t="shared" si="1"/>
        <v>0</v>
      </c>
      <c r="K116" s="576"/>
    </row>
    <row r="117" spans="1:11" ht="12.75" hidden="1">
      <c r="A117" s="171"/>
      <c r="B117" s="171"/>
      <c r="C117" s="171"/>
      <c r="D117" s="171"/>
      <c r="E117" s="177" t="s">
        <v>601</v>
      </c>
      <c r="F117" s="172">
        <v>0</v>
      </c>
      <c r="G117" s="172">
        <v>0</v>
      </c>
      <c r="H117" s="172">
        <v>0</v>
      </c>
      <c r="I117" s="172">
        <v>0</v>
      </c>
      <c r="J117" s="173">
        <f t="shared" si="1"/>
        <v>0</v>
      </c>
      <c r="K117" s="576"/>
    </row>
    <row r="118" spans="1:11" ht="12.75">
      <c r="A118" s="171"/>
      <c r="B118" s="171"/>
      <c r="C118" s="171" t="s">
        <v>294</v>
      </c>
      <c r="D118" s="171" t="s">
        <v>550</v>
      </c>
      <c r="E118" s="171"/>
      <c r="F118" s="172">
        <v>0</v>
      </c>
      <c r="G118" s="172">
        <v>0</v>
      </c>
      <c r="H118" s="172">
        <v>0</v>
      </c>
      <c r="I118" s="172">
        <v>0</v>
      </c>
      <c r="J118" s="173">
        <f t="shared" si="1"/>
        <v>0</v>
      </c>
      <c r="K118" s="576"/>
    </row>
    <row r="119" spans="1:11" s="429" customFormat="1" ht="22.5" customHeight="1">
      <c r="A119" s="912"/>
      <c r="B119" s="912"/>
      <c r="C119" s="912" t="s">
        <v>551</v>
      </c>
      <c r="D119" s="979" t="s">
        <v>552</v>
      </c>
      <c r="E119" s="979"/>
      <c r="F119" s="913">
        <f>10801933+60128-10529284</f>
        <v>332777</v>
      </c>
      <c r="G119" s="913">
        <v>0</v>
      </c>
      <c r="H119" s="913">
        <v>0</v>
      </c>
      <c r="I119" s="913">
        <v>0</v>
      </c>
      <c r="J119" s="914">
        <f t="shared" si="1"/>
        <v>332777</v>
      </c>
      <c r="K119" s="915"/>
    </row>
    <row r="120" spans="1:11" ht="45.75" customHeight="1" hidden="1">
      <c r="A120" s="175"/>
      <c r="B120" s="175"/>
      <c r="C120" s="185" t="s">
        <v>2</v>
      </c>
      <c r="D120" s="183" t="s">
        <v>434</v>
      </c>
      <c r="E120" s="183" t="s">
        <v>574</v>
      </c>
      <c r="F120" s="178">
        <v>0</v>
      </c>
      <c r="G120" s="178">
        <v>0</v>
      </c>
      <c r="H120" s="178">
        <v>0</v>
      </c>
      <c r="I120" s="178">
        <v>0</v>
      </c>
      <c r="J120" s="179">
        <f t="shared" si="1"/>
        <v>0</v>
      </c>
      <c r="K120" s="577"/>
    </row>
    <row r="121" spans="1:11" ht="13.5" customHeight="1" hidden="1">
      <c r="A121" s="176"/>
      <c r="B121" s="176"/>
      <c r="C121" s="176"/>
      <c r="D121" s="177" t="s">
        <v>434</v>
      </c>
      <c r="E121" s="186" t="s">
        <v>602</v>
      </c>
      <c r="F121" s="178"/>
      <c r="G121" s="178">
        <v>0</v>
      </c>
      <c r="H121" s="178">
        <v>0</v>
      </c>
      <c r="I121" s="178">
        <v>0</v>
      </c>
      <c r="J121" s="179">
        <f t="shared" si="1"/>
        <v>0</v>
      </c>
      <c r="K121" s="577"/>
    </row>
    <row r="122" spans="1:11" s="167" customFormat="1" ht="12" customHeight="1">
      <c r="A122" s="165" t="s">
        <v>295</v>
      </c>
      <c r="B122" s="977" t="s">
        <v>296</v>
      </c>
      <c r="C122" s="977"/>
      <c r="D122" s="977"/>
      <c r="E122" s="977"/>
      <c r="F122" s="166">
        <f>SUM(F123+F125+F127+F128+F129+F130)</f>
        <v>40599929</v>
      </c>
      <c r="G122" s="166">
        <f>SUM(G123+G125+G127+G128+G129)</f>
        <v>0</v>
      </c>
      <c r="H122" s="166">
        <f>SUM(H123+H125+H127+H128+H129)</f>
        <v>0</v>
      </c>
      <c r="I122" s="166">
        <f>SUM(I123+I125+I127+I128+I129)</f>
        <v>0</v>
      </c>
      <c r="J122" s="166">
        <f t="shared" si="1"/>
        <v>40599929</v>
      </c>
      <c r="K122" s="574"/>
    </row>
    <row r="123" spans="1:11" ht="11.25" customHeight="1" hidden="1">
      <c r="A123" s="168"/>
      <c r="B123" s="168" t="s">
        <v>297</v>
      </c>
      <c r="C123" s="969" t="s">
        <v>352</v>
      </c>
      <c r="D123" s="969"/>
      <c r="E123" s="969"/>
      <c r="F123" s="169">
        <v>0</v>
      </c>
      <c r="G123" s="169">
        <v>0</v>
      </c>
      <c r="H123" s="169">
        <v>0</v>
      </c>
      <c r="I123" s="169">
        <v>0</v>
      </c>
      <c r="J123" s="170">
        <f t="shared" si="1"/>
        <v>0</v>
      </c>
      <c r="K123" s="575"/>
    </row>
    <row r="124" spans="1:11" ht="12.75" hidden="1">
      <c r="A124" s="176"/>
      <c r="B124" s="176"/>
      <c r="C124" s="177" t="s">
        <v>2</v>
      </c>
      <c r="D124" s="177" t="s">
        <v>434</v>
      </c>
      <c r="E124" s="177" t="s">
        <v>649</v>
      </c>
      <c r="F124" s="178">
        <v>0</v>
      </c>
      <c r="G124" s="178">
        <v>0</v>
      </c>
      <c r="H124" s="178">
        <v>0</v>
      </c>
      <c r="I124" s="178">
        <v>0</v>
      </c>
      <c r="J124" s="179">
        <f t="shared" si="1"/>
        <v>0</v>
      </c>
      <c r="K124" s="577"/>
    </row>
    <row r="125" spans="1:11" ht="11.25" customHeight="1">
      <c r="A125" s="168"/>
      <c r="B125" s="168" t="s">
        <v>298</v>
      </c>
      <c r="C125" s="969" t="s">
        <v>299</v>
      </c>
      <c r="D125" s="969"/>
      <c r="E125" s="969"/>
      <c r="F125" s="169">
        <f>62747330-3831623-848360+15172896+672563+3300476-30000000+1066203+500000-6753000+1032600+15000-1150000-1011276+3500000-3912880</f>
        <v>40499929</v>
      </c>
      <c r="G125" s="169">
        <v>0</v>
      </c>
      <c r="H125" s="169">
        <v>0</v>
      </c>
      <c r="I125" s="169">
        <v>0</v>
      </c>
      <c r="J125" s="170">
        <f t="shared" si="1"/>
        <v>40499929</v>
      </c>
      <c r="K125" s="575"/>
    </row>
    <row r="126" spans="1:11" ht="12.75" hidden="1">
      <c r="A126" s="176"/>
      <c r="B126" s="176"/>
      <c r="C126" s="177" t="s">
        <v>2</v>
      </c>
      <c r="D126" s="177" t="s">
        <v>434</v>
      </c>
      <c r="E126" s="177" t="s">
        <v>300</v>
      </c>
      <c r="F126" s="178">
        <v>0</v>
      </c>
      <c r="G126" s="178">
        <v>0</v>
      </c>
      <c r="H126" s="178">
        <v>0</v>
      </c>
      <c r="I126" s="178">
        <v>0</v>
      </c>
      <c r="J126" s="179">
        <f t="shared" si="1"/>
        <v>0</v>
      </c>
      <c r="K126" s="577"/>
    </row>
    <row r="127" spans="1:11" ht="12.75" hidden="1">
      <c r="A127" s="168"/>
      <c r="B127" s="168" t="s">
        <v>301</v>
      </c>
      <c r="C127" s="969" t="s">
        <v>302</v>
      </c>
      <c r="D127" s="969"/>
      <c r="E127" s="969"/>
      <c r="F127" s="169">
        <v>0</v>
      </c>
      <c r="G127" s="169">
        <v>0</v>
      </c>
      <c r="H127" s="169">
        <v>0</v>
      </c>
      <c r="I127" s="169">
        <v>0</v>
      </c>
      <c r="J127" s="170">
        <f t="shared" si="1"/>
        <v>0</v>
      </c>
      <c r="K127" s="575"/>
    </row>
    <row r="128" spans="1:11" ht="12.75" hidden="1">
      <c r="A128" s="168"/>
      <c r="B128" s="168" t="s">
        <v>303</v>
      </c>
      <c r="C128" s="969" t="s">
        <v>304</v>
      </c>
      <c r="D128" s="969"/>
      <c r="E128" s="969"/>
      <c r="F128" s="169">
        <v>0</v>
      </c>
      <c r="G128" s="169">
        <v>0</v>
      </c>
      <c r="H128" s="169">
        <v>0</v>
      </c>
      <c r="I128" s="169">
        <v>0</v>
      </c>
      <c r="J128" s="170">
        <f t="shared" si="1"/>
        <v>0</v>
      </c>
      <c r="K128" s="575"/>
    </row>
    <row r="129" spans="1:11" ht="12.75" hidden="1">
      <c r="A129" s="168"/>
      <c r="B129" s="168" t="s">
        <v>305</v>
      </c>
      <c r="C129" s="969" t="s">
        <v>306</v>
      </c>
      <c r="D129" s="969"/>
      <c r="E129" s="969"/>
      <c r="F129" s="169">
        <v>0</v>
      </c>
      <c r="G129" s="169">
        <v>0</v>
      </c>
      <c r="H129" s="169">
        <v>0</v>
      </c>
      <c r="I129" s="169">
        <v>0</v>
      </c>
      <c r="J129" s="170">
        <f t="shared" si="1"/>
        <v>0</v>
      </c>
      <c r="K129" s="575"/>
    </row>
    <row r="130" spans="1:11" ht="11.25" customHeight="1">
      <c r="A130" s="168"/>
      <c r="B130" s="168" t="s">
        <v>301</v>
      </c>
      <c r="C130" s="969" t="s">
        <v>302</v>
      </c>
      <c r="D130" s="969"/>
      <c r="E130" s="969"/>
      <c r="F130" s="169">
        <v>100000</v>
      </c>
      <c r="G130" s="169">
        <v>0</v>
      </c>
      <c r="H130" s="169">
        <v>0</v>
      </c>
      <c r="I130" s="169">
        <v>0</v>
      </c>
      <c r="J130" s="170">
        <f>SUM(F130:I130)</f>
        <v>100000</v>
      </c>
      <c r="K130" s="575"/>
    </row>
    <row r="131" spans="1:11" s="167" customFormat="1" ht="12" customHeight="1">
      <c r="A131" s="165" t="s">
        <v>307</v>
      </c>
      <c r="B131" s="977" t="s">
        <v>308</v>
      </c>
      <c r="C131" s="977"/>
      <c r="D131" s="977"/>
      <c r="E131" s="977"/>
      <c r="F131" s="166">
        <f>SUM(F132+F133+F134+F135+F145)</f>
        <v>369571</v>
      </c>
      <c r="G131" s="166">
        <f>SUM(G132+G133+G134+G135+G145)</f>
        <v>0</v>
      </c>
      <c r="H131" s="166">
        <f>SUM(H132+H133+H134+H135+H145)</f>
        <v>0</v>
      </c>
      <c r="I131" s="166">
        <f>SUM(I132+I133+I134+I135+I145)</f>
        <v>0</v>
      </c>
      <c r="J131" s="166">
        <f t="shared" si="1"/>
        <v>369571</v>
      </c>
      <c r="K131" s="574"/>
    </row>
    <row r="132" spans="1:11" ht="12.75" hidden="1">
      <c r="A132" s="168"/>
      <c r="B132" s="168" t="s">
        <v>309</v>
      </c>
      <c r="C132" s="969" t="s">
        <v>679</v>
      </c>
      <c r="D132" s="969"/>
      <c r="E132" s="969"/>
      <c r="F132" s="169">
        <v>0</v>
      </c>
      <c r="G132" s="169">
        <v>0</v>
      </c>
      <c r="H132" s="169">
        <v>0</v>
      </c>
      <c r="I132" s="169">
        <v>0</v>
      </c>
      <c r="J132" s="170">
        <f t="shared" si="1"/>
        <v>0</v>
      </c>
      <c r="K132" s="575"/>
    </row>
    <row r="133" spans="1:11" ht="12.75" hidden="1">
      <c r="A133" s="168"/>
      <c r="B133" s="168" t="s">
        <v>310</v>
      </c>
      <c r="C133" s="969" t="s">
        <v>680</v>
      </c>
      <c r="D133" s="969"/>
      <c r="E133" s="969"/>
      <c r="F133" s="169">
        <v>0</v>
      </c>
      <c r="G133" s="169">
        <v>0</v>
      </c>
      <c r="H133" s="169">
        <v>0</v>
      </c>
      <c r="I133" s="169">
        <v>0</v>
      </c>
      <c r="J133" s="170">
        <f t="shared" si="1"/>
        <v>0</v>
      </c>
      <c r="K133" s="575"/>
    </row>
    <row r="134" spans="1:11" ht="26.25" customHeight="1" hidden="1">
      <c r="A134" s="168"/>
      <c r="B134" s="168" t="s">
        <v>312</v>
      </c>
      <c r="C134" s="978" t="s">
        <v>681</v>
      </c>
      <c r="D134" s="978"/>
      <c r="E134" s="978"/>
      <c r="F134" s="169">
        <v>0</v>
      </c>
      <c r="G134" s="169">
        <v>0</v>
      </c>
      <c r="H134" s="169">
        <v>0</v>
      </c>
      <c r="I134" s="169">
        <v>0</v>
      </c>
      <c r="J134" s="170">
        <f t="shared" si="1"/>
        <v>0</v>
      </c>
      <c r="K134" s="575"/>
    </row>
    <row r="135" spans="1:11" ht="12.75" hidden="1">
      <c r="A135" s="168"/>
      <c r="B135" s="168" t="s">
        <v>553</v>
      </c>
      <c r="C135" s="969" t="s">
        <v>682</v>
      </c>
      <c r="D135" s="969"/>
      <c r="E135" s="969"/>
      <c r="F135" s="169">
        <f>SUM(F136:F144)</f>
        <v>0</v>
      </c>
      <c r="G135" s="169">
        <v>0</v>
      </c>
      <c r="H135" s="169">
        <v>0</v>
      </c>
      <c r="I135" s="169">
        <v>0</v>
      </c>
      <c r="J135" s="170">
        <f t="shared" si="1"/>
        <v>0</v>
      </c>
      <c r="K135" s="575"/>
    </row>
    <row r="136" spans="1:11" ht="12.75" hidden="1">
      <c r="A136" s="175"/>
      <c r="B136" s="175"/>
      <c r="C136" s="177" t="s">
        <v>2</v>
      </c>
      <c r="D136" s="177" t="s">
        <v>157</v>
      </c>
      <c r="E136" s="177" t="s">
        <v>184</v>
      </c>
      <c r="F136" s="178">
        <v>0</v>
      </c>
      <c r="G136" s="178">
        <v>0</v>
      </c>
      <c r="H136" s="178">
        <v>0</v>
      </c>
      <c r="I136" s="178">
        <v>0</v>
      </c>
      <c r="J136" s="179">
        <f t="shared" si="1"/>
        <v>0</v>
      </c>
      <c r="K136" s="577"/>
    </row>
    <row r="137" spans="1:11" ht="12.75" hidden="1">
      <c r="A137" s="175"/>
      <c r="B137" s="175"/>
      <c r="C137" s="177"/>
      <c r="D137" s="177" t="s">
        <v>159</v>
      </c>
      <c r="E137" s="177" t="s">
        <v>575</v>
      </c>
      <c r="F137" s="178">
        <v>0</v>
      </c>
      <c r="G137" s="178">
        <v>0</v>
      </c>
      <c r="H137" s="178">
        <v>0</v>
      </c>
      <c r="I137" s="178">
        <v>0</v>
      </c>
      <c r="J137" s="179">
        <f t="shared" si="1"/>
        <v>0</v>
      </c>
      <c r="K137" s="577"/>
    </row>
    <row r="138" spans="1:11" ht="12.75" hidden="1">
      <c r="A138" s="175"/>
      <c r="B138" s="175"/>
      <c r="C138" s="177"/>
      <c r="D138" s="177" t="s">
        <v>161</v>
      </c>
      <c r="E138" s="177" t="s">
        <v>185</v>
      </c>
      <c r="F138" s="178">
        <v>0</v>
      </c>
      <c r="G138" s="178">
        <v>0</v>
      </c>
      <c r="H138" s="178">
        <v>0</v>
      </c>
      <c r="I138" s="178">
        <v>0</v>
      </c>
      <c r="J138" s="179">
        <f aca="true" t="shared" si="2" ref="J138:J201">SUM(F138:I138)</f>
        <v>0</v>
      </c>
      <c r="K138" s="577"/>
    </row>
    <row r="139" spans="1:11" ht="12.75" hidden="1">
      <c r="A139" s="175"/>
      <c r="B139" s="175"/>
      <c r="C139" s="177"/>
      <c r="D139" s="177" t="s">
        <v>163</v>
      </c>
      <c r="E139" s="177" t="s">
        <v>186</v>
      </c>
      <c r="F139" s="178">
        <v>0</v>
      </c>
      <c r="G139" s="178">
        <v>0</v>
      </c>
      <c r="H139" s="178">
        <v>0</v>
      </c>
      <c r="I139" s="178">
        <v>0</v>
      </c>
      <c r="J139" s="179">
        <f t="shared" si="2"/>
        <v>0</v>
      </c>
      <c r="K139" s="577"/>
    </row>
    <row r="140" spans="1:11" ht="12.75" hidden="1">
      <c r="A140" s="175"/>
      <c r="B140" s="175"/>
      <c r="C140" s="177"/>
      <c r="D140" s="177" t="s">
        <v>165</v>
      </c>
      <c r="E140" s="177" t="s">
        <v>187</v>
      </c>
      <c r="F140" s="178">
        <v>0</v>
      </c>
      <c r="G140" s="178">
        <v>0</v>
      </c>
      <c r="H140" s="178">
        <v>0</v>
      </c>
      <c r="I140" s="178">
        <v>0</v>
      </c>
      <c r="J140" s="179">
        <f t="shared" si="2"/>
        <v>0</v>
      </c>
      <c r="K140" s="577"/>
    </row>
    <row r="141" spans="1:11" ht="12.75" hidden="1">
      <c r="A141" s="175"/>
      <c r="B141" s="175"/>
      <c r="C141" s="177"/>
      <c r="D141" s="177" t="s">
        <v>167</v>
      </c>
      <c r="E141" s="177" t="s">
        <v>535</v>
      </c>
      <c r="F141" s="178">
        <v>0</v>
      </c>
      <c r="G141" s="178">
        <v>0</v>
      </c>
      <c r="H141" s="178">
        <v>0</v>
      </c>
      <c r="I141" s="178">
        <v>0</v>
      </c>
      <c r="J141" s="179">
        <f t="shared" si="2"/>
        <v>0</v>
      </c>
      <c r="K141" s="577"/>
    </row>
    <row r="142" spans="1:11" ht="12.75" hidden="1">
      <c r="A142" s="175"/>
      <c r="B142" s="175"/>
      <c r="C142" s="177"/>
      <c r="D142" s="177" t="s">
        <v>169</v>
      </c>
      <c r="E142" s="177" t="s">
        <v>534</v>
      </c>
      <c r="F142" s="187">
        <v>0</v>
      </c>
      <c r="G142" s="178">
        <v>0</v>
      </c>
      <c r="H142" s="178">
        <v>0</v>
      </c>
      <c r="I142" s="178">
        <v>0</v>
      </c>
      <c r="J142" s="179">
        <f t="shared" si="2"/>
        <v>0</v>
      </c>
      <c r="K142" s="577"/>
    </row>
    <row r="143" spans="1:11" ht="12.75" hidden="1">
      <c r="A143" s="175"/>
      <c r="B143" s="175"/>
      <c r="C143" s="177"/>
      <c r="D143" s="177" t="s">
        <v>171</v>
      </c>
      <c r="E143" s="177" t="s">
        <v>190</v>
      </c>
      <c r="F143" s="178"/>
      <c r="G143" s="178">
        <v>0</v>
      </c>
      <c r="H143" s="178">
        <v>0</v>
      </c>
      <c r="I143" s="178">
        <v>0</v>
      </c>
      <c r="J143" s="179">
        <f t="shared" si="2"/>
        <v>0</v>
      </c>
      <c r="K143" s="577"/>
    </row>
    <row r="144" spans="1:11" ht="12.75" hidden="1">
      <c r="A144" s="175"/>
      <c r="B144" s="175"/>
      <c r="C144" s="177"/>
      <c r="D144" s="177" t="s">
        <v>173</v>
      </c>
      <c r="E144" s="177" t="s">
        <v>576</v>
      </c>
      <c r="F144" s="178">
        <v>0</v>
      </c>
      <c r="G144" s="178">
        <v>0</v>
      </c>
      <c r="H144" s="178">
        <v>0</v>
      </c>
      <c r="I144" s="178">
        <v>0</v>
      </c>
      <c r="J144" s="179">
        <f t="shared" si="2"/>
        <v>0</v>
      </c>
      <c r="K144" s="577"/>
    </row>
    <row r="145" spans="1:11" ht="12" customHeight="1">
      <c r="A145" s="168"/>
      <c r="B145" s="168" t="s">
        <v>554</v>
      </c>
      <c r="C145" s="969" t="s">
        <v>650</v>
      </c>
      <c r="D145" s="969"/>
      <c r="E145" s="969"/>
      <c r="F145" s="169">
        <f>302525+67046</f>
        <v>369571</v>
      </c>
      <c r="G145" s="169">
        <v>0</v>
      </c>
      <c r="H145" s="169">
        <v>0</v>
      </c>
      <c r="I145" s="169">
        <v>0</v>
      </c>
      <c r="J145" s="170">
        <f t="shared" si="2"/>
        <v>369571</v>
      </c>
      <c r="K145" s="575"/>
    </row>
    <row r="146" spans="1:11" ht="12.75" hidden="1">
      <c r="A146" s="168"/>
      <c r="B146" s="168"/>
      <c r="C146" s="177" t="s">
        <v>2</v>
      </c>
      <c r="D146" s="572"/>
      <c r="E146" s="177" t="s">
        <v>190</v>
      </c>
      <c r="F146" s="178">
        <f>302525+67046</f>
        <v>369571</v>
      </c>
      <c r="G146" s="178">
        <v>0</v>
      </c>
      <c r="H146" s="178">
        <v>0</v>
      </c>
      <c r="I146" s="178">
        <v>0</v>
      </c>
      <c r="J146" s="179">
        <f>SUM(F146:I146)</f>
        <v>369571</v>
      </c>
      <c r="K146" s="575"/>
    </row>
    <row r="147" spans="1:11" s="167" customFormat="1" ht="12" customHeight="1">
      <c r="A147" s="165" t="s">
        <v>313</v>
      </c>
      <c r="B147" s="977" t="s">
        <v>314</v>
      </c>
      <c r="C147" s="977"/>
      <c r="D147" s="977"/>
      <c r="E147" s="977"/>
      <c r="F147" s="166">
        <f>SUM(F148+F149+F150+F151+F161)</f>
        <v>33081467</v>
      </c>
      <c r="G147" s="166">
        <f>SUM(G148+G149+G150+G151+G161)</f>
        <v>0</v>
      </c>
      <c r="H147" s="166">
        <f>SUM(H148+H149+H150+H151+H161)</f>
        <v>0</v>
      </c>
      <c r="I147" s="166">
        <f>SUM(I148+I149+I150+I151+I161)</f>
        <v>0</v>
      </c>
      <c r="J147" s="166">
        <f t="shared" si="2"/>
        <v>33081467</v>
      </c>
      <c r="K147" s="574"/>
    </row>
    <row r="148" spans="1:11" ht="12.75" hidden="1">
      <c r="A148" s="168"/>
      <c r="B148" s="168" t="s">
        <v>315</v>
      </c>
      <c r="C148" s="969" t="s">
        <v>683</v>
      </c>
      <c r="D148" s="969"/>
      <c r="E148" s="969"/>
      <c r="F148" s="169">
        <v>0</v>
      </c>
      <c r="G148" s="169">
        <v>0</v>
      </c>
      <c r="H148" s="169">
        <v>0</v>
      </c>
      <c r="I148" s="169">
        <v>0</v>
      </c>
      <c r="J148" s="170">
        <f t="shared" si="2"/>
        <v>0</v>
      </c>
      <c r="K148" s="575"/>
    </row>
    <row r="149" spans="1:11" ht="12.75" hidden="1">
      <c r="A149" s="168"/>
      <c r="B149" s="168" t="s">
        <v>316</v>
      </c>
      <c r="C149" s="969" t="s">
        <v>684</v>
      </c>
      <c r="D149" s="969"/>
      <c r="E149" s="969"/>
      <c r="F149" s="169">
        <v>0</v>
      </c>
      <c r="G149" s="169">
        <v>0</v>
      </c>
      <c r="H149" s="169">
        <v>0</v>
      </c>
      <c r="I149" s="169">
        <v>0</v>
      </c>
      <c r="J149" s="170">
        <f t="shared" si="2"/>
        <v>0</v>
      </c>
      <c r="K149" s="575"/>
    </row>
    <row r="150" spans="1:11" ht="25.5" customHeight="1" hidden="1">
      <c r="A150" s="168"/>
      <c r="B150" s="168" t="s">
        <v>317</v>
      </c>
      <c r="C150" s="978" t="s">
        <v>685</v>
      </c>
      <c r="D150" s="978"/>
      <c r="E150" s="978"/>
      <c r="F150" s="169">
        <v>0</v>
      </c>
      <c r="G150" s="169">
        <v>0</v>
      </c>
      <c r="H150" s="169">
        <v>0</v>
      </c>
      <c r="I150" s="169">
        <v>0</v>
      </c>
      <c r="J150" s="170">
        <f t="shared" si="2"/>
        <v>0</v>
      </c>
      <c r="K150" s="575"/>
    </row>
    <row r="151" spans="1:11" ht="12.75" hidden="1">
      <c r="A151" s="175"/>
      <c r="B151" s="168" t="s">
        <v>555</v>
      </c>
      <c r="C151" s="969" t="s">
        <v>686</v>
      </c>
      <c r="D151" s="969"/>
      <c r="E151" s="969"/>
      <c r="F151" s="169">
        <f>SUM(F152:F160)</f>
        <v>0</v>
      </c>
      <c r="G151" s="169">
        <f>SUM(G152:G160)</f>
        <v>0</v>
      </c>
      <c r="H151" s="169">
        <f>SUM(H152:H160)</f>
        <v>0</v>
      </c>
      <c r="I151" s="169">
        <f>SUM(I152:I160)</f>
        <v>0</v>
      </c>
      <c r="J151" s="170">
        <f t="shared" si="2"/>
        <v>0</v>
      </c>
      <c r="K151" s="575"/>
    </row>
    <row r="152" spans="1:11" ht="12.75" hidden="1">
      <c r="A152" s="175"/>
      <c r="B152" s="175"/>
      <c r="C152" s="177" t="s">
        <v>2</v>
      </c>
      <c r="D152" s="177" t="s">
        <v>157</v>
      </c>
      <c r="E152" s="177" t="s">
        <v>184</v>
      </c>
      <c r="F152" s="178">
        <v>0</v>
      </c>
      <c r="G152" s="178">
        <v>0</v>
      </c>
      <c r="H152" s="178">
        <v>0</v>
      </c>
      <c r="I152" s="178">
        <v>0</v>
      </c>
      <c r="J152" s="179">
        <f t="shared" si="2"/>
        <v>0</v>
      </c>
      <c r="K152" s="577"/>
    </row>
    <row r="153" spans="1:11" ht="12.75" hidden="1">
      <c r="A153" s="175"/>
      <c r="B153" s="175"/>
      <c r="C153" s="177"/>
      <c r="D153" s="177" t="s">
        <v>159</v>
      </c>
      <c r="E153" s="177" t="s">
        <v>575</v>
      </c>
      <c r="F153" s="178">
        <v>0</v>
      </c>
      <c r="G153" s="178">
        <v>0</v>
      </c>
      <c r="H153" s="178">
        <v>0</v>
      </c>
      <c r="I153" s="178">
        <v>0</v>
      </c>
      <c r="J153" s="179">
        <f t="shared" si="2"/>
        <v>0</v>
      </c>
      <c r="K153" s="577"/>
    </row>
    <row r="154" spans="1:11" ht="12.75" hidden="1">
      <c r="A154" s="175"/>
      <c r="B154" s="175"/>
      <c r="C154" s="177"/>
      <c r="D154" s="177" t="s">
        <v>161</v>
      </c>
      <c r="E154" s="177" t="s">
        <v>185</v>
      </c>
      <c r="F154" s="178">
        <v>0</v>
      </c>
      <c r="G154" s="178">
        <v>0</v>
      </c>
      <c r="H154" s="178">
        <v>0</v>
      </c>
      <c r="I154" s="178">
        <v>0</v>
      </c>
      <c r="J154" s="179">
        <f t="shared" si="2"/>
        <v>0</v>
      </c>
      <c r="K154" s="577"/>
    </row>
    <row r="155" spans="1:11" ht="12.75" hidden="1">
      <c r="A155" s="175"/>
      <c r="B155" s="175"/>
      <c r="C155" s="177"/>
      <c r="D155" s="177" t="s">
        <v>163</v>
      </c>
      <c r="E155" s="177" t="s">
        <v>186</v>
      </c>
      <c r="F155" s="178">
        <v>0</v>
      </c>
      <c r="G155" s="178">
        <v>0</v>
      </c>
      <c r="H155" s="178">
        <v>0</v>
      </c>
      <c r="I155" s="178">
        <v>0</v>
      </c>
      <c r="J155" s="179">
        <f t="shared" si="2"/>
        <v>0</v>
      </c>
      <c r="K155" s="577"/>
    </row>
    <row r="156" spans="1:11" ht="12.75" hidden="1">
      <c r="A156" s="175"/>
      <c r="B156" s="175"/>
      <c r="C156" s="177"/>
      <c r="D156" s="177" t="s">
        <v>165</v>
      </c>
      <c r="E156" s="177" t="s">
        <v>187</v>
      </c>
      <c r="F156" s="178">
        <v>0</v>
      </c>
      <c r="G156" s="178">
        <v>0</v>
      </c>
      <c r="H156" s="178">
        <v>0</v>
      </c>
      <c r="I156" s="178">
        <v>0</v>
      </c>
      <c r="J156" s="179">
        <f t="shared" si="2"/>
        <v>0</v>
      </c>
      <c r="K156" s="577"/>
    </row>
    <row r="157" spans="1:11" ht="12.75" hidden="1">
      <c r="A157" s="175"/>
      <c r="B157" s="175"/>
      <c r="C157" s="177"/>
      <c r="D157" s="177" t="s">
        <v>167</v>
      </c>
      <c r="E157" s="177" t="s">
        <v>535</v>
      </c>
      <c r="F157" s="178">
        <v>0</v>
      </c>
      <c r="G157" s="178">
        <v>0</v>
      </c>
      <c r="H157" s="178">
        <v>0</v>
      </c>
      <c r="I157" s="178">
        <v>0</v>
      </c>
      <c r="J157" s="179">
        <f t="shared" si="2"/>
        <v>0</v>
      </c>
      <c r="K157" s="577"/>
    </row>
    <row r="158" spans="1:11" ht="12.75" hidden="1">
      <c r="A158" s="175"/>
      <c r="B158" s="175"/>
      <c r="C158" s="177"/>
      <c r="D158" s="177" t="s">
        <v>169</v>
      </c>
      <c r="E158" s="177" t="s">
        <v>534</v>
      </c>
      <c r="F158" s="187">
        <v>0</v>
      </c>
      <c r="G158" s="178">
        <v>0</v>
      </c>
      <c r="H158" s="178">
        <v>0</v>
      </c>
      <c r="I158" s="178">
        <v>0</v>
      </c>
      <c r="J158" s="179">
        <f t="shared" si="2"/>
        <v>0</v>
      </c>
      <c r="K158" s="577"/>
    </row>
    <row r="159" spans="1:11" ht="12.75" hidden="1">
      <c r="A159" s="175"/>
      <c r="B159" s="175"/>
      <c r="C159" s="177"/>
      <c r="D159" s="177" t="s">
        <v>171</v>
      </c>
      <c r="E159" s="177" t="s">
        <v>190</v>
      </c>
      <c r="F159" s="178">
        <v>0</v>
      </c>
      <c r="G159" s="178">
        <v>0</v>
      </c>
      <c r="H159" s="178">
        <v>0</v>
      </c>
      <c r="I159" s="178">
        <v>0</v>
      </c>
      <c r="J159" s="179">
        <f t="shared" si="2"/>
        <v>0</v>
      </c>
      <c r="K159" s="577"/>
    </row>
    <row r="160" spans="1:11" ht="12.75" hidden="1">
      <c r="A160" s="175"/>
      <c r="B160" s="175"/>
      <c r="C160" s="177"/>
      <c r="D160" s="177" t="s">
        <v>173</v>
      </c>
      <c r="E160" s="177" t="s">
        <v>576</v>
      </c>
      <c r="F160" s="178">
        <v>0</v>
      </c>
      <c r="G160" s="178">
        <v>0</v>
      </c>
      <c r="H160" s="178">
        <v>0</v>
      </c>
      <c r="I160" s="178">
        <v>0</v>
      </c>
      <c r="J160" s="179">
        <f t="shared" si="2"/>
        <v>0</v>
      </c>
      <c r="K160" s="577"/>
    </row>
    <row r="161" spans="1:11" ht="12" customHeight="1">
      <c r="A161" s="175"/>
      <c r="B161" s="168" t="s">
        <v>556</v>
      </c>
      <c r="C161" s="969" t="s">
        <v>632</v>
      </c>
      <c r="D161" s="969"/>
      <c r="E161" s="969"/>
      <c r="F161" s="169">
        <f>SUM(F162:F172)+33081467</f>
        <v>33081467</v>
      </c>
      <c r="G161" s="169">
        <f>SUM(G162:G172)</f>
        <v>0</v>
      </c>
      <c r="H161" s="169">
        <f>SUM(H162:H172)</f>
        <v>0</v>
      </c>
      <c r="I161" s="169">
        <f>SUM(I162:I172)</f>
        <v>0</v>
      </c>
      <c r="J161" s="170">
        <f t="shared" si="2"/>
        <v>33081467</v>
      </c>
      <c r="K161" s="575"/>
    </row>
    <row r="162" spans="1:11" ht="12" customHeight="1" hidden="1">
      <c r="A162" s="175"/>
      <c r="B162" s="175"/>
      <c r="C162" s="177" t="s">
        <v>2</v>
      </c>
      <c r="D162" s="177" t="s">
        <v>157</v>
      </c>
      <c r="E162" s="177" t="s">
        <v>184</v>
      </c>
      <c r="F162" s="178">
        <v>0</v>
      </c>
      <c r="G162" s="178">
        <v>0</v>
      </c>
      <c r="H162" s="178">
        <v>0</v>
      </c>
      <c r="I162" s="178">
        <v>0</v>
      </c>
      <c r="J162" s="179">
        <f t="shared" si="2"/>
        <v>0</v>
      </c>
      <c r="K162" s="577"/>
    </row>
    <row r="163" spans="1:11" ht="12.75" hidden="1">
      <c r="A163" s="175"/>
      <c r="B163" s="175"/>
      <c r="C163" s="177"/>
      <c r="D163" s="177" t="s">
        <v>159</v>
      </c>
      <c r="E163" s="177" t="s">
        <v>575</v>
      </c>
      <c r="F163" s="178">
        <v>0</v>
      </c>
      <c r="G163" s="178">
        <v>0</v>
      </c>
      <c r="H163" s="178">
        <v>0</v>
      </c>
      <c r="I163" s="178">
        <v>0</v>
      </c>
      <c r="J163" s="179">
        <f t="shared" si="2"/>
        <v>0</v>
      </c>
      <c r="K163" s="577"/>
    </row>
    <row r="164" spans="1:11" ht="12.75" hidden="1">
      <c r="A164" s="175"/>
      <c r="B164" s="175"/>
      <c r="C164" s="177"/>
      <c r="D164" s="177" t="s">
        <v>161</v>
      </c>
      <c r="E164" s="177" t="s">
        <v>185</v>
      </c>
      <c r="F164" s="178">
        <v>0</v>
      </c>
      <c r="G164" s="178">
        <v>0</v>
      </c>
      <c r="H164" s="178">
        <v>0</v>
      </c>
      <c r="I164" s="178">
        <v>0</v>
      </c>
      <c r="J164" s="179">
        <f t="shared" si="2"/>
        <v>0</v>
      </c>
      <c r="K164" s="577"/>
    </row>
    <row r="165" spans="1:11" ht="12.75" hidden="1">
      <c r="A165" s="175"/>
      <c r="B165" s="175"/>
      <c r="C165" s="177"/>
      <c r="D165" s="177" t="s">
        <v>163</v>
      </c>
      <c r="E165" s="177" t="s">
        <v>186</v>
      </c>
      <c r="F165" s="178">
        <v>0</v>
      </c>
      <c r="G165" s="178">
        <v>0</v>
      </c>
      <c r="H165" s="178">
        <v>0</v>
      </c>
      <c r="I165" s="178">
        <v>0</v>
      </c>
      <c r="J165" s="179">
        <f t="shared" si="2"/>
        <v>0</v>
      </c>
      <c r="K165" s="577"/>
    </row>
    <row r="166" spans="1:11" ht="12.75" hidden="1">
      <c r="A166" s="175"/>
      <c r="B166" s="175"/>
      <c r="C166" s="177"/>
      <c r="D166" s="177" t="s">
        <v>165</v>
      </c>
      <c r="E166" s="177" t="s">
        <v>187</v>
      </c>
      <c r="F166" s="178">
        <v>0</v>
      </c>
      <c r="G166" s="178">
        <v>0</v>
      </c>
      <c r="H166" s="178">
        <v>0</v>
      </c>
      <c r="I166" s="178">
        <v>0</v>
      </c>
      <c r="J166" s="179">
        <f t="shared" si="2"/>
        <v>0</v>
      </c>
      <c r="K166" s="577"/>
    </row>
    <row r="167" spans="1:11" ht="12.75" hidden="1">
      <c r="A167" s="175"/>
      <c r="B167" s="175"/>
      <c r="C167" s="177"/>
      <c r="D167" s="177" t="s">
        <v>167</v>
      </c>
      <c r="E167" s="177" t="s">
        <v>535</v>
      </c>
      <c r="F167" s="178">
        <v>0</v>
      </c>
      <c r="G167" s="178">
        <v>0</v>
      </c>
      <c r="H167" s="178">
        <v>0</v>
      </c>
      <c r="I167" s="178">
        <v>0</v>
      </c>
      <c r="J167" s="179">
        <f t="shared" si="2"/>
        <v>0</v>
      </c>
      <c r="K167" s="577"/>
    </row>
    <row r="168" spans="1:11" ht="12.75" hidden="1">
      <c r="A168" s="175"/>
      <c r="B168" s="175"/>
      <c r="C168" s="177"/>
      <c r="D168" s="177" t="s">
        <v>169</v>
      </c>
      <c r="E168" s="177" t="s">
        <v>534</v>
      </c>
      <c r="F168" s="187">
        <v>0</v>
      </c>
      <c r="G168" s="178">
        <v>0</v>
      </c>
      <c r="H168" s="178">
        <v>0</v>
      </c>
      <c r="I168" s="178">
        <v>0</v>
      </c>
      <c r="J168" s="179">
        <f t="shared" si="2"/>
        <v>0</v>
      </c>
      <c r="K168" s="577"/>
    </row>
    <row r="169" spans="1:11" ht="12.75" hidden="1">
      <c r="A169" s="175"/>
      <c r="B169" s="175"/>
      <c r="C169" s="177"/>
      <c r="D169" s="177" t="s">
        <v>171</v>
      </c>
      <c r="E169" s="177" t="s">
        <v>190</v>
      </c>
      <c r="F169" s="178">
        <v>0</v>
      </c>
      <c r="G169" s="178">
        <v>0</v>
      </c>
      <c r="H169" s="178">
        <v>0</v>
      </c>
      <c r="I169" s="178">
        <v>0</v>
      </c>
      <c r="J169" s="179">
        <f t="shared" si="2"/>
        <v>0</v>
      </c>
      <c r="K169" s="577"/>
    </row>
    <row r="170" spans="1:11" ht="12.75" hidden="1">
      <c r="A170" s="175"/>
      <c r="B170" s="175"/>
      <c r="C170" s="177"/>
      <c r="D170" s="177" t="s">
        <v>173</v>
      </c>
      <c r="E170" s="177" t="s">
        <v>191</v>
      </c>
      <c r="F170" s="178">
        <v>0</v>
      </c>
      <c r="G170" s="178">
        <v>0</v>
      </c>
      <c r="H170" s="178">
        <v>0</v>
      </c>
      <c r="I170" s="178">
        <v>0</v>
      </c>
      <c r="J170" s="179">
        <f t="shared" si="2"/>
        <v>0</v>
      </c>
      <c r="K170" s="577"/>
    </row>
    <row r="171" spans="1:11" ht="12.75" hidden="1">
      <c r="A171" s="175"/>
      <c r="B171" s="175"/>
      <c r="C171" s="177"/>
      <c r="D171" s="177" t="s">
        <v>175</v>
      </c>
      <c r="E171" s="177" t="s">
        <v>192</v>
      </c>
      <c r="F171" s="178">
        <v>0</v>
      </c>
      <c r="G171" s="178">
        <v>0</v>
      </c>
      <c r="H171" s="178">
        <v>0</v>
      </c>
      <c r="I171" s="178">
        <v>0</v>
      </c>
      <c r="J171" s="179">
        <f t="shared" si="2"/>
        <v>0</v>
      </c>
      <c r="K171" s="577"/>
    </row>
    <row r="172" spans="1:11" ht="12.75" hidden="1">
      <c r="A172" s="175"/>
      <c r="B172" s="175"/>
      <c r="C172" s="177"/>
      <c r="D172" s="177" t="s">
        <v>577</v>
      </c>
      <c r="E172" s="177" t="s">
        <v>193</v>
      </c>
      <c r="F172" s="178">
        <v>0</v>
      </c>
      <c r="G172" s="178">
        <v>0</v>
      </c>
      <c r="H172" s="178">
        <v>0</v>
      </c>
      <c r="I172" s="178">
        <v>0</v>
      </c>
      <c r="J172" s="179">
        <f t="shared" si="2"/>
        <v>0</v>
      </c>
      <c r="K172" s="577"/>
    </row>
    <row r="173" spans="1:11" s="167" customFormat="1" ht="12.75">
      <c r="A173" s="165" t="s">
        <v>318</v>
      </c>
      <c r="B173" s="977" t="s">
        <v>319</v>
      </c>
      <c r="C173" s="977"/>
      <c r="D173" s="977"/>
      <c r="E173" s="977"/>
      <c r="F173" s="166">
        <f>SUM(F174+F197+F198+F199)</f>
        <v>382182681</v>
      </c>
      <c r="G173" s="166">
        <f>SUM(G174+G197+G198+G199)</f>
        <v>439819</v>
      </c>
      <c r="H173" s="166">
        <f>SUM(H174+H197+H198+H199)</f>
        <v>34138565</v>
      </c>
      <c r="I173" s="166">
        <f>SUM(I174+I197+I198+I199)</f>
        <v>0</v>
      </c>
      <c r="J173" s="166">
        <f t="shared" si="2"/>
        <v>416761065</v>
      </c>
      <c r="K173" s="574"/>
    </row>
    <row r="174" spans="1:11" ht="12.75">
      <c r="A174" s="175"/>
      <c r="B174" s="168" t="s">
        <v>320</v>
      </c>
      <c r="C174" s="969" t="s">
        <v>321</v>
      </c>
      <c r="D174" s="969"/>
      <c r="E174" s="969"/>
      <c r="F174" s="169">
        <f>SUM(F175+F179+F184+F189+F190+F191+F192+F193+F194)</f>
        <v>382182681</v>
      </c>
      <c r="G174" s="169">
        <f>SUM(G175+G179+G184+G189+G190+G191+G192+G193+G194)</f>
        <v>439819</v>
      </c>
      <c r="H174" s="169">
        <f>SUM(H175+H179+H184+H189+H190+H191+H192+H193+H194)</f>
        <v>34138565</v>
      </c>
      <c r="I174" s="169">
        <f>SUM(I175+I179+I184+I189+I190+I191+I192+I193+I194)</f>
        <v>0</v>
      </c>
      <c r="J174" s="170">
        <f t="shared" si="2"/>
        <v>416761065</v>
      </c>
      <c r="K174" s="575"/>
    </row>
    <row r="175" spans="1:11" ht="11.25" customHeight="1">
      <c r="A175" s="171"/>
      <c r="B175" s="171"/>
      <c r="C175" s="171" t="s">
        <v>322</v>
      </c>
      <c r="D175" s="171" t="s">
        <v>603</v>
      </c>
      <c r="E175" s="171"/>
      <c r="F175" s="172">
        <f>SUM(F176:F178)</f>
        <v>0</v>
      </c>
      <c r="G175" s="172">
        <f>SUM(G176:G178)</f>
        <v>0</v>
      </c>
      <c r="H175" s="172">
        <f>SUM(H176:H178)</f>
        <v>0</v>
      </c>
      <c r="I175" s="172">
        <f>SUM(I176:I178)</f>
        <v>0</v>
      </c>
      <c r="J175" s="173">
        <f t="shared" si="2"/>
        <v>0</v>
      </c>
      <c r="K175" s="576"/>
    </row>
    <row r="176" spans="1:11" ht="12.75" hidden="1">
      <c r="A176" s="188"/>
      <c r="B176" s="188"/>
      <c r="C176" s="188"/>
      <c r="D176" s="188" t="s">
        <v>323</v>
      </c>
      <c r="E176" s="188" t="s">
        <v>687</v>
      </c>
      <c r="F176" s="189">
        <v>0</v>
      </c>
      <c r="G176" s="189">
        <v>0</v>
      </c>
      <c r="H176" s="189">
        <v>0</v>
      </c>
      <c r="I176" s="189">
        <v>0</v>
      </c>
      <c r="J176" s="190">
        <f t="shared" si="2"/>
        <v>0</v>
      </c>
      <c r="K176" s="578"/>
    </row>
    <row r="177" spans="1:11" ht="12.75" hidden="1">
      <c r="A177" s="188"/>
      <c r="B177" s="188"/>
      <c r="C177" s="188"/>
      <c r="D177" s="188" t="s">
        <v>324</v>
      </c>
      <c r="E177" s="188" t="s">
        <v>688</v>
      </c>
      <c r="F177" s="189">
        <v>0</v>
      </c>
      <c r="G177" s="189">
        <v>0</v>
      </c>
      <c r="H177" s="189">
        <v>0</v>
      </c>
      <c r="I177" s="189">
        <v>0</v>
      </c>
      <c r="J177" s="190">
        <f t="shared" si="2"/>
        <v>0</v>
      </c>
      <c r="K177" s="578"/>
    </row>
    <row r="178" spans="1:11" ht="12.75" hidden="1">
      <c r="A178" s="188"/>
      <c r="B178" s="188"/>
      <c r="C178" s="188"/>
      <c r="D178" s="188" t="s">
        <v>325</v>
      </c>
      <c r="E178" s="188" t="s">
        <v>689</v>
      </c>
      <c r="F178" s="189">
        <v>0</v>
      </c>
      <c r="G178" s="189">
        <v>0</v>
      </c>
      <c r="H178" s="189">
        <v>0</v>
      </c>
      <c r="I178" s="189">
        <v>0</v>
      </c>
      <c r="J178" s="190">
        <f t="shared" si="2"/>
        <v>0</v>
      </c>
      <c r="K178" s="578"/>
    </row>
    <row r="179" spans="1:11" ht="12.75">
      <c r="A179" s="171"/>
      <c r="B179" s="171"/>
      <c r="C179" s="171" t="s">
        <v>326</v>
      </c>
      <c r="D179" s="171" t="s">
        <v>327</v>
      </c>
      <c r="E179" s="171"/>
      <c r="F179" s="172">
        <f>SUM(F180:F183)</f>
        <v>0</v>
      </c>
      <c r="G179" s="172">
        <f>SUM(G180:G183)</f>
        <v>0</v>
      </c>
      <c r="H179" s="172">
        <f>SUM(H180:H183)</f>
        <v>0</v>
      </c>
      <c r="I179" s="172">
        <f>SUM(I180:I183)</f>
        <v>0</v>
      </c>
      <c r="J179" s="173">
        <f t="shared" si="2"/>
        <v>0</v>
      </c>
      <c r="K179" s="576"/>
    </row>
    <row r="180" spans="1:11" ht="12.75" hidden="1">
      <c r="A180" s="171"/>
      <c r="B180" s="171"/>
      <c r="C180" s="171"/>
      <c r="D180" s="188" t="s">
        <v>557</v>
      </c>
      <c r="E180" s="188" t="s">
        <v>558</v>
      </c>
      <c r="F180" s="172">
        <v>0</v>
      </c>
      <c r="G180" s="172">
        <v>0</v>
      </c>
      <c r="H180" s="172">
        <v>0</v>
      </c>
      <c r="I180" s="172">
        <v>0</v>
      </c>
      <c r="J180" s="173">
        <f t="shared" si="2"/>
        <v>0</v>
      </c>
      <c r="K180" s="576"/>
    </row>
    <row r="181" spans="1:11" ht="12.75" hidden="1">
      <c r="A181" s="171"/>
      <c r="B181" s="171"/>
      <c r="C181" s="171"/>
      <c r="D181" s="188" t="s">
        <v>559</v>
      </c>
      <c r="E181" s="188" t="s">
        <v>560</v>
      </c>
      <c r="F181" s="172">
        <v>0</v>
      </c>
      <c r="G181" s="172">
        <v>0</v>
      </c>
      <c r="H181" s="172">
        <v>0</v>
      </c>
      <c r="I181" s="172">
        <v>0</v>
      </c>
      <c r="J181" s="173">
        <f t="shared" si="2"/>
        <v>0</v>
      </c>
      <c r="K181" s="576"/>
    </row>
    <row r="182" spans="1:11" ht="12.75" hidden="1">
      <c r="A182" s="171"/>
      <c r="B182" s="171"/>
      <c r="C182" s="171"/>
      <c r="D182" s="188" t="s">
        <v>561</v>
      </c>
      <c r="E182" s="188" t="s">
        <v>562</v>
      </c>
      <c r="F182" s="172">
        <v>0</v>
      </c>
      <c r="G182" s="172">
        <v>0</v>
      </c>
      <c r="H182" s="172">
        <v>0</v>
      </c>
      <c r="I182" s="172">
        <v>0</v>
      </c>
      <c r="J182" s="173">
        <f t="shared" si="2"/>
        <v>0</v>
      </c>
      <c r="K182" s="576"/>
    </row>
    <row r="183" spans="1:11" ht="12.75" hidden="1">
      <c r="A183" s="171"/>
      <c r="B183" s="171"/>
      <c r="C183" s="171"/>
      <c r="D183" s="188" t="s">
        <v>563</v>
      </c>
      <c r="E183" s="188" t="s">
        <v>564</v>
      </c>
      <c r="F183" s="172">
        <v>0</v>
      </c>
      <c r="G183" s="172">
        <v>0</v>
      </c>
      <c r="H183" s="172">
        <v>0</v>
      </c>
      <c r="I183" s="172">
        <v>0</v>
      </c>
      <c r="J183" s="173">
        <f t="shared" si="2"/>
        <v>0</v>
      </c>
      <c r="K183" s="576"/>
    </row>
    <row r="184" spans="1:11" ht="12.75">
      <c r="A184" s="171"/>
      <c r="B184" s="171"/>
      <c r="C184" s="171" t="s">
        <v>328</v>
      </c>
      <c r="D184" s="171" t="s">
        <v>329</v>
      </c>
      <c r="E184" s="171"/>
      <c r="F184" s="172">
        <f>SUM(F185,F188)</f>
        <v>382182681</v>
      </c>
      <c r="G184" s="172">
        <f>SUM(G185,G188)</f>
        <v>439819</v>
      </c>
      <c r="H184" s="172">
        <f>SUM(H185,H188)</f>
        <v>34138565</v>
      </c>
      <c r="I184" s="172">
        <f>SUM(I185,I188)</f>
        <v>0</v>
      </c>
      <c r="J184" s="173">
        <f t="shared" si="2"/>
        <v>416761065</v>
      </c>
      <c r="K184" s="576"/>
    </row>
    <row r="185" spans="1:11" ht="12.75">
      <c r="A185" s="188"/>
      <c r="B185" s="188"/>
      <c r="C185" s="188"/>
      <c r="D185" s="188" t="s">
        <v>330</v>
      </c>
      <c r="E185" s="188" t="s">
        <v>331</v>
      </c>
      <c r="F185" s="189">
        <f>SUM(F186:F187)</f>
        <v>372400032</v>
      </c>
      <c r="G185" s="189">
        <f>SUM(G186:G187)</f>
        <v>439819</v>
      </c>
      <c r="H185" s="189">
        <f>SUM(H186:H187)</f>
        <v>34138565</v>
      </c>
      <c r="I185" s="189">
        <f>SUM(I186:I187)</f>
        <v>0</v>
      </c>
      <c r="J185" s="190">
        <f t="shared" si="2"/>
        <v>406978416</v>
      </c>
      <c r="K185" s="578"/>
    </row>
    <row r="186" spans="1:11" s="195" customFormat="1" ht="12.75">
      <c r="A186" s="191"/>
      <c r="B186" s="191"/>
      <c r="C186" s="191"/>
      <c r="D186" s="191"/>
      <c r="E186" s="192" t="s">
        <v>36</v>
      </c>
      <c r="F186" s="193">
        <f>22840902+55632238</f>
        <v>78473140</v>
      </c>
      <c r="G186" s="193">
        <v>439819</v>
      </c>
      <c r="H186" s="193">
        <f>626145+31099867</f>
        <v>31726012</v>
      </c>
      <c r="I186" s="193"/>
      <c r="J186" s="194">
        <f t="shared" si="2"/>
        <v>110638971</v>
      </c>
      <c r="K186" s="579"/>
    </row>
    <row r="187" spans="1:11" s="195" customFormat="1" ht="12.75">
      <c r="A187" s="191"/>
      <c r="B187" s="191"/>
      <c r="C187" s="191"/>
      <c r="D187" s="191"/>
      <c r="E187" s="192" t="s">
        <v>37</v>
      </c>
      <c r="F187" s="193">
        <f>297951773-8201400+4176519</f>
        <v>293926892</v>
      </c>
      <c r="G187" s="193">
        <v>0</v>
      </c>
      <c r="H187" s="193">
        <v>2412553</v>
      </c>
      <c r="I187" s="193">
        <v>0</v>
      </c>
      <c r="J187" s="194">
        <f t="shared" si="2"/>
        <v>296339445</v>
      </c>
      <c r="K187" s="579"/>
    </row>
    <row r="188" spans="1:11" ht="12.75">
      <c r="A188" s="188"/>
      <c r="B188" s="188"/>
      <c r="C188" s="188"/>
      <c r="D188" s="188" t="s">
        <v>332</v>
      </c>
      <c r="E188" s="188" t="s">
        <v>333</v>
      </c>
      <c r="F188" s="189">
        <v>9782649</v>
      </c>
      <c r="G188" s="189">
        <v>0</v>
      </c>
      <c r="H188" s="189">
        <v>0</v>
      </c>
      <c r="I188" s="189">
        <v>0</v>
      </c>
      <c r="J188" s="190">
        <f t="shared" si="2"/>
        <v>9782649</v>
      </c>
      <c r="K188" s="578"/>
    </row>
    <row r="189" spans="1:11" ht="11.25" customHeight="1">
      <c r="A189" s="171"/>
      <c r="B189" s="171"/>
      <c r="C189" s="171" t="s">
        <v>334</v>
      </c>
      <c r="D189" s="171" t="s">
        <v>888</v>
      </c>
      <c r="E189" s="171"/>
      <c r="F189" s="172">
        <v>0</v>
      </c>
      <c r="G189" s="172">
        <v>0</v>
      </c>
      <c r="H189" s="172">
        <v>0</v>
      </c>
      <c r="I189" s="172">
        <v>0</v>
      </c>
      <c r="J189" s="173">
        <f t="shared" si="2"/>
        <v>0</v>
      </c>
      <c r="K189" s="576"/>
    </row>
    <row r="190" spans="1:11" ht="12.75" hidden="1">
      <c r="A190" s="171"/>
      <c r="B190" s="171"/>
      <c r="C190" s="171" t="s">
        <v>335</v>
      </c>
      <c r="D190" s="171" t="s">
        <v>604</v>
      </c>
      <c r="E190" s="171"/>
      <c r="F190" s="172">
        <v>0</v>
      </c>
      <c r="G190" s="172">
        <v>0</v>
      </c>
      <c r="H190" s="172">
        <v>0</v>
      </c>
      <c r="I190" s="172">
        <v>0</v>
      </c>
      <c r="J190" s="173">
        <f t="shared" si="2"/>
        <v>0</v>
      </c>
      <c r="K190" s="576"/>
    </row>
    <row r="191" spans="1:11" ht="12.75" hidden="1">
      <c r="A191" s="171"/>
      <c r="B191" s="171"/>
      <c r="C191" s="171" t="s">
        <v>336</v>
      </c>
      <c r="D191" s="171" t="s">
        <v>337</v>
      </c>
      <c r="E191" s="171"/>
      <c r="F191" s="172">
        <v>0</v>
      </c>
      <c r="G191" s="172">
        <v>0</v>
      </c>
      <c r="H191" s="172">
        <v>0</v>
      </c>
      <c r="I191" s="172">
        <v>0</v>
      </c>
      <c r="J191" s="173">
        <f t="shared" si="2"/>
        <v>0</v>
      </c>
      <c r="K191" s="576"/>
    </row>
    <row r="192" spans="1:11" ht="12.75" hidden="1">
      <c r="A192" s="171"/>
      <c r="B192" s="171"/>
      <c r="C192" s="171" t="s">
        <v>338</v>
      </c>
      <c r="D192" s="171" t="s">
        <v>565</v>
      </c>
      <c r="E192" s="171"/>
      <c r="F192" s="172">
        <v>0</v>
      </c>
      <c r="G192" s="172">
        <v>0</v>
      </c>
      <c r="H192" s="172">
        <v>0</v>
      </c>
      <c r="I192" s="172">
        <v>0</v>
      </c>
      <c r="J192" s="173">
        <f t="shared" si="2"/>
        <v>0</v>
      </c>
      <c r="K192" s="576"/>
    </row>
    <row r="193" spans="1:11" ht="12.75" hidden="1">
      <c r="A193" s="171"/>
      <c r="B193" s="171"/>
      <c r="C193" s="171" t="s">
        <v>339</v>
      </c>
      <c r="D193" s="171" t="s">
        <v>340</v>
      </c>
      <c r="E193" s="171"/>
      <c r="F193" s="172">
        <v>0</v>
      </c>
      <c r="G193" s="172">
        <v>0</v>
      </c>
      <c r="H193" s="172">
        <v>0</v>
      </c>
      <c r="I193" s="172">
        <v>0</v>
      </c>
      <c r="J193" s="173">
        <f t="shared" si="2"/>
        <v>0</v>
      </c>
      <c r="K193" s="576"/>
    </row>
    <row r="194" spans="1:11" ht="12.75" hidden="1">
      <c r="A194" s="171"/>
      <c r="B194" s="171"/>
      <c r="C194" s="171" t="s">
        <v>566</v>
      </c>
      <c r="D194" s="171" t="s">
        <v>567</v>
      </c>
      <c r="E194" s="171"/>
      <c r="F194" s="172">
        <v>0</v>
      </c>
      <c r="G194" s="172">
        <v>0</v>
      </c>
      <c r="H194" s="172">
        <v>0</v>
      </c>
      <c r="I194" s="172">
        <v>0</v>
      </c>
      <c r="J194" s="173">
        <f t="shared" si="2"/>
        <v>0</v>
      </c>
      <c r="K194" s="576"/>
    </row>
    <row r="195" spans="1:11" ht="12.75" hidden="1">
      <c r="A195" s="171"/>
      <c r="B195" s="171"/>
      <c r="C195" s="171"/>
      <c r="D195" s="188" t="s">
        <v>568</v>
      </c>
      <c r="E195" s="188" t="s">
        <v>569</v>
      </c>
      <c r="F195" s="193">
        <v>0</v>
      </c>
      <c r="G195" s="193">
        <v>0</v>
      </c>
      <c r="H195" s="193">
        <v>0</v>
      </c>
      <c r="I195" s="193">
        <v>0</v>
      </c>
      <c r="J195" s="173">
        <f t="shared" si="2"/>
        <v>0</v>
      </c>
      <c r="K195" s="576"/>
    </row>
    <row r="196" spans="1:11" ht="12.75" hidden="1">
      <c r="A196" s="171"/>
      <c r="B196" s="171"/>
      <c r="C196" s="171"/>
      <c r="D196" s="188" t="s">
        <v>570</v>
      </c>
      <c r="E196" s="188" t="s">
        <v>571</v>
      </c>
      <c r="F196" s="193">
        <v>0</v>
      </c>
      <c r="G196" s="193">
        <v>0</v>
      </c>
      <c r="H196" s="193">
        <v>0</v>
      </c>
      <c r="I196" s="193">
        <v>0</v>
      </c>
      <c r="J196" s="173">
        <f t="shared" si="2"/>
        <v>0</v>
      </c>
      <c r="K196" s="576"/>
    </row>
    <row r="197" spans="1:11" ht="12.75" hidden="1">
      <c r="A197" s="175"/>
      <c r="B197" s="168" t="s">
        <v>341</v>
      </c>
      <c r="C197" s="969" t="s">
        <v>342</v>
      </c>
      <c r="D197" s="969"/>
      <c r="E197" s="969"/>
      <c r="F197" s="169">
        <v>0</v>
      </c>
      <c r="G197" s="169">
        <v>0</v>
      </c>
      <c r="H197" s="169">
        <v>0</v>
      </c>
      <c r="I197" s="169">
        <v>0</v>
      </c>
      <c r="J197" s="170">
        <f t="shared" si="2"/>
        <v>0</v>
      </c>
      <c r="K197" s="575"/>
    </row>
    <row r="198" spans="1:11" ht="12.75" hidden="1">
      <c r="A198" s="175"/>
      <c r="B198" s="168" t="s">
        <v>343</v>
      </c>
      <c r="C198" s="969" t="s">
        <v>344</v>
      </c>
      <c r="D198" s="969"/>
      <c r="E198" s="969"/>
      <c r="F198" s="169">
        <v>0</v>
      </c>
      <c r="G198" s="169">
        <v>0</v>
      </c>
      <c r="H198" s="169">
        <v>0</v>
      </c>
      <c r="I198" s="169">
        <v>0</v>
      </c>
      <c r="J198" s="170">
        <f t="shared" si="2"/>
        <v>0</v>
      </c>
      <c r="K198" s="575"/>
    </row>
    <row r="199" spans="1:11" ht="12.75" hidden="1">
      <c r="A199" s="175"/>
      <c r="B199" s="168" t="s">
        <v>572</v>
      </c>
      <c r="C199" s="969" t="s">
        <v>573</v>
      </c>
      <c r="D199" s="969"/>
      <c r="E199" s="969"/>
      <c r="F199" s="169">
        <v>0</v>
      </c>
      <c r="G199" s="169">
        <v>0</v>
      </c>
      <c r="H199" s="169">
        <v>0</v>
      </c>
      <c r="I199" s="169">
        <v>0</v>
      </c>
      <c r="J199" s="170">
        <f t="shared" si="2"/>
        <v>0</v>
      </c>
      <c r="K199" s="575"/>
    </row>
    <row r="200" spans="1:11" ht="12.75" hidden="1">
      <c r="A200" s="175"/>
      <c r="B200" s="175"/>
      <c r="C200" s="175"/>
      <c r="D200" s="175"/>
      <c r="E200" s="175"/>
      <c r="F200" s="196"/>
      <c r="G200" s="197"/>
      <c r="H200" s="197"/>
      <c r="I200" s="197"/>
      <c r="J200" s="196">
        <f t="shared" si="2"/>
        <v>0</v>
      </c>
      <c r="K200" s="580"/>
    </row>
    <row r="201" spans="1:11" s="199" customFormat="1" ht="15.75">
      <c r="A201" s="976" t="s">
        <v>433</v>
      </c>
      <c r="B201" s="976"/>
      <c r="C201" s="976"/>
      <c r="D201" s="976"/>
      <c r="E201" s="976"/>
      <c r="F201" s="198">
        <f>SUM(F173+F147+F131+F122+F86+F57+F40+F7)</f>
        <v>2246440909</v>
      </c>
      <c r="G201" s="198">
        <f>SUM(G173+G147+G131+G122+G86+G57+G40+G7)</f>
        <v>9498597</v>
      </c>
      <c r="H201" s="198">
        <f>SUM(H173+H147+H131+H122+H86+H57+H40+H7)</f>
        <v>81268181</v>
      </c>
      <c r="I201" s="198">
        <f>SUM(I173+I147+I131+I122+I86+I57+I40+I7)</f>
        <v>398595</v>
      </c>
      <c r="J201" s="198">
        <f t="shared" si="2"/>
        <v>2337606282</v>
      </c>
      <c r="K201" s="581"/>
    </row>
  </sheetData>
  <sheetProtection/>
  <mergeCells count="55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31:E131"/>
    <mergeCell ref="C125:E125"/>
    <mergeCell ref="C127:E127"/>
    <mergeCell ref="D111:E111"/>
    <mergeCell ref="C129:E129"/>
    <mergeCell ref="C123:E123"/>
    <mergeCell ref="C130:E130"/>
    <mergeCell ref="B57:E57"/>
    <mergeCell ref="D107:E107"/>
    <mergeCell ref="C60:E60"/>
    <mergeCell ref="D104:E104"/>
    <mergeCell ref="C58:E58"/>
    <mergeCell ref="C75:E75"/>
    <mergeCell ref="B86:E86"/>
    <mergeCell ref="C59:E59"/>
    <mergeCell ref="C148:E148"/>
    <mergeCell ref="C197:E197"/>
    <mergeCell ref="C133:E133"/>
    <mergeCell ref="C134:E134"/>
    <mergeCell ref="C43:E43"/>
    <mergeCell ref="C41:E41"/>
    <mergeCell ref="D119:E119"/>
    <mergeCell ref="B122:E122"/>
    <mergeCell ref="C44:E44"/>
    <mergeCell ref="D112:E112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98:E198"/>
    <mergeCell ref="C174:E174"/>
    <mergeCell ref="F1:J1"/>
    <mergeCell ref="B6:E6"/>
    <mergeCell ref="A2:J2"/>
    <mergeCell ref="C128:E128"/>
    <mergeCell ref="C42:E42"/>
    <mergeCell ref="C61:E61"/>
    <mergeCell ref="C64:E64"/>
    <mergeCell ref="C161:E161"/>
  </mergeCells>
  <printOptions horizontalCentered="1"/>
  <pageMargins left="0.5118110236220472" right="0.5118110236220472" top="1.062992125984252" bottom="1.062992125984252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58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80" bestFit="1" customWidth="1"/>
    <col min="2" max="2" width="2.375" style="818" customWidth="1"/>
    <col min="3" max="3" width="81.25390625" style="818" customWidth="1"/>
    <col min="4" max="4" width="14.75390625" style="818" bestFit="1" customWidth="1"/>
  </cols>
  <sheetData>
    <row r="1" spans="3:4" ht="15">
      <c r="C1" s="1013" t="s">
        <v>1219</v>
      </c>
      <c r="D1" s="1268"/>
    </row>
    <row r="2" spans="3:4" ht="15">
      <c r="C2" s="1"/>
      <c r="D2" s="76"/>
    </row>
    <row r="3" spans="2:4" ht="14.25">
      <c r="B3" s="1278" t="s">
        <v>931</v>
      </c>
      <c r="C3" s="1278"/>
      <c r="D3" s="1278"/>
    </row>
    <row r="4" spans="2:4" ht="14.25">
      <c r="B4" s="1278" t="s">
        <v>437</v>
      </c>
      <c r="C4" s="1278"/>
      <c r="D4" s="1278"/>
    </row>
    <row r="5" spans="2:4" ht="14.25">
      <c r="B5" s="819"/>
      <c r="C5" s="819"/>
      <c r="D5" s="819"/>
    </row>
    <row r="6" ht="15">
      <c r="D6" s="820"/>
    </row>
    <row r="7" spans="1:4" ht="14.25">
      <c r="A7" s="1279" t="s">
        <v>426</v>
      </c>
      <c r="B7" s="1281" t="s">
        <v>357</v>
      </c>
      <c r="C7" s="1281"/>
      <c r="D7" s="821" t="s">
        <v>369</v>
      </c>
    </row>
    <row r="8" spans="1:4" ht="12.75">
      <c r="A8" s="1280"/>
      <c r="B8" s="1282" t="s">
        <v>420</v>
      </c>
      <c r="C8" s="1283"/>
      <c r="D8" s="822" t="s">
        <v>421</v>
      </c>
    </row>
    <row r="9" spans="1:4" ht="14.25">
      <c r="A9" s="822">
        <v>1</v>
      </c>
      <c r="B9" s="823" t="s">
        <v>932</v>
      </c>
      <c r="C9" s="824"/>
      <c r="D9" s="825"/>
    </row>
    <row r="10" spans="1:4" ht="15">
      <c r="A10" s="822">
        <v>2</v>
      </c>
      <c r="B10" s="826"/>
      <c r="C10" s="79" t="s">
        <v>419</v>
      </c>
      <c r="D10" s="827">
        <v>1000000</v>
      </c>
    </row>
    <row r="11" spans="1:4" ht="14.25">
      <c r="A11" s="822">
        <v>3</v>
      </c>
      <c r="B11" s="823" t="s">
        <v>360</v>
      </c>
      <c r="C11" s="823"/>
      <c r="D11" s="828">
        <f>SUM(D10:D10)</f>
        <v>1000000</v>
      </c>
    </row>
    <row r="12" spans="1:4" ht="7.5" customHeight="1">
      <c r="A12" s="829"/>
      <c r="B12" s="830"/>
      <c r="C12" s="830"/>
      <c r="D12" s="825"/>
    </row>
    <row r="13" spans="1:4" ht="14.25">
      <c r="A13" s="822">
        <v>4</v>
      </c>
      <c r="B13" s="1284" t="s">
        <v>933</v>
      </c>
      <c r="C13" s="1284"/>
      <c r="D13" s="1284"/>
    </row>
    <row r="14" spans="1:4" ht="15">
      <c r="A14" s="822">
        <v>5</v>
      </c>
      <c r="B14" s="826"/>
      <c r="C14" s="79" t="s">
        <v>934</v>
      </c>
      <c r="D14" s="827">
        <v>495000</v>
      </c>
    </row>
    <row r="15" spans="1:4" ht="15">
      <c r="A15" s="822">
        <v>6</v>
      </c>
      <c r="B15" s="826"/>
      <c r="C15" s="79" t="s">
        <v>967</v>
      </c>
      <c r="D15" s="827">
        <v>553029</v>
      </c>
    </row>
    <row r="16" spans="1:4" s="859" customFormat="1" ht="15">
      <c r="A16" s="822">
        <v>7</v>
      </c>
      <c r="B16" s="856"/>
      <c r="C16" s="857" t="s">
        <v>968</v>
      </c>
      <c r="D16" s="858">
        <f>SUM(D14:D15)</f>
        <v>1048029</v>
      </c>
    </row>
    <row r="17" spans="1:4" ht="15">
      <c r="A17" s="822">
        <v>8</v>
      </c>
      <c r="B17" s="826"/>
      <c r="C17" s="79" t="s">
        <v>935</v>
      </c>
      <c r="D17" s="827">
        <f>23433000-20000000</f>
        <v>3433000</v>
      </c>
    </row>
    <row r="18" spans="1:4" ht="30">
      <c r="A18" s="822">
        <v>9</v>
      </c>
      <c r="B18" s="826"/>
      <c r="C18" s="79" t="s">
        <v>957</v>
      </c>
      <c r="D18" s="855">
        <v>-1576197</v>
      </c>
    </row>
    <row r="19" spans="1:4" ht="30">
      <c r="A19" s="822">
        <v>10</v>
      </c>
      <c r="B19" s="826"/>
      <c r="C19" s="79" t="s">
        <v>960</v>
      </c>
      <c r="D19" s="855">
        <v>-1055350</v>
      </c>
    </row>
    <row r="20" spans="1:4" ht="15">
      <c r="A20" s="822">
        <v>11</v>
      </c>
      <c r="B20" s="826"/>
      <c r="C20" s="79" t="s">
        <v>961</v>
      </c>
      <c r="D20" s="827">
        <v>-288050</v>
      </c>
    </row>
    <row r="21" spans="1:4" ht="15">
      <c r="A21" s="822">
        <v>12</v>
      </c>
      <c r="B21" s="826"/>
      <c r="C21" s="79" t="s">
        <v>1134</v>
      </c>
      <c r="D21" s="855">
        <v>-513403</v>
      </c>
    </row>
    <row r="22" spans="1:4" s="859" customFormat="1" ht="15">
      <c r="A22" s="822">
        <v>13</v>
      </c>
      <c r="B22" s="856"/>
      <c r="C22" s="857" t="s">
        <v>969</v>
      </c>
      <c r="D22" s="858">
        <f>SUM(D17:D21)</f>
        <v>0</v>
      </c>
    </row>
    <row r="23" spans="1:4" ht="14.25">
      <c r="A23" s="822">
        <v>14</v>
      </c>
      <c r="B23" s="823" t="s">
        <v>970</v>
      </c>
      <c r="C23" s="823"/>
      <c r="D23" s="828">
        <f>SUM(D16+D22)</f>
        <v>1048029</v>
      </c>
    </row>
    <row r="24" spans="1:4" ht="7.5" customHeight="1">
      <c r="A24" s="829"/>
      <c r="B24" s="830"/>
      <c r="C24" s="830"/>
      <c r="D24" s="825"/>
    </row>
    <row r="25" spans="1:4" ht="14.25">
      <c r="A25" s="822">
        <v>15</v>
      </c>
      <c r="B25" s="823" t="s">
        <v>936</v>
      </c>
      <c r="C25" s="824"/>
      <c r="D25" s="825"/>
    </row>
    <row r="26" spans="1:4" ht="15">
      <c r="A26" s="822">
        <v>16</v>
      </c>
      <c r="B26" s="826"/>
      <c r="C26" s="79" t="s">
        <v>937</v>
      </c>
      <c r="D26" s="827">
        <v>1000000</v>
      </c>
    </row>
    <row r="27" spans="1:4" ht="33.75" customHeight="1">
      <c r="A27" s="822">
        <v>17</v>
      </c>
      <c r="B27" s="826"/>
      <c r="C27" s="79" t="s">
        <v>952</v>
      </c>
      <c r="D27" s="855">
        <v>-63500</v>
      </c>
    </row>
    <row r="28" spans="1:4" ht="15">
      <c r="A28" s="822">
        <v>18</v>
      </c>
      <c r="B28" s="826"/>
      <c r="C28" s="79" t="s">
        <v>953</v>
      </c>
      <c r="D28" s="827">
        <v>-68000</v>
      </c>
    </row>
    <row r="29" spans="1:4" ht="15">
      <c r="A29" s="822">
        <v>19</v>
      </c>
      <c r="B29" s="826"/>
      <c r="C29" s="79" t="s">
        <v>954</v>
      </c>
      <c r="D29" s="855">
        <v>-30000</v>
      </c>
    </row>
    <row r="30" spans="1:4" ht="15">
      <c r="A30" s="822">
        <v>20</v>
      </c>
      <c r="B30" s="826"/>
      <c r="C30" s="79" t="s">
        <v>955</v>
      </c>
      <c r="D30" s="855">
        <v>-90000</v>
      </c>
    </row>
    <row r="31" spans="1:4" ht="15">
      <c r="A31" s="822">
        <v>21</v>
      </c>
      <c r="B31" s="826"/>
      <c r="C31" s="79" t="s">
        <v>956</v>
      </c>
      <c r="D31" s="855">
        <v>-146050</v>
      </c>
    </row>
    <row r="32" spans="1:4" ht="15">
      <c r="A32" s="822">
        <v>22</v>
      </c>
      <c r="B32" s="826"/>
      <c r="C32" s="79" t="s">
        <v>958</v>
      </c>
      <c r="D32" s="855">
        <v>-190500</v>
      </c>
    </row>
    <row r="33" spans="1:4" ht="15">
      <c r="A33" s="822">
        <v>23</v>
      </c>
      <c r="B33" s="826"/>
      <c r="C33" s="79" t="s">
        <v>959</v>
      </c>
      <c r="D33" s="827">
        <v>-150000</v>
      </c>
    </row>
    <row r="34" spans="1:4" ht="15">
      <c r="A34" s="822">
        <v>24</v>
      </c>
      <c r="B34" s="826"/>
      <c r="C34" s="79" t="s">
        <v>961</v>
      </c>
      <c r="D34" s="827">
        <v>-261950</v>
      </c>
    </row>
    <row r="35" spans="1:4" ht="14.25">
      <c r="A35" s="822">
        <v>25</v>
      </c>
      <c r="B35" s="823" t="s">
        <v>360</v>
      </c>
      <c r="C35" s="823"/>
      <c r="D35" s="828">
        <f>SUM(D26:D34)</f>
        <v>0</v>
      </c>
    </row>
    <row r="36" spans="1:4" ht="8.25" customHeight="1">
      <c r="A36" s="822"/>
      <c r="B36" s="823"/>
      <c r="C36" s="823"/>
      <c r="D36" s="828"/>
    </row>
    <row r="37" spans="1:4" ht="14.25">
      <c r="A37" s="822">
        <v>26</v>
      </c>
      <c r="B37" s="1284" t="s">
        <v>962</v>
      </c>
      <c r="C37" s="1284"/>
      <c r="D37" s="1284"/>
    </row>
    <row r="38" spans="1:4" ht="15">
      <c r="A38" s="822">
        <v>27</v>
      </c>
      <c r="B38" s="826"/>
      <c r="C38" s="79" t="s">
        <v>963</v>
      </c>
      <c r="D38" s="827">
        <v>59808757</v>
      </c>
    </row>
    <row r="39" spans="1:4" ht="15">
      <c r="A39" s="822">
        <v>28</v>
      </c>
      <c r="B39" s="826"/>
      <c r="C39" s="79" t="s">
        <v>964</v>
      </c>
      <c r="D39" s="855">
        <v>-59808757</v>
      </c>
    </row>
    <row r="40" spans="1:4" ht="14.25">
      <c r="A40" s="822">
        <v>29</v>
      </c>
      <c r="B40" s="823" t="s">
        <v>360</v>
      </c>
      <c r="C40" s="823"/>
      <c r="D40" s="828">
        <f>SUM(D38:D39)</f>
        <v>0</v>
      </c>
    </row>
    <row r="41" spans="1:4" ht="7.5" customHeight="1">
      <c r="A41" s="822"/>
      <c r="B41" s="823"/>
      <c r="C41" s="823"/>
      <c r="D41" s="828"/>
    </row>
    <row r="42" spans="1:4" ht="14.25">
      <c r="A42" s="822">
        <v>30</v>
      </c>
      <c r="B42" s="1284" t="s">
        <v>965</v>
      </c>
      <c r="C42" s="1284"/>
      <c r="D42" s="1284"/>
    </row>
    <row r="43" spans="1:4" ht="15">
      <c r="A43" s="822">
        <v>31</v>
      </c>
      <c r="B43" s="826"/>
      <c r="C43" s="79" t="s">
        <v>966</v>
      </c>
      <c r="D43" s="827">
        <v>9782649</v>
      </c>
    </row>
    <row r="44" spans="1:4" ht="15">
      <c r="A44" s="822">
        <v>32</v>
      </c>
      <c r="B44" s="826"/>
      <c r="C44" s="79" t="s">
        <v>964</v>
      </c>
      <c r="D44" s="855">
        <v>-9782649</v>
      </c>
    </row>
    <row r="45" spans="1:4" ht="14.25">
      <c r="A45" s="822">
        <v>33</v>
      </c>
      <c r="B45" s="823" t="s">
        <v>360</v>
      </c>
      <c r="C45" s="823"/>
      <c r="D45" s="828">
        <f>SUM(D43:D44)</f>
        <v>0</v>
      </c>
    </row>
    <row r="46" spans="1:4" ht="7.5" customHeight="1">
      <c r="A46" s="822"/>
      <c r="B46" s="823"/>
      <c r="C46" s="823"/>
      <c r="D46" s="823"/>
    </row>
    <row r="47" spans="1:4" ht="14.25">
      <c r="A47" s="822">
        <v>34</v>
      </c>
      <c r="B47" s="823" t="s">
        <v>938</v>
      </c>
      <c r="C47" s="823"/>
      <c r="D47" s="828">
        <f>SUM(D11,D23,D40,D45,D35)</f>
        <v>2048029</v>
      </c>
    </row>
    <row r="48" spans="1:4" ht="7.5" customHeight="1">
      <c r="A48" s="822"/>
      <c r="B48" s="823"/>
      <c r="C48" s="823"/>
      <c r="D48" s="823"/>
    </row>
    <row r="49" spans="1:4" ht="14.25">
      <c r="A49" s="822">
        <v>35</v>
      </c>
      <c r="B49" s="1284" t="s">
        <v>939</v>
      </c>
      <c r="C49" s="1284"/>
      <c r="D49" s="1284"/>
    </row>
    <row r="50" spans="1:4" ht="30">
      <c r="A50" s="822">
        <v>36</v>
      </c>
      <c r="B50" s="831"/>
      <c r="C50" s="79" t="s">
        <v>940</v>
      </c>
      <c r="D50" s="827">
        <v>5000000</v>
      </c>
    </row>
    <row r="51" spans="1:4" ht="15">
      <c r="A51" s="822">
        <v>37</v>
      </c>
      <c r="B51" s="831"/>
      <c r="C51" s="79" t="s">
        <v>1124</v>
      </c>
      <c r="D51" s="855">
        <v>-1269600</v>
      </c>
    </row>
    <row r="52" spans="1:4" ht="30">
      <c r="A52" s="822">
        <v>38</v>
      </c>
      <c r="B52" s="831"/>
      <c r="C52" s="79" t="s">
        <v>1183</v>
      </c>
      <c r="D52" s="827">
        <v>3500000</v>
      </c>
    </row>
    <row r="53" spans="1:4" ht="30">
      <c r="A53" s="822">
        <v>39</v>
      </c>
      <c r="B53" s="831"/>
      <c r="C53" s="903" t="s">
        <v>1125</v>
      </c>
      <c r="D53" s="858">
        <f>SUM(D50:D52)</f>
        <v>7230400</v>
      </c>
    </row>
    <row r="54" spans="1:4" ht="23.25" customHeight="1">
      <c r="A54" s="822">
        <v>40</v>
      </c>
      <c r="B54" s="831"/>
      <c r="C54" s="903" t="s">
        <v>971</v>
      </c>
      <c r="D54" s="858">
        <v>4176519</v>
      </c>
    </row>
    <row r="55" spans="1:4" ht="6.75" customHeight="1">
      <c r="A55" s="822"/>
      <c r="B55" s="826"/>
      <c r="C55" s="79"/>
      <c r="D55" s="832"/>
    </row>
    <row r="56" spans="1:4" ht="14.25">
      <c r="A56" s="822">
        <v>41</v>
      </c>
      <c r="B56" s="823" t="s">
        <v>941</v>
      </c>
      <c r="C56" s="823"/>
      <c r="D56" s="828">
        <f>SUM(D53:D54)</f>
        <v>11406919</v>
      </c>
    </row>
    <row r="57" spans="1:4" ht="8.25" customHeight="1">
      <c r="A57" s="829"/>
      <c r="B57" s="830"/>
      <c r="C57" s="830"/>
      <c r="D57" s="825"/>
    </row>
    <row r="58" spans="1:4" ht="14.25">
      <c r="A58" s="822">
        <v>42</v>
      </c>
      <c r="B58" s="823" t="s">
        <v>942</v>
      </c>
      <c r="C58" s="823"/>
      <c r="D58" s="828">
        <f>SUM(D56,D47)</f>
        <v>13454948</v>
      </c>
    </row>
  </sheetData>
  <sheetProtection/>
  <mergeCells count="10">
    <mergeCell ref="B13:D13"/>
    <mergeCell ref="B49:D49"/>
    <mergeCell ref="B37:D37"/>
    <mergeCell ref="B42:D42"/>
    <mergeCell ref="C1:D1"/>
    <mergeCell ref="B3:D3"/>
    <mergeCell ref="B4:D4"/>
    <mergeCell ref="A7:A8"/>
    <mergeCell ref="B7:C7"/>
    <mergeCell ref="B8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125" style="833" bestFit="1" customWidth="1"/>
    <col min="2" max="2" width="14.625" style="834" customWidth="1"/>
    <col min="3" max="9" width="16.75390625" style="834" customWidth="1"/>
  </cols>
  <sheetData>
    <row r="1" ht="15.75">
      <c r="I1" s="835" t="s">
        <v>1220</v>
      </c>
    </row>
    <row r="3" spans="1:9" ht="29.25" customHeight="1">
      <c r="A3" s="1285" t="s">
        <v>943</v>
      </c>
      <c r="B3" s="1286"/>
      <c r="C3" s="1286"/>
      <c r="D3" s="1286"/>
      <c r="E3" s="1286"/>
      <c r="F3" s="1286"/>
      <c r="G3" s="1286"/>
      <c r="H3" s="1286"/>
      <c r="I3" s="1286"/>
    </row>
    <row r="4" spans="2:9" ht="16.5" thickBot="1">
      <c r="B4" s="836"/>
      <c r="C4" s="836"/>
      <c r="D4" s="836"/>
      <c r="E4" s="836"/>
      <c r="F4" s="836"/>
      <c r="G4" s="836"/>
      <c r="H4" s="836"/>
      <c r="I4" s="836"/>
    </row>
    <row r="5" spans="1:9" ht="15.75">
      <c r="A5" s="1287" t="s">
        <v>426</v>
      </c>
      <c r="B5" s="1289" t="s">
        <v>944</v>
      </c>
      <c r="C5" s="1289" t="s">
        <v>945</v>
      </c>
      <c r="D5" s="1289"/>
      <c r="E5" s="1289"/>
      <c r="F5" s="1289"/>
      <c r="G5" s="1289"/>
      <c r="H5" s="1289"/>
      <c r="I5" s="1291" t="s">
        <v>415</v>
      </c>
    </row>
    <row r="6" spans="1:9" ht="102">
      <c r="A6" s="1288"/>
      <c r="B6" s="1290"/>
      <c r="C6" s="838" t="s">
        <v>946</v>
      </c>
      <c r="D6" s="838" t="s">
        <v>947</v>
      </c>
      <c r="E6" s="838" t="s">
        <v>948</v>
      </c>
      <c r="F6" s="838" t="s">
        <v>949</v>
      </c>
      <c r="G6" s="838" t="s">
        <v>950</v>
      </c>
      <c r="H6" s="838" t="s">
        <v>951</v>
      </c>
      <c r="I6" s="1292"/>
    </row>
    <row r="7" spans="1:9" ht="12.75">
      <c r="A7" s="1288"/>
      <c r="B7" s="839" t="s">
        <v>420</v>
      </c>
      <c r="C7" s="840" t="s">
        <v>421</v>
      </c>
      <c r="D7" s="840" t="s">
        <v>422</v>
      </c>
      <c r="E7" s="840" t="s">
        <v>423</v>
      </c>
      <c r="F7" s="840" t="s">
        <v>424</v>
      </c>
      <c r="G7" s="840" t="s">
        <v>425</v>
      </c>
      <c r="H7" s="840" t="s">
        <v>427</v>
      </c>
      <c r="I7" s="841" t="s">
        <v>428</v>
      </c>
    </row>
    <row r="8" spans="1:9" ht="15.75">
      <c r="A8" s="837">
        <v>1</v>
      </c>
      <c r="B8" s="842" t="s">
        <v>437</v>
      </c>
      <c r="C8" s="843">
        <v>202400000</v>
      </c>
      <c r="D8" s="844">
        <f>42563085+100000-1011276+15000+3500000-3912880</f>
        <v>41253929</v>
      </c>
      <c r="E8" s="844">
        <v>3000</v>
      </c>
      <c r="F8" s="844"/>
      <c r="G8" s="843">
        <v>1145000</v>
      </c>
      <c r="H8" s="844"/>
      <c r="I8" s="845">
        <f>SUM(C8:H8)</f>
        <v>244801929</v>
      </c>
    </row>
    <row r="9" spans="1:9" ht="15.75">
      <c r="A9" s="837">
        <v>2</v>
      </c>
      <c r="B9" s="842" t="s">
        <v>438</v>
      </c>
      <c r="C9" s="846">
        <v>202000000</v>
      </c>
      <c r="D9" s="847">
        <v>10000000</v>
      </c>
      <c r="E9" s="844">
        <v>3000</v>
      </c>
      <c r="F9" s="847"/>
      <c r="G9" s="846">
        <v>800000</v>
      </c>
      <c r="H9" s="844"/>
      <c r="I9" s="845">
        <f>SUM(C9:H9)</f>
        <v>212803000</v>
      </c>
    </row>
    <row r="10" spans="1:9" ht="15.75">
      <c r="A10" s="837">
        <v>3</v>
      </c>
      <c r="B10" s="842" t="s">
        <v>439</v>
      </c>
      <c r="C10" s="846">
        <v>204000000</v>
      </c>
      <c r="D10" s="847">
        <v>8000000</v>
      </c>
      <c r="E10" s="844">
        <v>3000</v>
      </c>
      <c r="F10" s="847"/>
      <c r="G10" s="846">
        <v>700000</v>
      </c>
      <c r="H10" s="844"/>
      <c r="I10" s="845">
        <f>SUM(C10:H10)</f>
        <v>212703000</v>
      </c>
    </row>
    <row r="11" spans="1:9" ht="15.75">
      <c r="A11" s="837">
        <v>4</v>
      </c>
      <c r="B11" s="842" t="s">
        <v>440</v>
      </c>
      <c r="C11" s="846">
        <v>208000000</v>
      </c>
      <c r="D11" s="847">
        <v>6000000</v>
      </c>
      <c r="E11" s="844">
        <v>3000</v>
      </c>
      <c r="F11" s="847">
        <v>100000</v>
      </c>
      <c r="G11" s="846">
        <v>350000</v>
      </c>
      <c r="H11" s="844"/>
      <c r="I11" s="845">
        <f>SUM(C11:H11)</f>
        <v>214453000</v>
      </c>
    </row>
    <row r="12" spans="1:9" ht="16.5" thickBot="1">
      <c r="A12" s="848">
        <v>5</v>
      </c>
      <c r="B12" s="849" t="s">
        <v>441</v>
      </c>
      <c r="C12" s="850">
        <v>210000000</v>
      </c>
      <c r="D12" s="851">
        <v>6000000</v>
      </c>
      <c r="E12" s="851">
        <v>3000</v>
      </c>
      <c r="F12" s="851">
        <v>100000</v>
      </c>
      <c r="G12" s="850">
        <v>340000</v>
      </c>
      <c r="H12" s="852"/>
      <c r="I12" s="853">
        <f>SUM(C12:H12)</f>
        <v>216443000</v>
      </c>
    </row>
    <row r="14" ht="15.75">
      <c r="E14" s="854"/>
    </row>
  </sheetData>
  <sheetProtection/>
  <mergeCells count="5">
    <mergeCell ref="A3:I3"/>
    <mergeCell ref="A5:A7"/>
    <mergeCell ref="B5:B6"/>
    <mergeCell ref="C5:H5"/>
    <mergeCell ref="I5:I6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59"/>
  <sheetViews>
    <sheetView zoomScalePageLayoutView="0" workbookViewId="0" topLeftCell="G1">
      <selection activeCell="A2" sqref="A2:K2"/>
    </sheetView>
  </sheetViews>
  <sheetFormatPr defaultColWidth="9.00390625" defaultRowHeight="12.75"/>
  <cols>
    <col min="1" max="1" width="5.125" style="34" bestFit="1" customWidth="1"/>
    <col min="2" max="2" width="8.875" style="30" customWidth="1"/>
    <col min="3" max="3" width="80.375" style="30" customWidth="1"/>
    <col min="4" max="4" width="9.75390625" style="30" bestFit="1" customWidth="1"/>
    <col min="5" max="5" width="10.375" style="30" bestFit="1" customWidth="1"/>
    <col min="6" max="6" width="16.125" style="30" bestFit="1" customWidth="1"/>
    <col min="7" max="7" width="9.75390625" style="30" bestFit="1" customWidth="1"/>
    <col min="8" max="8" width="11.25390625" style="30" customWidth="1"/>
    <col min="9" max="9" width="9.625" style="30" customWidth="1"/>
    <col min="10" max="10" width="11.25390625" style="30" customWidth="1"/>
    <col min="11" max="12" width="16.125" style="30" bestFit="1" customWidth="1"/>
    <col min="13" max="13" width="9.125" style="30" customWidth="1"/>
    <col min="14" max="14" width="12.375" style="30" bestFit="1" customWidth="1"/>
    <col min="15" max="16384" width="9.125" style="30" customWidth="1"/>
  </cols>
  <sheetData>
    <row r="1" spans="9:13" ht="15" customHeight="1">
      <c r="I1" s="528" t="s">
        <v>1221</v>
      </c>
      <c r="J1" s="127"/>
      <c r="K1" s="127"/>
      <c r="L1" s="527"/>
      <c r="M1" s="127"/>
    </row>
    <row r="2" spans="1:256" ht="15.75">
      <c r="A2" s="1302" t="s">
        <v>751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5.75">
      <c r="A3" s="1303" t="s">
        <v>921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21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ht="13.5" thickBot="1"/>
    <row r="5" spans="1:256" ht="12.75">
      <c r="A5" s="1304" t="s">
        <v>442</v>
      </c>
      <c r="B5" s="1304"/>
      <c r="C5" s="1305"/>
      <c r="D5" s="1306" t="s">
        <v>435</v>
      </c>
      <c r="E5" s="1304"/>
      <c r="F5" s="1307"/>
      <c r="G5" s="1308" t="s">
        <v>583</v>
      </c>
      <c r="H5" s="1309"/>
      <c r="I5" s="1309"/>
      <c r="J5" s="1310"/>
      <c r="K5" s="1311"/>
      <c r="L5" s="1297" t="s">
        <v>362</v>
      </c>
      <c r="M5" s="27"/>
      <c r="N5" s="27" t="s">
        <v>478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5.5">
      <c r="A6" s="1299" t="s">
        <v>443</v>
      </c>
      <c r="B6" s="1300"/>
      <c r="C6" s="22" t="s">
        <v>444</v>
      </c>
      <c r="D6" s="23" t="s">
        <v>445</v>
      </c>
      <c r="E6" s="25" t="s">
        <v>446</v>
      </c>
      <c r="F6" s="26" t="s">
        <v>477</v>
      </c>
      <c r="G6" s="23" t="s">
        <v>447</v>
      </c>
      <c r="H6" s="24" t="s">
        <v>458</v>
      </c>
      <c r="I6" s="24" t="s">
        <v>448</v>
      </c>
      <c r="J6" s="24" t="s">
        <v>458</v>
      </c>
      <c r="K6" s="26" t="s">
        <v>623</v>
      </c>
      <c r="L6" s="129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2.75">
      <c r="A7" s="1301" t="s">
        <v>420</v>
      </c>
      <c r="B7" s="1301"/>
      <c r="C7" s="91" t="s">
        <v>421</v>
      </c>
      <c r="D7" s="92" t="s">
        <v>422</v>
      </c>
      <c r="E7" s="93" t="s">
        <v>423</v>
      </c>
      <c r="F7" s="94" t="s">
        <v>424</v>
      </c>
      <c r="G7" s="92" t="s">
        <v>425</v>
      </c>
      <c r="H7" s="95" t="s">
        <v>427</v>
      </c>
      <c r="I7" s="95" t="s">
        <v>428</v>
      </c>
      <c r="J7" s="95" t="s">
        <v>381</v>
      </c>
      <c r="K7" s="94" t="s">
        <v>382</v>
      </c>
      <c r="L7" s="120" t="s">
        <v>383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12.75">
      <c r="A8" s="109" t="s">
        <v>465</v>
      </c>
      <c r="B8" s="110"/>
      <c r="C8" s="111" t="s">
        <v>475</v>
      </c>
      <c r="D8" s="112"/>
      <c r="E8" s="113"/>
      <c r="F8" s="114">
        <f>F9+F10+F15+F16+F17+F18</f>
        <v>200194231</v>
      </c>
      <c r="G8" s="112"/>
      <c r="H8" s="115"/>
      <c r="I8" s="115"/>
      <c r="J8" s="113"/>
      <c r="K8" s="114"/>
      <c r="L8" s="121">
        <f aca="true" t="shared" si="0" ref="L8:L14">F8+K8</f>
        <v>200194231</v>
      </c>
      <c r="M8" s="106"/>
      <c r="N8" s="123">
        <f>SUM(N9:N18)</f>
        <v>200194231</v>
      </c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12.75">
      <c r="A9" s="100"/>
      <c r="B9" s="101" t="s">
        <v>518</v>
      </c>
      <c r="C9" s="102" t="s">
        <v>459</v>
      </c>
      <c r="D9" s="530">
        <v>26.34</v>
      </c>
      <c r="E9" s="531">
        <v>4580000</v>
      </c>
      <c r="F9" s="532">
        <f>D9*E9</f>
        <v>120637200</v>
      </c>
      <c r="G9" s="533"/>
      <c r="H9" s="534"/>
      <c r="I9" s="534"/>
      <c r="J9" s="531"/>
      <c r="K9" s="532"/>
      <c r="L9" s="535">
        <f t="shared" si="0"/>
        <v>120637200</v>
      </c>
      <c r="M9" s="103"/>
      <c r="N9" s="126">
        <f>SUM(L9)</f>
        <v>120637200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12.75">
      <c r="A10" s="100"/>
      <c r="B10" s="101" t="s">
        <v>519</v>
      </c>
      <c r="C10" s="102" t="s">
        <v>118</v>
      </c>
      <c r="D10" s="533"/>
      <c r="E10" s="531"/>
      <c r="F10" s="532">
        <f>SUM(F11:F14)</f>
        <v>63436320</v>
      </c>
      <c r="G10" s="533"/>
      <c r="H10" s="534"/>
      <c r="I10" s="534"/>
      <c r="J10" s="531"/>
      <c r="K10" s="532"/>
      <c r="L10" s="535">
        <f t="shared" si="0"/>
        <v>63436320</v>
      </c>
      <c r="M10" s="103"/>
      <c r="N10" s="126">
        <f>SUM(L11:L14)</f>
        <v>63436320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14" ht="12.75">
      <c r="A11" s="28"/>
      <c r="B11" s="98" t="s">
        <v>520</v>
      </c>
      <c r="C11" s="99" t="s">
        <v>460</v>
      </c>
      <c r="D11" s="536"/>
      <c r="E11" s="537"/>
      <c r="F11" s="538">
        <v>18207950</v>
      </c>
      <c r="G11" s="536"/>
      <c r="H11" s="539"/>
      <c r="I11" s="539"/>
      <c r="J11" s="537"/>
      <c r="K11" s="538"/>
      <c r="L11" s="540">
        <f t="shared" si="0"/>
        <v>18207950</v>
      </c>
      <c r="M11" s="29"/>
      <c r="N11" s="126"/>
    </row>
    <row r="12" spans="1:14" ht="12.75">
      <c r="A12" s="28"/>
      <c r="B12" s="98" t="s">
        <v>521</v>
      </c>
      <c r="C12" s="99" t="s">
        <v>461</v>
      </c>
      <c r="D12" s="536"/>
      <c r="E12" s="537"/>
      <c r="F12" s="538">
        <v>30176000</v>
      </c>
      <c r="G12" s="536"/>
      <c r="H12" s="539"/>
      <c r="I12" s="539"/>
      <c r="J12" s="537"/>
      <c r="K12" s="538"/>
      <c r="L12" s="540">
        <f t="shared" si="0"/>
        <v>30176000</v>
      </c>
      <c r="M12" s="29"/>
      <c r="N12" s="126"/>
    </row>
    <row r="13" spans="1:14" ht="12.75">
      <c r="A13" s="28"/>
      <c r="B13" s="98" t="s">
        <v>522</v>
      </c>
      <c r="C13" s="99" t="s">
        <v>462</v>
      </c>
      <c r="D13" s="536"/>
      <c r="E13" s="537"/>
      <c r="F13" s="538">
        <v>0</v>
      </c>
      <c r="G13" s="536"/>
      <c r="H13" s="539"/>
      <c r="I13" s="539"/>
      <c r="J13" s="537"/>
      <c r="K13" s="538"/>
      <c r="L13" s="540">
        <f t="shared" si="0"/>
        <v>0</v>
      </c>
      <c r="M13" s="29"/>
      <c r="N13" s="126"/>
    </row>
    <row r="14" spans="1:14" ht="12.75">
      <c r="A14" s="28"/>
      <c r="B14" s="98" t="s">
        <v>523</v>
      </c>
      <c r="C14" s="99" t="s">
        <v>463</v>
      </c>
      <c r="D14" s="536"/>
      <c r="E14" s="537"/>
      <c r="F14" s="538">
        <v>15052370</v>
      </c>
      <c r="G14" s="536"/>
      <c r="H14" s="539"/>
      <c r="I14" s="539"/>
      <c r="J14" s="537"/>
      <c r="K14" s="538"/>
      <c r="L14" s="540">
        <f t="shared" si="0"/>
        <v>15052370</v>
      </c>
      <c r="M14" s="29"/>
      <c r="N14" s="126"/>
    </row>
    <row r="15" spans="1:256" ht="12.75">
      <c r="A15" s="100"/>
      <c r="B15" s="101" t="s">
        <v>524</v>
      </c>
      <c r="C15" s="105" t="s">
        <v>119</v>
      </c>
      <c r="D15" s="533"/>
      <c r="E15" s="531">
        <v>2700</v>
      </c>
      <c r="F15" s="532">
        <v>13441039</v>
      </c>
      <c r="G15" s="533"/>
      <c r="H15" s="534"/>
      <c r="I15" s="534"/>
      <c r="J15" s="531"/>
      <c r="K15" s="532"/>
      <c r="L15" s="535">
        <f>F15+K15</f>
        <v>13441039</v>
      </c>
      <c r="M15" s="103"/>
      <c r="N15" s="126">
        <f>SUM(L15)</f>
        <v>13441039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ht="12.75">
      <c r="A16" s="100"/>
      <c r="B16" s="101" t="s">
        <v>525</v>
      </c>
      <c r="C16" s="105" t="s">
        <v>93</v>
      </c>
      <c r="D16" s="533">
        <v>307</v>
      </c>
      <c r="E16" s="531">
        <v>2550</v>
      </c>
      <c r="F16" s="532">
        <f>D16*E16</f>
        <v>782850</v>
      </c>
      <c r="G16" s="533"/>
      <c r="H16" s="534"/>
      <c r="I16" s="534"/>
      <c r="J16" s="531"/>
      <c r="K16" s="532"/>
      <c r="L16" s="535">
        <f>F16+K16</f>
        <v>782850</v>
      </c>
      <c r="M16" s="103"/>
      <c r="N16" s="126">
        <f>SUM(L16)</f>
        <v>782850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ht="12.75">
      <c r="A17" s="100"/>
      <c r="B17" s="101" t="s">
        <v>749</v>
      </c>
      <c r="C17" s="105" t="s">
        <v>748</v>
      </c>
      <c r="D17" s="533"/>
      <c r="E17" s="531"/>
      <c r="F17" s="532">
        <v>140422</v>
      </c>
      <c r="G17" s="533"/>
      <c r="H17" s="534"/>
      <c r="I17" s="534"/>
      <c r="J17" s="531"/>
      <c r="K17" s="532"/>
      <c r="L17" s="535">
        <f>F17+K17</f>
        <v>140422</v>
      </c>
      <c r="M17" s="103"/>
      <c r="N17" s="126">
        <f>SUM(L17)</f>
        <v>140422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ht="12.75">
      <c r="A18" s="100"/>
      <c r="B18" s="101" t="s">
        <v>526</v>
      </c>
      <c r="C18" s="105" t="s">
        <v>750</v>
      </c>
      <c r="D18" s="533"/>
      <c r="E18" s="531"/>
      <c r="F18" s="532">
        <v>1756400</v>
      </c>
      <c r="G18" s="533"/>
      <c r="H18" s="534"/>
      <c r="I18" s="534"/>
      <c r="J18" s="531"/>
      <c r="K18" s="532"/>
      <c r="L18" s="535">
        <f>F18+K18</f>
        <v>1756400</v>
      </c>
      <c r="M18" s="103"/>
      <c r="N18" s="126">
        <f>SUM(L18)</f>
        <v>1756400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14" ht="12.75">
      <c r="A19" s="109" t="s">
        <v>464</v>
      </c>
      <c r="B19" s="116"/>
      <c r="C19" s="111" t="s">
        <v>120</v>
      </c>
      <c r="D19" s="541"/>
      <c r="E19" s="542"/>
      <c r="F19" s="114"/>
      <c r="G19" s="541"/>
      <c r="H19" s="543"/>
      <c r="I19" s="543"/>
      <c r="J19" s="542"/>
      <c r="K19" s="114">
        <f>K20+K23+K24+K25</f>
        <v>113492868</v>
      </c>
      <c r="L19" s="121">
        <f>F19+K19</f>
        <v>113492868</v>
      </c>
      <c r="M19" s="29"/>
      <c r="N19" s="123">
        <f>SUM(N20:N29)</f>
        <v>113492868</v>
      </c>
    </row>
    <row r="20" spans="1:256" ht="25.5">
      <c r="A20" s="108"/>
      <c r="B20" s="916" t="s">
        <v>466</v>
      </c>
      <c r="C20" s="102" t="s">
        <v>121</v>
      </c>
      <c r="D20" s="533"/>
      <c r="E20" s="531"/>
      <c r="F20" s="532"/>
      <c r="G20" s="533"/>
      <c r="H20" s="534"/>
      <c r="I20" s="534"/>
      <c r="J20" s="531"/>
      <c r="K20" s="532">
        <f>SUM(K21:K22)</f>
        <v>92897400</v>
      </c>
      <c r="L20" s="535">
        <f>SUM(K20,F20)</f>
        <v>92897400</v>
      </c>
      <c r="M20" s="103"/>
      <c r="N20" s="126">
        <f>SUM(L21:L22)</f>
        <v>92897400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14" ht="12.75">
      <c r="A21" s="28"/>
      <c r="B21" s="98" t="s">
        <v>752</v>
      </c>
      <c r="C21" s="99" t="s">
        <v>467</v>
      </c>
      <c r="D21" s="536"/>
      <c r="E21" s="537"/>
      <c r="F21" s="538"/>
      <c r="G21" s="544">
        <v>16.1</v>
      </c>
      <c r="H21" s="539">
        <v>4419000</v>
      </c>
      <c r="I21" s="545">
        <v>14.6</v>
      </c>
      <c r="J21" s="539">
        <v>4419000</v>
      </c>
      <c r="K21" s="538">
        <f>47430600+21063900+441900</f>
        <v>68936400</v>
      </c>
      <c r="L21" s="540">
        <f aca="true" t="shared" si="1" ref="L21:L50">F21+K21</f>
        <v>68936400</v>
      </c>
      <c r="M21" s="29"/>
      <c r="N21" s="126"/>
    </row>
    <row r="22" spans="1:14" ht="25.5">
      <c r="A22" s="28"/>
      <c r="B22" s="917" t="s">
        <v>753</v>
      </c>
      <c r="C22" s="125" t="s">
        <v>585</v>
      </c>
      <c r="D22" s="536"/>
      <c r="E22" s="537"/>
      <c r="F22" s="538"/>
      <c r="G22" s="544">
        <f>12-1.2</f>
        <v>10.8</v>
      </c>
      <c r="H22" s="539">
        <v>2205000</v>
      </c>
      <c r="I22" s="539">
        <f>10+1</f>
        <v>11</v>
      </c>
      <c r="J22" s="537">
        <v>2205000</v>
      </c>
      <c r="K22" s="538">
        <f>17640000+7350000-1764000+735000</f>
        <v>23961000</v>
      </c>
      <c r="L22" s="540">
        <f t="shared" si="1"/>
        <v>23961000</v>
      </c>
      <c r="M22" s="29"/>
      <c r="N22" s="126"/>
    </row>
    <row r="23" spans="1:256" ht="12.75">
      <c r="A23" s="100"/>
      <c r="B23" s="101" t="s">
        <v>468</v>
      </c>
      <c r="C23" s="105" t="s">
        <v>469</v>
      </c>
      <c r="D23" s="546"/>
      <c r="E23" s="547"/>
      <c r="F23" s="532"/>
      <c r="G23" s="548">
        <v>178</v>
      </c>
      <c r="H23" s="534">
        <v>81700</v>
      </c>
      <c r="I23" s="549">
        <f>160+6</f>
        <v>166</v>
      </c>
      <c r="J23" s="531">
        <v>81700</v>
      </c>
      <c r="K23" s="532">
        <f>9695067+4357333+163400</f>
        <v>14215800</v>
      </c>
      <c r="L23" s="535">
        <f t="shared" si="1"/>
        <v>14215800</v>
      </c>
      <c r="M23" s="103"/>
      <c r="N23" s="126">
        <f>SUM(L23)</f>
        <v>14215800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ht="12.75">
      <c r="A24" s="100"/>
      <c r="B24" s="101" t="s">
        <v>624</v>
      </c>
      <c r="C24" s="105" t="s">
        <v>625</v>
      </c>
      <c r="D24" s="550"/>
      <c r="E24" s="551"/>
      <c r="F24" s="532"/>
      <c r="G24" s="548"/>
      <c r="H24" s="534"/>
      <c r="I24" s="549"/>
      <c r="J24" s="531"/>
      <c r="K24" s="532">
        <v>0</v>
      </c>
      <c r="L24" s="535">
        <f>F24+K24</f>
        <v>0</v>
      </c>
      <c r="M24" s="103"/>
      <c r="N24" s="126">
        <f>SUM(L24)</f>
        <v>0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ht="12.75">
      <c r="A25" s="100"/>
      <c r="B25" s="101" t="s">
        <v>527</v>
      </c>
      <c r="C25" s="105" t="s">
        <v>528</v>
      </c>
      <c r="D25" s="550"/>
      <c r="E25" s="551"/>
      <c r="F25" s="532"/>
      <c r="G25" s="548"/>
      <c r="H25" s="534"/>
      <c r="I25" s="549"/>
      <c r="J25" s="531"/>
      <c r="K25" s="532">
        <f>SUM(K26:K29)</f>
        <v>6379668</v>
      </c>
      <c r="L25" s="535">
        <f>F25+K25</f>
        <v>6379668</v>
      </c>
      <c r="M25" s="103"/>
      <c r="N25" s="126">
        <f>SUM(L26:L29)</f>
        <v>6379668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14" ht="25.5">
      <c r="A26" s="28"/>
      <c r="B26" s="917" t="s">
        <v>626</v>
      </c>
      <c r="C26" s="125" t="s">
        <v>754</v>
      </c>
      <c r="D26" s="536"/>
      <c r="E26" s="537"/>
      <c r="F26" s="538"/>
      <c r="G26" s="536">
        <f>9-1</f>
        <v>8</v>
      </c>
      <c r="H26" s="539">
        <v>401000</v>
      </c>
      <c r="I26" s="539"/>
      <c r="J26" s="537"/>
      <c r="K26" s="538">
        <f>G26*H26</f>
        <v>3208000</v>
      </c>
      <c r="L26" s="540">
        <f>SUM(K26)</f>
        <v>3208000</v>
      </c>
      <c r="M26" s="29"/>
      <c r="N26" s="126"/>
    </row>
    <row r="27" spans="1:14" ht="29.25" customHeight="1">
      <c r="A27" s="28"/>
      <c r="B27" s="917"/>
      <c r="C27" s="125" t="s">
        <v>818</v>
      </c>
      <c r="D27" s="536"/>
      <c r="E27" s="537"/>
      <c r="F27" s="538"/>
      <c r="G27" s="536">
        <v>1</v>
      </c>
      <c r="H27" s="539">
        <v>367584</v>
      </c>
      <c r="I27" s="539"/>
      <c r="J27" s="537"/>
      <c r="K27" s="538">
        <f>G27*H27</f>
        <v>367584</v>
      </c>
      <c r="L27" s="540">
        <f>SUM(K27)</f>
        <v>367584</v>
      </c>
      <c r="M27" s="29"/>
      <c r="N27" s="126"/>
    </row>
    <row r="28" spans="1:14" ht="25.5">
      <c r="A28" s="28"/>
      <c r="B28" s="917" t="s">
        <v>627</v>
      </c>
      <c r="C28" s="125" t="s">
        <v>755</v>
      </c>
      <c r="D28" s="536"/>
      <c r="E28" s="537"/>
      <c r="F28" s="538"/>
      <c r="G28" s="536">
        <v>1</v>
      </c>
      <c r="H28" s="539">
        <v>1463000</v>
      </c>
      <c r="I28" s="539"/>
      <c r="J28" s="537"/>
      <c r="K28" s="538">
        <f>G28*H28</f>
        <v>1463000</v>
      </c>
      <c r="L28" s="540">
        <f>SUM(K28)</f>
        <v>1463000</v>
      </c>
      <c r="M28" s="29"/>
      <c r="N28" s="126"/>
    </row>
    <row r="29" spans="1:14" ht="27" customHeight="1">
      <c r="A29" s="28"/>
      <c r="B29" s="98"/>
      <c r="C29" s="125" t="s">
        <v>819</v>
      </c>
      <c r="D29" s="536"/>
      <c r="E29" s="537"/>
      <c r="F29" s="538"/>
      <c r="G29" s="536">
        <v>1</v>
      </c>
      <c r="H29" s="539">
        <v>1341084</v>
      </c>
      <c r="I29" s="539"/>
      <c r="J29" s="537"/>
      <c r="K29" s="538">
        <f>G29*H29</f>
        <v>1341084</v>
      </c>
      <c r="L29" s="540">
        <f>SUM(K29)</f>
        <v>1341084</v>
      </c>
      <c r="M29" s="29"/>
      <c r="N29" s="126"/>
    </row>
    <row r="30" spans="1:256" ht="25.5">
      <c r="A30" s="109" t="s">
        <v>470</v>
      </c>
      <c r="B30" s="117"/>
      <c r="C30" s="111" t="s">
        <v>122</v>
      </c>
      <c r="D30" s="112"/>
      <c r="E30" s="113"/>
      <c r="F30" s="114">
        <f>SUM(F31:F33,F37,F40,F41)</f>
        <v>135636645</v>
      </c>
      <c r="G30" s="552"/>
      <c r="H30" s="115"/>
      <c r="I30" s="553"/>
      <c r="J30" s="113"/>
      <c r="K30" s="114">
        <f>SUM(K31:K33,K37,K40,K41)</f>
        <v>39976182</v>
      </c>
      <c r="L30" s="114">
        <f>SUM(L31:L33,L37,L40,L41)</f>
        <v>175612827</v>
      </c>
      <c r="M30" s="103"/>
      <c r="N30" s="123">
        <f>SUM(N31:N33)+N37+N40+N41</f>
        <v>175612827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ht="12.75">
      <c r="A31" s="100"/>
      <c r="B31" s="101" t="s">
        <v>471</v>
      </c>
      <c r="C31" s="105" t="s">
        <v>628</v>
      </c>
      <c r="D31" s="546"/>
      <c r="E31" s="547"/>
      <c r="F31" s="532"/>
      <c r="G31" s="548"/>
      <c r="H31" s="534"/>
      <c r="I31" s="549"/>
      <c r="J31" s="531"/>
      <c r="K31" s="532">
        <f>9189220-441334</f>
        <v>8747886</v>
      </c>
      <c r="L31" s="535">
        <f t="shared" si="1"/>
        <v>8747886</v>
      </c>
      <c r="M31" s="103"/>
      <c r="N31" s="126">
        <f>SUM(L31)</f>
        <v>8747886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ht="12.75">
      <c r="A32" s="100"/>
      <c r="B32" s="101" t="s">
        <v>472</v>
      </c>
      <c r="C32" s="105" t="s">
        <v>529</v>
      </c>
      <c r="D32" s="546"/>
      <c r="E32" s="547"/>
      <c r="F32" s="532">
        <v>63778000</v>
      </c>
      <c r="G32" s="548"/>
      <c r="H32" s="534"/>
      <c r="I32" s="549"/>
      <c r="J32" s="531"/>
      <c r="K32" s="532"/>
      <c r="L32" s="535">
        <f t="shared" si="1"/>
        <v>63778000</v>
      </c>
      <c r="M32" s="103"/>
      <c r="N32" s="126">
        <f>SUM(L32)</f>
        <v>63778000</v>
      </c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ht="12.75">
      <c r="A33" s="100"/>
      <c r="B33" s="101" t="s">
        <v>473</v>
      </c>
      <c r="C33" s="105" t="s">
        <v>474</v>
      </c>
      <c r="D33" s="546"/>
      <c r="E33" s="547"/>
      <c r="F33" s="532">
        <f>SUM(F34:F35)</f>
        <v>0</v>
      </c>
      <c r="G33" s="548"/>
      <c r="H33" s="534"/>
      <c r="I33" s="549"/>
      <c r="J33" s="531"/>
      <c r="K33" s="532">
        <f>SUM(K34:K36)</f>
        <v>20414296</v>
      </c>
      <c r="L33" s="535">
        <f t="shared" si="1"/>
        <v>20414296</v>
      </c>
      <c r="M33" s="103"/>
      <c r="N33" s="126">
        <f>SUM(L34:L36)</f>
        <v>20414296</v>
      </c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14" ht="12.75">
      <c r="A34" s="28"/>
      <c r="B34" s="98" t="s">
        <v>586</v>
      </c>
      <c r="C34" s="99" t="s">
        <v>587</v>
      </c>
      <c r="D34" s="536"/>
      <c r="E34" s="537"/>
      <c r="F34" s="538"/>
      <c r="G34" s="554"/>
      <c r="H34" s="539"/>
      <c r="I34" s="555"/>
      <c r="J34" s="537"/>
      <c r="K34" s="538">
        <v>3740000</v>
      </c>
      <c r="L34" s="540">
        <f t="shared" si="1"/>
        <v>3740000</v>
      </c>
      <c r="M34" s="29"/>
      <c r="N34" s="29"/>
    </row>
    <row r="35" spans="1:14" ht="12.75">
      <c r="A35" s="28"/>
      <c r="B35" s="98" t="s">
        <v>589</v>
      </c>
      <c r="C35" s="99" t="s">
        <v>588</v>
      </c>
      <c r="D35" s="536"/>
      <c r="E35" s="537"/>
      <c r="F35" s="538"/>
      <c r="G35" s="554"/>
      <c r="H35" s="539"/>
      <c r="I35" s="555"/>
      <c r="J35" s="537"/>
      <c r="K35" s="538">
        <v>14850000</v>
      </c>
      <c r="L35" s="540">
        <f t="shared" si="1"/>
        <v>14850000</v>
      </c>
      <c r="M35" s="29"/>
      <c r="N35" s="29"/>
    </row>
    <row r="36" spans="1:14" ht="12.75">
      <c r="A36" s="28"/>
      <c r="B36" s="98" t="s">
        <v>1192</v>
      </c>
      <c r="C36" s="99" t="s">
        <v>1193</v>
      </c>
      <c r="D36" s="536"/>
      <c r="E36" s="537"/>
      <c r="F36" s="538"/>
      <c r="G36" s="554"/>
      <c r="H36" s="539"/>
      <c r="I36" s="555"/>
      <c r="J36" s="537"/>
      <c r="K36" s="538">
        <v>1824296</v>
      </c>
      <c r="L36" s="540">
        <f>F36+K36</f>
        <v>1824296</v>
      </c>
      <c r="M36" s="29"/>
      <c r="N36" s="29"/>
    </row>
    <row r="37" spans="1:256" ht="12.75">
      <c r="A37" s="100"/>
      <c r="B37" s="101" t="s">
        <v>123</v>
      </c>
      <c r="C37" s="105" t="s">
        <v>765</v>
      </c>
      <c r="D37" s="546"/>
      <c r="E37" s="547"/>
      <c r="F37" s="532">
        <f>SUM(F38:F39)</f>
        <v>69780425</v>
      </c>
      <c r="G37" s="548"/>
      <c r="H37" s="534"/>
      <c r="I37" s="549"/>
      <c r="J37" s="531"/>
      <c r="K37" s="532">
        <f>SUM(K38:K40)</f>
        <v>0</v>
      </c>
      <c r="L37" s="535">
        <f t="shared" si="1"/>
        <v>69780425</v>
      </c>
      <c r="M37" s="103"/>
      <c r="N37" s="126">
        <f>SUM(L38:L39)</f>
        <v>69780425</v>
      </c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</row>
    <row r="38" spans="1:14" ht="12.75">
      <c r="A38" s="28"/>
      <c r="B38" s="98" t="s">
        <v>530</v>
      </c>
      <c r="C38" s="125" t="s">
        <v>766</v>
      </c>
      <c r="D38" s="556">
        <v>12.6</v>
      </c>
      <c r="E38" s="557">
        <v>1900000</v>
      </c>
      <c r="F38" s="538">
        <f>E38*D38</f>
        <v>23940000</v>
      </c>
      <c r="G38" s="544"/>
      <c r="H38" s="539"/>
      <c r="I38" s="545"/>
      <c r="J38" s="537"/>
      <c r="K38" s="538"/>
      <c r="L38" s="558">
        <f t="shared" si="1"/>
        <v>23940000</v>
      </c>
      <c r="M38" s="29"/>
      <c r="N38" s="126"/>
    </row>
    <row r="39" spans="1:14" ht="12.75">
      <c r="A39" s="28"/>
      <c r="B39" s="98" t="s">
        <v>124</v>
      </c>
      <c r="C39" s="125" t="s">
        <v>125</v>
      </c>
      <c r="D39" s="556"/>
      <c r="E39" s="537"/>
      <c r="F39" s="538">
        <v>45840425</v>
      </c>
      <c r="G39" s="536"/>
      <c r="H39" s="539"/>
      <c r="I39" s="539"/>
      <c r="J39" s="537"/>
      <c r="K39" s="538"/>
      <c r="L39" s="558">
        <f>F39+K39</f>
        <v>45840425</v>
      </c>
      <c r="M39" s="29"/>
      <c r="N39" s="29"/>
    </row>
    <row r="40" spans="1:256" ht="12.75">
      <c r="A40" s="100"/>
      <c r="B40" s="101" t="s">
        <v>756</v>
      </c>
      <c r="C40" s="105" t="s">
        <v>767</v>
      </c>
      <c r="D40" s="546">
        <f>3710-64</f>
        <v>3646</v>
      </c>
      <c r="E40" s="547">
        <v>570</v>
      </c>
      <c r="F40" s="532">
        <f>D40*E40</f>
        <v>2078220</v>
      </c>
      <c r="G40" s="548"/>
      <c r="H40" s="534"/>
      <c r="I40" s="549"/>
      <c r="J40" s="531"/>
      <c r="K40" s="532"/>
      <c r="L40" s="535">
        <f t="shared" si="1"/>
        <v>2078220</v>
      </c>
      <c r="M40" s="103"/>
      <c r="N40" s="126">
        <f>SUM(L40)</f>
        <v>2078220</v>
      </c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 ht="12.75">
      <c r="A41" s="100"/>
      <c r="B41" s="101" t="s">
        <v>757</v>
      </c>
      <c r="C41" s="105" t="s">
        <v>758</v>
      </c>
      <c r="D41" s="546"/>
      <c r="E41" s="547"/>
      <c r="F41" s="532"/>
      <c r="G41" s="548"/>
      <c r="H41" s="534"/>
      <c r="I41" s="549"/>
      <c r="J41" s="531"/>
      <c r="K41" s="532">
        <f>SUM(K42:K45)</f>
        <v>10814000</v>
      </c>
      <c r="L41" s="535">
        <f t="shared" si="1"/>
        <v>10814000</v>
      </c>
      <c r="M41" s="103"/>
      <c r="N41" s="126">
        <f>SUM(L41:M41)</f>
        <v>10814000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:14" ht="12.75">
      <c r="A42" s="28"/>
      <c r="B42" s="98" t="s">
        <v>759</v>
      </c>
      <c r="C42" s="125" t="s">
        <v>760</v>
      </c>
      <c r="D42" s="556"/>
      <c r="E42" s="537"/>
      <c r="F42" s="538"/>
      <c r="G42" s="536">
        <v>1</v>
      </c>
      <c r="H42" s="539">
        <v>4419000</v>
      </c>
      <c r="I42" s="539"/>
      <c r="J42" s="537"/>
      <c r="K42" s="538">
        <f>G42*H42</f>
        <v>4419000</v>
      </c>
      <c r="L42" s="558">
        <f>SUM(K42,F42)</f>
        <v>4419000</v>
      </c>
      <c r="M42" s="29"/>
      <c r="N42" s="29"/>
    </row>
    <row r="43" spans="1:14" ht="15" customHeight="1">
      <c r="A43" s="28"/>
      <c r="B43" s="98" t="s">
        <v>761</v>
      </c>
      <c r="C43" s="125" t="s">
        <v>762</v>
      </c>
      <c r="D43" s="556"/>
      <c r="E43" s="537"/>
      <c r="F43" s="538"/>
      <c r="G43" s="536">
        <v>2</v>
      </c>
      <c r="H43" s="539">
        <v>2993000</v>
      </c>
      <c r="I43" s="539"/>
      <c r="J43" s="537"/>
      <c r="K43" s="538">
        <f>G43*H43</f>
        <v>5986000</v>
      </c>
      <c r="L43" s="558">
        <f t="shared" si="1"/>
        <v>5986000</v>
      </c>
      <c r="M43" s="29"/>
      <c r="N43" s="29"/>
    </row>
    <row r="44" spans="1:14" ht="12.75">
      <c r="A44" s="28"/>
      <c r="B44" s="98" t="s">
        <v>763</v>
      </c>
      <c r="C44" s="125" t="s">
        <v>764</v>
      </c>
      <c r="D44" s="556"/>
      <c r="E44" s="537"/>
      <c r="F44" s="538"/>
      <c r="G44" s="536"/>
      <c r="H44" s="539"/>
      <c r="I44" s="539"/>
      <c r="J44" s="537"/>
      <c r="K44" s="538">
        <f>882000-473000</f>
        <v>409000</v>
      </c>
      <c r="L44" s="558">
        <f t="shared" si="1"/>
        <v>409000</v>
      </c>
      <c r="M44" s="29"/>
      <c r="N44" s="29"/>
    </row>
    <row r="45" spans="1:14" ht="25.5">
      <c r="A45" s="28"/>
      <c r="B45" s="98"/>
      <c r="C45" s="125" t="s">
        <v>919</v>
      </c>
      <c r="D45" s="556"/>
      <c r="E45" s="537"/>
      <c r="F45" s="538"/>
      <c r="G45" s="536"/>
      <c r="H45" s="539"/>
      <c r="I45" s="539"/>
      <c r="J45" s="537"/>
      <c r="K45" s="538">
        <f>195364-195364</f>
        <v>0</v>
      </c>
      <c r="L45" s="558">
        <f t="shared" si="1"/>
        <v>0</v>
      </c>
      <c r="M45" s="29"/>
      <c r="N45" s="29"/>
    </row>
    <row r="46" spans="1:256" ht="12.75">
      <c r="A46" s="109" t="s">
        <v>476</v>
      </c>
      <c r="B46" s="117"/>
      <c r="C46" s="111" t="s">
        <v>457</v>
      </c>
      <c r="D46" s="112"/>
      <c r="E46" s="113"/>
      <c r="F46" s="114">
        <f>SUM(F48:F50)</f>
        <v>11521692</v>
      </c>
      <c r="G46" s="552"/>
      <c r="H46" s="115"/>
      <c r="I46" s="553"/>
      <c r="J46" s="113"/>
      <c r="K46" s="114"/>
      <c r="L46" s="121">
        <f t="shared" si="1"/>
        <v>11521692</v>
      </c>
      <c r="M46" s="103"/>
      <c r="N46" s="122">
        <f>SUM(L48:L50)</f>
        <v>11521692</v>
      </c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ht="12.75">
      <c r="A47" s="100"/>
      <c r="B47" s="101" t="s">
        <v>532</v>
      </c>
      <c r="C47" s="105" t="s">
        <v>533</v>
      </c>
      <c r="D47" s="546"/>
      <c r="E47" s="547"/>
      <c r="F47" s="532"/>
      <c r="G47" s="548"/>
      <c r="H47" s="534"/>
      <c r="I47" s="549"/>
      <c r="J47" s="531"/>
      <c r="K47" s="532"/>
      <c r="L47" s="535"/>
      <c r="M47" s="103"/>
      <c r="N47" s="126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14" ht="14.25" customHeight="1">
      <c r="A48" s="28"/>
      <c r="B48" s="98" t="s">
        <v>531</v>
      </c>
      <c r="C48" s="125" t="s">
        <v>126</v>
      </c>
      <c r="D48" s="536">
        <v>8811</v>
      </c>
      <c r="E48" s="537">
        <v>1210</v>
      </c>
      <c r="F48" s="538">
        <f>D48*E48</f>
        <v>10661310</v>
      </c>
      <c r="G48" s="559"/>
      <c r="H48" s="560"/>
      <c r="I48" s="555"/>
      <c r="J48" s="557"/>
      <c r="K48" s="538"/>
      <c r="L48" s="540">
        <f t="shared" si="1"/>
        <v>10661310</v>
      </c>
      <c r="M48" s="29"/>
      <c r="N48" s="29"/>
    </row>
    <row r="49" spans="1:14" ht="12.75">
      <c r="A49" s="28"/>
      <c r="B49" s="98" t="s">
        <v>1008</v>
      </c>
      <c r="C49" s="125" t="s">
        <v>1009</v>
      </c>
      <c r="D49" s="536"/>
      <c r="E49" s="537"/>
      <c r="F49" s="538">
        <v>95585</v>
      </c>
      <c r="G49" s="559"/>
      <c r="H49" s="560"/>
      <c r="I49" s="555"/>
      <c r="J49" s="557"/>
      <c r="K49" s="538"/>
      <c r="L49" s="540">
        <f t="shared" si="1"/>
        <v>95585</v>
      </c>
      <c r="M49" s="29"/>
      <c r="N49" s="29"/>
    </row>
    <row r="50" spans="1:14" ht="12.75">
      <c r="A50" s="28"/>
      <c r="B50" s="98" t="s">
        <v>917</v>
      </c>
      <c r="C50" s="125" t="s">
        <v>918</v>
      </c>
      <c r="D50" s="536"/>
      <c r="E50" s="537"/>
      <c r="F50" s="538">
        <f>1004278-239481</f>
        <v>764797</v>
      </c>
      <c r="G50" s="559"/>
      <c r="H50" s="560"/>
      <c r="I50" s="555"/>
      <c r="J50" s="557"/>
      <c r="K50" s="538"/>
      <c r="L50" s="540">
        <f t="shared" si="1"/>
        <v>764797</v>
      </c>
      <c r="M50" s="29"/>
      <c r="N50" s="29"/>
    </row>
    <row r="51" spans="1:256" ht="15">
      <c r="A51" s="1293" t="s">
        <v>479</v>
      </c>
      <c r="B51" s="1293"/>
      <c r="C51" s="1294"/>
      <c r="D51" s="561" t="s">
        <v>449</v>
      </c>
      <c r="E51" s="562" t="s">
        <v>449</v>
      </c>
      <c r="F51" s="563">
        <f>SUM(F46,F30,F19,F8)</f>
        <v>347352568</v>
      </c>
      <c r="G51" s="561" t="s">
        <v>449</v>
      </c>
      <c r="H51" s="564" t="s">
        <v>449</v>
      </c>
      <c r="I51" s="564" t="s">
        <v>449</v>
      </c>
      <c r="J51" s="562" t="s">
        <v>449</v>
      </c>
      <c r="K51" s="563">
        <f>SUM(K46,K30,K19,K8)</f>
        <v>153469050</v>
      </c>
      <c r="L51" s="565">
        <f>SUM(L46,L30,L19,L8)</f>
        <v>500821618</v>
      </c>
      <c r="M51" s="31"/>
      <c r="N51" s="32">
        <f>SUM(N46,N30,N19,N8)</f>
        <v>500821618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782" customFormat="1" ht="15">
      <c r="A52" s="775"/>
      <c r="B52" s="775"/>
      <c r="C52" s="775"/>
      <c r="D52" s="776"/>
      <c r="E52" s="776"/>
      <c r="F52" s="777"/>
      <c r="G52" s="776"/>
      <c r="H52" s="776"/>
      <c r="I52" s="776"/>
      <c r="J52" s="776"/>
      <c r="K52" s="777"/>
      <c r="L52" s="778"/>
      <c r="M52" s="779"/>
      <c r="N52" s="780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1"/>
      <c r="Z52" s="781"/>
      <c r="AA52" s="781"/>
      <c r="AB52" s="781"/>
      <c r="AC52" s="781"/>
      <c r="AD52" s="781"/>
      <c r="AE52" s="781"/>
      <c r="AF52" s="781"/>
      <c r="AG52" s="781"/>
      <c r="AH52" s="781"/>
      <c r="AI52" s="781"/>
      <c r="AJ52" s="781"/>
      <c r="AK52" s="781"/>
      <c r="AL52" s="781"/>
      <c r="AM52" s="781"/>
      <c r="AN52" s="781"/>
      <c r="AO52" s="781"/>
      <c r="AP52" s="781"/>
      <c r="AQ52" s="781"/>
      <c r="AR52" s="781"/>
      <c r="AS52" s="781"/>
      <c r="AT52" s="781"/>
      <c r="AU52" s="781"/>
      <c r="AV52" s="781"/>
      <c r="AW52" s="781"/>
      <c r="AX52" s="781"/>
      <c r="AY52" s="781"/>
      <c r="AZ52" s="781"/>
      <c r="BA52" s="781"/>
      <c r="BB52" s="781"/>
      <c r="BC52" s="781"/>
      <c r="BD52" s="781"/>
      <c r="BE52" s="781"/>
      <c r="BF52" s="781"/>
      <c r="BG52" s="781"/>
      <c r="BH52" s="781"/>
      <c r="BI52" s="781"/>
      <c r="BJ52" s="781"/>
      <c r="BK52" s="781"/>
      <c r="BL52" s="781"/>
      <c r="BM52" s="781"/>
      <c r="BN52" s="781"/>
      <c r="BO52" s="781"/>
      <c r="BP52" s="781"/>
      <c r="BQ52" s="781"/>
      <c r="BR52" s="781"/>
      <c r="BS52" s="781"/>
      <c r="BT52" s="781"/>
      <c r="BU52" s="781"/>
      <c r="BV52" s="781"/>
      <c r="BW52" s="781"/>
      <c r="BX52" s="781"/>
      <c r="BY52" s="781"/>
      <c r="BZ52" s="781"/>
      <c r="CA52" s="781"/>
      <c r="CB52" s="781"/>
      <c r="CC52" s="781"/>
      <c r="CD52" s="781"/>
      <c r="CE52" s="781"/>
      <c r="CF52" s="781"/>
      <c r="CG52" s="781"/>
      <c r="CH52" s="781"/>
      <c r="CI52" s="781"/>
      <c r="CJ52" s="781"/>
      <c r="CK52" s="781"/>
      <c r="CL52" s="781"/>
      <c r="CM52" s="781"/>
      <c r="CN52" s="781"/>
      <c r="CO52" s="781"/>
      <c r="CP52" s="781"/>
      <c r="CQ52" s="781"/>
      <c r="CR52" s="781"/>
      <c r="CS52" s="781"/>
      <c r="CT52" s="781"/>
      <c r="CU52" s="781"/>
      <c r="CV52" s="781"/>
      <c r="CW52" s="781"/>
      <c r="CX52" s="781"/>
      <c r="CY52" s="781"/>
      <c r="CZ52" s="781"/>
      <c r="DA52" s="781"/>
      <c r="DB52" s="781"/>
      <c r="DC52" s="781"/>
      <c r="DD52" s="781"/>
      <c r="DE52" s="781"/>
      <c r="DF52" s="781"/>
      <c r="DG52" s="781"/>
      <c r="DH52" s="781"/>
      <c r="DI52" s="781"/>
      <c r="DJ52" s="781"/>
      <c r="DK52" s="781"/>
      <c r="DL52" s="781"/>
      <c r="DM52" s="781"/>
      <c r="DN52" s="781"/>
      <c r="DO52" s="781"/>
      <c r="DP52" s="781"/>
      <c r="DQ52" s="781"/>
      <c r="DR52" s="781"/>
      <c r="DS52" s="781"/>
      <c r="DT52" s="781"/>
      <c r="DU52" s="781"/>
      <c r="DV52" s="781"/>
      <c r="DW52" s="781"/>
      <c r="DX52" s="781"/>
      <c r="DY52" s="781"/>
      <c r="DZ52" s="781"/>
      <c r="EA52" s="781"/>
      <c r="EB52" s="781"/>
      <c r="EC52" s="781"/>
      <c r="ED52" s="781"/>
      <c r="EE52" s="781"/>
      <c r="EF52" s="781"/>
      <c r="EG52" s="781"/>
      <c r="EH52" s="781"/>
      <c r="EI52" s="781"/>
      <c r="EJ52" s="781"/>
      <c r="EK52" s="781"/>
      <c r="EL52" s="781"/>
      <c r="EM52" s="781"/>
      <c r="EN52" s="781"/>
      <c r="EO52" s="781"/>
      <c r="EP52" s="781"/>
      <c r="EQ52" s="781"/>
      <c r="ER52" s="781"/>
      <c r="ES52" s="781"/>
      <c r="ET52" s="781"/>
      <c r="EU52" s="781"/>
      <c r="EV52" s="781"/>
      <c r="EW52" s="781"/>
      <c r="EX52" s="781"/>
      <c r="EY52" s="781"/>
      <c r="EZ52" s="781"/>
      <c r="FA52" s="781"/>
      <c r="FB52" s="781"/>
      <c r="FC52" s="781"/>
      <c r="FD52" s="781"/>
      <c r="FE52" s="781"/>
      <c r="FF52" s="781"/>
      <c r="FG52" s="781"/>
      <c r="FH52" s="781"/>
      <c r="FI52" s="781"/>
      <c r="FJ52" s="781"/>
      <c r="FK52" s="781"/>
      <c r="FL52" s="781"/>
      <c r="FM52" s="781"/>
      <c r="FN52" s="781"/>
      <c r="FO52" s="781"/>
      <c r="FP52" s="781"/>
      <c r="FQ52" s="781"/>
      <c r="FR52" s="781"/>
      <c r="FS52" s="781"/>
      <c r="FT52" s="781"/>
      <c r="FU52" s="781"/>
      <c r="FV52" s="781"/>
      <c r="FW52" s="781"/>
      <c r="FX52" s="781"/>
      <c r="FY52" s="781"/>
      <c r="FZ52" s="781"/>
      <c r="GA52" s="781"/>
      <c r="GB52" s="781"/>
      <c r="GC52" s="781"/>
      <c r="GD52" s="781"/>
      <c r="GE52" s="781"/>
      <c r="GF52" s="781"/>
      <c r="GG52" s="781"/>
      <c r="GH52" s="781"/>
      <c r="GI52" s="781"/>
      <c r="GJ52" s="781"/>
      <c r="GK52" s="781"/>
      <c r="GL52" s="781"/>
      <c r="GM52" s="781"/>
      <c r="GN52" s="781"/>
      <c r="GO52" s="781"/>
      <c r="GP52" s="781"/>
      <c r="GQ52" s="781"/>
      <c r="GR52" s="781"/>
      <c r="GS52" s="781"/>
      <c r="GT52" s="781"/>
      <c r="GU52" s="781"/>
      <c r="GV52" s="781"/>
      <c r="GW52" s="781"/>
      <c r="GX52" s="781"/>
      <c r="GY52" s="781"/>
      <c r="GZ52" s="781"/>
      <c r="HA52" s="781"/>
      <c r="HB52" s="781"/>
      <c r="HC52" s="781"/>
      <c r="HD52" s="781"/>
      <c r="HE52" s="781"/>
      <c r="HF52" s="781"/>
      <c r="HG52" s="781"/>
      <c r="HH52" s="781"/>
      <c r="HI52" s="781"/>
      <c r="HJ52" s="781"/>
      <c r="HK52" s="781"/>
      <c r="HL52" s="781"/>
      <c r="HM52" s="781"/>
      <c r="HN52" s="781"/>
      <c r="HO52" s="781"/>
      <c r="HP52" s="781"/>
      <c r="HQ52" s="781"/>
      <c r="HR52" s="781"/>
      <c r="HS52" s="781"/>
      <c r="HT52" s="781"/>
      <c r="HU52" s="781"/>
      <c r="HV52" s="781"/>
      <c r="HW52" s="781"/>
      <c r="HX52" s="781"/>
      <c r="HY52" s="781"/>
      <c r="HZ52" s="781"/>
      <c r="IA52" s="781"/>
      <c r="IB52" s="781"/>
      <c r="IC52" s="781"/>
      <c r="ID52" s="781"/>
      <c r="IE52" s="781"/>
      <c r="IF52" s="781"/>
      <c r="IG52" s="781"/>
      <c r="IH52" s="781"/>
      <c r="II52" s="781"/>
      <c r="IJ52" s="781"/>
      <c r="IK52" s="781"/>
      <c r="IL52" s="781"/>
      <c r="IM52" s="781"/>
      <c r="IN52" s="781"/>
      <c r="IO52" s="781"/>
      <c r="IP52" s="781"/>
      <c r="IQ52" s="781"/>
      <c r="IR52" s="781"/>
      <c r="IS52" s="781"/>
      <c r="IT52" s="781"/>
      <c r="IU52" s="781"/>
      <c r="IV52" s="781"/>
    </row>
    <row r="53" spans="1:14" ht="12.75">
      <c r="A53" s="28" t="s">
        <v>465</v>
      </c>
      <c r="B53" s="98"/>
      <c r="C53" s="125" t="s">
        <v>916</v>
      </c>
      <c r="D53" s="556"/>
      <c r="E53" s="537"/>
      <c r="F53" s="538">
        <f>1096532-40212</f>
        <v>1056320</v>
      </c>
      <c r="G53" s="536"/>
      <c r="H53" s="539"/>
      <c r="I53" s="539"/>
      <c r="J53" s="537"/>
      <c r="K53" s="538"/>
      <c r="L53" s="540">
        <f>F53+K53</f>
        <v>1056320</v>
      </c>
      <c r="M53" s="29"/>
      <c r="N53" s="29"/>
    </row>
    <row r="54" spans="1:14" ht="15.75" customHeight="1">
      <c r="A54" s="98" t="s">
        <v>465</v>
      </c>
      <c r="B54" s="98" t="s">
        <v>1007</v>
      </c>
      <c r="C54" s="125" t="s">
        <v>1006</v>
      </c>
      <c r="D54" s="556"/>
      <c r="E54" s="537"/>
      <c r="F54" s="538">
        <v>7265000</v>
      </c>
      <c r="G54" s="536"/>
      <c r="H54" s="539"/>
      <c r="I54" s="539"/>
      <c r="J54" s="537"/>
      <c r="K54" s="538"/>
      <c r="L54" s="540">
        <f>F54+K54</f>
        <v>7265000</v>
      </c>
      <c r="M54" s="29"/>
      <c r="N54" s="29"/>
    </row>
    <row r="55" spans="1:14" ht="12.75">
      <c r="A55" s="98" t="s">
        <v>464</v>
      </c>
      <c r="B55" s="98" t="s">
        <v>1137</v>
      </c>
      <c r="C55" s="125" t="s">
        <v>1138</v>
      </c>
      <c r="D55" s="556"/>
      <c r="E55" s="537"/>
      <c r="F55" s="538">
        <v>29947750</v>
      </c>
      <c r="G55" s="536"/>
      <c r="H55" s="539"/>
      <c r="I55" s="539"/>
      <c r="J55" s="537"/>
      <c r="K55" s="538"/>
      <c r="L55" s="540">
        <f>F55+K55</f>
        <v>29947750</v>
      </c>
      <c r="M55" s="29"/>
      <c r="N55" s="29"/>
    </row>
    <row r="56" spans="1:14" ht="12.75">
      <c r="A56" s="28"/>
      <c r="B56" s="98"/>
      <c r="C56" s="125" t="s">
        <v>994</v>
      </c>
      <c r="D56" s="556"/>
      <c r="E56" s="537"/>
      <c r="F56" s="538">
        <v>30000000</v>
      </c>
      <c r="G56" s="536"/>
      <c r="H56" s="539"/>
      <c r="I56" s="539"/>
      <c r="J56" s="537"/>
      <c r="K56" s="538"/>
      <c r="L56" s="540">
        <f>F56+K56</f>
        <v>30000000</v>
      </c>
      <c r="M56" s="29"/>
      <c r="N56" s="29"/>
    </row>
    <row r="57" spans="1:256" ht="15">
      <c r="A57" s="1293" t="s">
        <v>920</v>
      </c>
      <c r="B57" s="1293"/>
      <c r="C57" s="1294"/>
      <c r="D57" s="561" t="s">
        <v>449</v>
      </c>
      <c r="E57" s="562" t="s">
        <v>449</v>
      </c>
      <c r="F57" s="563">
        <f>SUM(F53:F56)</f>
        <v>68269070</v>
      </c>
      <c r="G57" s="561" t="s">
        <v>449</v>
      </c>
      <c r="H57" s="564" t="s">
        <v>449</v>
      </c>
      <c r="I57" s="564" t="s">
        <v>449</v>
      </c>
      <c r="J57" s="562" t="s">
        <v>449</v>
      </c>
      <c r="K57" s="563">
        <f>SUM(K53:K56)</f>
        <v>0</v>
      </c>
      <c r="L57" s="565">
        <f>SUM(L53:L56)</f>
        <v>68269070</v>
      </c>
      <c r="M57" s="31"/>
      <c r="N57" s="32">
        <f>SUM(L57)</f>
        <v>68269070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4:12" ht="12.75">
      <c r="D58" s="566"/>
      <c r="E58" s="566"/>
      <c r="F58" s="566"/>
      <c r="G58" s="566"/>
      <c r="H58" s="566"/>
      <c r="I58" s="566"/>
      <c r="J58" s="566"/>
      <c r="K58" s="566"/>
      <c r="L58" s="566"/>
    </row>
    <row r="59" spans="1:256" ht="16.5">
      <c r="A59" s="1295" t="s">
        <v>127</v>
      </c>
      <c r="B59" s="1295"/>
      <c r="C59" s="1296"/>
      <c r="D59" s="567" t="s">
        <v>449</v>
      </c>
      <c r="E59" s="568" t="s">
        <v>449</v>
      </c>
      <c r="F59" s="569">
        <f>SUM(F51+F57)</f>
        <v>415621638</v>
      </c>
      <c r="G59" s="567" t="s">
        <v>449</v>
      </c>
      <c r="H59" s="570" t="s">
        <v>449</v>
      </c>
      <c r="I59" s="570" t="s">
        <v>449</v>
      </c>
      <c r="J59" s="568" t="s">
        <v>449</v>
      </c>
      <c r="K59" s="569">
        <f>SUM(K51+K57)</f>
        <v>153469050</v>
      </c>
      <c r="L59" s="571">
        <f>SUM(K59+F59)</f>
        <v>569090688</v>
      </c>
      <c r="M59" s="31"/>
      <c r="N59" s="32">
        <f>SUM(N57,N51)</f>
        <v>569090688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</sheetData>
  <sheetProtection/>
  <mergeCells count="11">
    <mergeCell ref="A2:K2"/>
    <mergeCell ref="A3:K3"/>
    <mergeCell ref="A5:C5"/>
    <mergeCell ref="D5:F5"/>
    <mergeCell ref="G5:K5"/>
    <mergeCell ref="A57:C57"/>
    <mergeCell ref="A51:C51"/>
    <mergeCell ref="A59:C59"/>
    <mergeCell ref="L5:L6"/>
    <mergeCell ref="A6:B6"/>
    <mergeCell ref="A7:B7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6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644" customWidth="1"/>
    <col min="2" max="2" width="36.125" style="134" customWidth="1"/>
    <col min="3" max="3" width="15.00390625" style="134" customWidth="1"/>
    <col min="4" max="4" width="11.125" style="134" bestFit="1" customWidth="1"/>
    <col min="5" max="5" width="11.875" style="134" customWidth="1"/>
    <col min="6" max="6" width="11.75390625" style="134" customWidth="1"/>
    <col min="7" max="8" width="11.25390625" style="134" customWidth="1"/>
    <col min="9" max="9" width="11.75390625" style="134" customWidth="1"/>
    <col min="10" max="10" width="15.375" style="134" customWidth="1"/>
    <col min="11" max="11" width="16.625" style="134" customWidth="1"/>
  </cols>
  <sheetData>
    <row r="1" spans="2:11" ht="15">
      <c r="B1" s="1335" t="s">
        <v>1222</v>
      </c>
      <c r="C1" s="1335"/>
      <c r="D1" s="1335"/>
      <c r="E1" s="1335"/>
      <c r="F1" s="1335"/>
      <c r="G1" s="1335"/>
      <c r="H1" s="1335"/>
      <c r="I1" s="1335"/>
      <c r="J1" s="1335"/>
      <c r="K1" s="1335"/>
    </row>
    <row r="4" spans="2:11" ht="41.25" customHeight="1">
      <c r="B4" s="1336" t="s">
        <v>845</v>
      </c>
      <c r="C4" s="1336"/>
      <c r="D4" s="1336"/>
      <c r="E4" s="1336"/>
      <c r="F4" s="1336"/>
      <c r="G4" s="1336"/>
      <c r="H4" s="1336"/>
      <c r="I4" s="1336"/>
      <c r="J4" s="1336"/>
      <c r="K4" s="1336"/>
    </row>
    <row r="7" ht="13.5" thickBot="1"/>
    <row r="8" spans="1:11" ht="12.75">
      <c r="A8" s="1337" t="s">
        <v>426</v>
      </c>
      <c r="B8" s="1340" t="s">
        <v>357</v>
      </c>
      <c r="C8" s="1343" t="s">
        <v>831</v>
      </c>
      <c r="D8" s="1344"/>
      <c r="E8" s="1344"/>
      <c r="F8" s="1344"/>
      <c r="G8" s="1344"/>
      <c r="H8" s="1345"/>
      <c r="I8" s="1345"/>
      <c r="J8" s="1346" t="s">
        <v>881</v>
      </c>
      <c r="K8" s="1346" t="s">
        <v>846</v>
      </c>
    </row>
    <row r="9" spans="1:11" ht="12.75">
      <c r="A9" s="1338"/>
      <c r="B9" s="1341"/>
      <c r="C9" s="1349" t="s">
        <v>415</v>
      </c>
      <c r="D9" s="1350" t="s">
        <v>832</v>
      </c>
      <c r="E9" s="1351"/>
      <c r="F9" s="1351"/>
      <c r="G9" s="1351"/>
      <c r="H9" s="1352"/>
      <c r="I9" s="1352"/>
      <c r="J9" s="1347"/>
      <c r="K9" s="1347"/>
    </row>
    <row r="10" spans="1:11" ht="42" customHeight="1">
      <c r="A10" s="1339"/>
      <c r="B10" s="1342"/>
      <c r="C10" s="1349"/>
      <c r="D10" s="646" t="s">
        <v>436</v>
      </c>
      <c r="E10" s="646" t="s">
        <v>437</v>
      </c>
      <c r="F10" s="646" t="s">
        <v>438</v>
      </c>
      <c r="G10" s="646" t="s">
        <v>439</v>
      </c>
      <c r="H10" s="647" t="s">
        <v>440</v>
      </c>
      <c r="I10" s="647" t="s">
        <v>441</v>
      </c>
      <c r="J10" s="1348"/>
      <c r="K10" s="1348"/>
    </row>
    <row r="11" spans="1:11" ht="13.5" thickBot="1">
      <c r="A11" s="645" t="s">
        <v>420</v>
      </c>
      <c r="B11" s="648" t="s">
        <v>421</v>
      </c>
      <c r="C11" s="649" t="s">
        <v>422</v>
      </c>
      <c r="D11" s="650" t="s">
        <v>423</v>
      </c>
      <c r="E11" s="651" t="s">
        <v>424</v>
      </c>
      <c r="F11" s="651" t="s">
        <v>425</v>
      </c>
      <c r="G11" s="651" t="s">
        <v>427</v>
      </c>
      <c r="H11" s="651" t="s">
        <v>428</v>
      </c>
      <c r="I11" s="651" t="s">
        <v>381</v>
      </c>
      <c r="J11" s="652" t="s">
        <v>382</v>
      </c>
      <c r="K11" s="653" t="s">
        <v>383</v>
      </c>
    </row>
    <row r="12" spans="1:11" ht="19.5" thickBot="1" thickTop="1">
      <c r="A12" s="817">
        <v>1</v>
      </c>
      <c r="B12" s="1328" t="s">
        <v>89</v>
      </c>
      <c r="C12" s="1329"/>
      <c r="D12" s="1329"/>
      <c r="E12" s="1329"/>
      <c r="F12" s="1329"/>
      <c r="G12" s="1329"/>
      <c r="H12" s="1329"/>
      <c r="I12" s="1329"/>
      <c r="J12" s="1329"/>
      <c r="K12" s="1330"/>
    </row>
    <row r="13" spans="1:11" s="807" customFormat="1" ht="24" customHeight="1" thickBot="1" thickTop="1">
      <c r="A13" s="815">
        <v>2</v>
      </c>
      <c r="B13" s="1325" t="s">
        <v>930</v>
      </c>
      <c r="C13" s="1326"/>
      <c r="D13" s="1326"/>
      <c r="E13" s="1326"/>
      <c r="F13" s="1326"/>
      <c r="G13" s="1326"/>
      <c r="H13" s="1326"/>
      <c r="I13" s="1326"/>
      <c r="J13" s="1327"/>
      <c r="K13" s="808"/>
    </row>
    <row r="14" spans="1:11" ht="12.75">
      <c r="A14" s="654">
        <v>3</v>
      </c>
      <c r="B14" s="657" t="s">
        <v>833</v>
      </c>
      <c r="C14" s="658">
        <f>SUM(I14+G14+F14+E14+D14)</f>
        <v>0</v>
      </c>
      <c r="D14" s="659">
        <v>0</v>
      </c>
      <c r="E14" s="659">
        <v>0</v>
      </c>
      <c r="F14" s="660"/>
      <c r="G14" s="660"/>
      <c r="H14" s="660"/>
      <c r="I14" s="660"/>
      <c r="J14" s="661">
        <v>0</v>
      </c>
      <c r="K14" s="1318"/>
    </row>
    <row r="15" spans="1:11" ht="13.5" thickBot="1">
      <c r="A15" s="656">
        <v>4</v>
      </c>
      <c r="B15" s="662" t="s">
        <v>834</v>
      </c>
      <c r="C15" s="663">
        <v>7000000</v>
      </c>
      <c r="D15" s="664">
        <v>7000000</v>
      </c>
      <c r="E15" s="665">
        <v>0</v>
      </c>
      <c r="F15" s="666"/>
      <c r="G15" s="666"/>
      <c r="H15" s="666"/>
      <c r="I15" s="666"/>
      <c r="J15" s="667">
        <v>257950</v>
      </c>
      <c r="K15" s="1319"/>
    </row>
    <row r="16" spans="1:11" ht="13.5" thickBot="1">
      <c r="A16" s="656">
        <v>5</v>
      </c>
      <c r="B16" s="668" t="s">
        <v>835</v>
      </c>
      <c r="C16" s="669">
        <f>SUM(I16+G16+F16+E16+D16)</f>
        <v>7000000</v>
      </c>
      <c r="D16" s="670">
        <f aca="true" t="shared" si="0" ref="D16:J16">SUM(D14+D15)</f>
        <v>7000000</v>
      </c>
      <c r="E16" s="670">
        <f t="shared" si="0"/>
        <v>0</v>
      </c>
      <c r="F16" s="671"/>
      <c r="G16" s="671"/>
      <c r="H16" s="672"/>
      <c r="I16" s="673"/>
      <c r="J16" s="674">
        <f t="shared" si="0"/>
        <v>257950</v>
      </c>
      <c r="K16" s="1320"/>
    </row>
    <row r="17" spans="1:11" ht="13.5" thickBot="1">
      <c r="A17" s="656"/>
      <c r="B17" s="1331"/>
      <c r="C17" s="1332"/>
      <c r="D17" s="1333"/>
      <c r="E17" s="1333"/>
      <c r="F17" s="1333"/>
      <c r="G17" s="1333"/>
      <c r="H17" s="1333"/>
      <c r="I17" s="1333"/>
      <c r="J17" s="1334"/>
      <c r="K17" s="655"/>
    </row>
    <row r="18" spans="1:11" ht="12.75">
      <c r="A18" s="675">
        <v>6</v>
      </c>
      <c r="B18" s="676" t="s">
        <v>836</v>
      </c>
      <c r="C18" s="677">
        <v>3150000</v>
      </c>
      <c r="D18" s="659">
        <v>3150000</v>
      </c>
      <c r="E18" s="678">
        <v>0</v>
      </c>
      <c r="F18" s="660"/>
      <c r="G18" s="660"/>
      <c r="H18" s="660"/>
      <c r="I18" s="660"/>
      <c r="J18" s="1318"/>
      <c r="K18" s="661">
        <v>0</v>
      </c>
    </row>
    <row r="19" spans="1:11" ht="13.5" thickBot="1">
      <c r="A19" s="675">
        <v>7</v>
      </c>
      <c r="B19" s="679" t="s">
        <v>837</v>
      </c>
      <c r="C19" s="680">
        <v>3850000</v>
      </c>
      <c r="D19" s="664">
        <f>3850000-257950</f>
        <v>3592050</v>
      </c>
      <c r="E19" s="664">
        <v>257950</v>
      </c>
      <c r="F19" s="666"/>
      <c r="G19" s="666"/>
      <c r="H19" s="666"/>
      <c r="I19" s="666"/>
      <c r="J19" s="1319"/>
      <c r="K19" s="667">
        <v>257950</v>
      </c>
    </row>
    <row r="20" spans="1:11" ht="13.5" thickBot="1">
      <c r="A20" s="681">
        <v>8</v>
      </c>
      <c r="B20" s="682" t="s">
        <v>366</v>
      </c>
      <c r="C20" s="683">
        <f>SUM(C18:C19)</f>
        <v>7000000</v>
      </c>
      <c r="D20" s="684">
        <f>SUM(D18:D19)</f>
        <v>6742050</v>
      </c>
      <c r="E20" s="684">
        <f>SUM(E18:E19)</f>
        <v>257950</v>
      </c>
      <c r="F20" s="671"/>
      <c r="G20" s="671"/>
      <c r="H20" s="672"/>
      <c r="I20" s="673"/>
      <c r="J20" s="1320"/>
      <c r="K20" s="685">
        <f>SUM(K18:K19)</f>
        <v>257950</v>
      </c>
    </row>
    <row r="21" spans="1:11" ht="14.25" thickBot="1" thickTop="1">
      <c r="A21" s="686"/>
      <c r="B21" s="1312"/>
      <c r="C21" s="1313"/>
      <c r="D21" s="1313"/>
      <c r="E21" s="1313"/>
      <c r="F21" s="1313"/>
      <c r="G21" s="1313"/>
      <c r="H21" s="1313"/>
      <c r="I21" s="1313"/>
      <c r="J21" s="1313"/>
      <c r="K21" s="1314"/>
    </row>
    <row r="22" spans="1:11" s="807" customFormat="1" ht="32.25" customHeight="1" thickBot="1" thickTop="1">
      <c r="A22" s="815">
        <v>9</v>
      </c>
      <c r="B22" s="1315" t="s">
        <v>882</v>
      </c>
      <c r="C22" s="1316"/>
      <c r="D22" s="1316"/>
      <c r="E22" s="1316"/>
      <c r="F22" s="1316"/>
      <c r="G22" s="1316"/>
      <c r="H22" s="1316"/>
      <c r="I22" s="1316"/>
      <c r="J22" s="1317"/>
      <c r="K22" s="806"/>
    </row>
    <row r="23" spans="1:11" ht="12.75">
      <c r="A23" s="654">
        <v>10</v>
      </c>
      <c r="B23" s="657" t="s">
        <v>838</v>
      </c>
      <c r="C23" s="687">
        <v>0</v>
      </c>
      <c r="D23" s="688">
        <v>0</v>
      </c>
      <c r="E23" s="688">
        <v>0</v>
      </c>
      <c r="F23" s="688">
        <v>0</v>
      </c>
      <c r="G23" s="688">
        <v>0</v>
      </c>
      <c r="H23" s="688">
        <v>0</v>
      </c>
      <c r="I23" s="688">
        <v>0</v>
      </c>
      <c r="J23" s="661">
        <v>0</v>
      </c>
      <c r="K23" s="1318"/>
    </row>
    <row r="24" spans="1:11" ht="13.5" thickBot="1">
      <c r="A24" s="689">
        <v>11</v>
      </c>
      <c r="B24" s="662" t="s">
        <v>834</v>
      </c>
      <c r="C24" s="690">
        <f>SUM(D24:I24)</f>
        <v>250634800</v>
      </c>
      <c r="D24" s="691">
        <v>16135642</v>
      </c>
      <c r="E24" s="665">
        <v>46899832</v>
      </c>
      <c r="F24" s="665">
        <v>46899832</v>
      </c>
      <c r="G24" s="665">
        <v>46899831</v>
      </c>
      <c r="H24" s="665">
        <v>46899831</v>
      </c>
      <c r="I24" s="665">
        <v>46899832</v>
      </c>
      <c r="J24" s="667">
        <v>63035474</v>
      </c>
      <c r="K24" s="1319"/>
    </row>
    <row r="25" spans="1:11" ht="13.5" thickBot="1">
      <c r="A25" s="656">
        <v>12</v>
      </c>
      <c r="B25" s="668" t="s">
        <v>835</v>
      </c>
      <c r="C25" s="669">
        <f aca="true" t="shared" si="1" ref="C25:J25">SUM(C23:C24)</f>
        <v>250634800</v>
      </c>
      <c r="D25" s="670">
        <f t="shared" si="1"/>
        <v>16135642</v>
      </c>
      <c r="E25" s="670">
        <f t="shared" si="1"/>
        <v>46899832</v>
      </c>
      <c r="F25" s="670">
        <f t="shared" si="1"/>
        <v>46899832</v>
      </c>
      <c r="G25" s="670">
        <f t="shared" si="1"/>
        <v>46899831</v>
      </c>
      <c r="H25" s="670">
        <f t="shared" si="1"/>
        <v>46899831</v>
      </c>
      <c r="I25" s="670">
        <f t="shared" si="1"/>
        <v>46899832</v>
      </c>
      <c r="J25" s="674">
        <f t="shared" si="1"/>
        <v>63035474</v>
      </c>
      <c r="K25" s="1320"/>
    </row>
    <row r="26" spans="1:11" ht="13.5" thickBot="1">
      <c r="A26" s="656"/>
      <c r="B26" s="1321"/>
      <c r="C26" s="1322"/>
      <c r="D26" s="1322"/>
      <c r="E26" s="1322"/>
      <c r="F26" s="1322"/>
      <c r="G26" s="1322"/>
      <c r="H26" s="1322"/>
      <c r="I26" s="1322"/>
      <c r="J26" s="1323"/>
      <c r="K26" s="655"/>
    </row>
    <row r="27" spans="1:11" ht="12.75">
      <c r="A27" s="692">
        <v>13</v>
      </c>
      <c r="B27" s="693" t="s">
        <v>839</v>
      </c>
      <c r="C27" s="677">
        <f>SUM(D27:I27)</f>
        <v>148329760</v>
      </c>
      <c r="D27" s="691">
        <v>8950110</v>
      </c>
      <c r="E27" s="691">
        <v>27875930</v>
      </c>
      <c r="F27" s="691">
        <v>27875930</v>
      </c>
      <c r="G27" s="691">
        <v>27875930</v>
      </c>
      <c r="H27" s="691">
        <v>27875930</v>
      </c>
      <c r="I27" s="691">
        <v>27875930</v>
      </c>
      <c r="J27" s="1318"/>
      <c r="K27" s="661">
        <v>34144480</v>
      </c>
    </row>
    <row r="28" spans="1:11" ht="12.75">
      <c r="A28" s="675">
        <v>14</v>
      </c>
      <c r="B28" s="679" t="s">
        <v>837</v>
      </c>
      <c r="C28" s="680">
        <f>SUM(D28:I28)</f>
        <v>98161421</v>
      </c>
      <c r="D28" s="691">
        <v>7185532</v>
      </c>
      <c r="E28" s="691">
        <f>19023902-2893619-1250000</f>
        <v>14880283</v>
      </c>
      <c r="F28" s="691">
        <v>19023902</v>
      </c>
      <c r="G28" s="691">
        <v>19023901</v>
      </c>
      <c r="H28" s="691">
        <v>19023901</v>
      </c>
      <c r="I28" s="691">
        <v>19023902</v>
      </c>
      <c r="J28" s="1319"/>
      <c r="K28" s="667">
        <f>26209434-2893619-1250000</f>
        <v>22065815</v>
      </c>
    </row>
    <row r="29" spans="1:11" ht="13.5" thickBot="1">
      <c r="A29" s="675">
        <v>15</v>
      </c>
      <c r="B29" s="676" t="s">
        <v>836</v>
      </c>
      <c r="C29" s="705">
        <f>SUM(D29:I29)</f>
        <v>4143619</v>
      </c>
      <c r="D29" s="904"/>
      <c r="E29" s="904">
        <f>2893619+1250000</f>
        <v>4143619</v>
      </c>
      <c r="F29" s="904"/>
      <c r="G29" s="904"/>
      <c r="H29" s="904"/>
      <c r="I29" s="904"/>
      <c r="J29" s="1319"/>
      <c r="K29" s="905">
        <f>2893619+1250000</f>
        <v>4143619</v>
      </c>
    </row>
    <row r="30" spans="1:11" ht="13.5" thickBot="1">
      <c r="A30" s="694">
        <v>16</v>
      </c>
      <c r="B30" s="695" t="s">
        <v>366</v>
      </c>
      <c r="C30" s="683">
        <f aca="true" t="shared" si="2" ref="C30:I30">SUM(C27:C29)</f>
        <v>250634800</v>
      </c>
      <c r="D30" s="696">
        <f t="shared" si="2"/>
        <v>16135642</v>
      </c>
      <c r="E30" s="696">
        <f t="shared" si="2"/>
        <v>46899832</v>
      </c>
      <c r="F30" s="696">
        <f t="shared" si="2"/>
        <v>46899832</v>
      </c>
      <c r="G30" s="696">
        <f t="shared" si="2"/>
        <v>46899831</v>
      </c>
      <c r="H30" s="696">
        <f t="shared" si="2"/>
        <v>46899831</v>
      </c>
      <c r="I30" s="696">
        <f t="shared" si="2"/>
        <v>46899832</v>
      </c>
      <c r="J30" s="1324"/>
      <c r="K30" s="685">
        <f>SUM(K27:K29)</f>
        <v>60353914</v>
      </c>
    </row>
    <row r="31" spans="1:11" ht="14.25" thickBot="1" thickTop="1">
      <c r="A31" s="809"/>
      <c r="B31" s="1312"/>
      <c r="C31" s="1313"/>
      <c r="D31" s="1313"/>
      <c r="E31" s="1313"/>
      <c r="F31" s="1313"/>
      <c r="G31" s="1313"/>
      <c r="H31" s="1313"/>
      <c r="I31" s="1313"/>
      <c r="J31" s="1313"/>
      <c r="K31" s="1314"/>
    </row>
    <row r="32" spans="1:11" s="807" customFormat="1" ht="24" customHeight="1" thickBot="1" thickTop="1">
      <c r="A32" s="815">
        <v>17</v>
      </c>
      <c r="B32" s="1325" t="s">
        <v>840</v>
      </c>
      <c r="C32" s="1326"/>
      <c r="D32" s="1326"/>
      <c r="E32" s="1326"/>
      <c r="F32" s="1326"/>
      <c r="G32" s="1326"/>
      <c r="H32" s="1326"/>
      <c r="I32" s="1326"/>
      <c r="J32" s="1327"/>
      <c r="K32" s="806"/>
    </row>
    <row r="33" spans="1:11" ht="12.75">
      <c r="A33" s="654">
        <v>18</v>
      </c>
      <c r="B33" s="712" t="s">
        <v>838</v>
      </c>
      <c r="C33" s="677">
        <v>0</v>
      </c>
      <c r="D33" s="697">
        <v>0</v>
      </c>
      <c r="E33" s="697">
        <v>0</v>
      </c>
      <c r="F33" s="697">
        <v>0</v>
      </c>
      <c r="G33" s="698"/>
      <c r="H33" s="698"/>
      <c r="I33" s="698"/>
      <c r="J33" s="661">
        <v>151044</v>
      </c>
      <c r="K33" s="1318"/>
    </row>
    <row r="34" spans="1:11" ht="13.5" thickBot="1">
      <c r="A34" s="656">
        <v>19</v>
      </c>
      <c r="B34" s="662" t="s">
        <v>834</v>
      </c>
      <c r="C34" s="680">
        <v>242560000</v>
      </c>
      <c r="D34" s="691">
        <v>242560000</v>
      </c>
      <c r="E34" s="665">
        <v>0</v>
      </c>
      <c r="F34" s="665">
        <v>0</v>
      </c>
      <c r="G34" s="699"/>
      <c r="H34" s="699"/>
      <c r="I34" s="700"/>
      <c r="J34" s="667">
        <v>242490975</v>
      </c>
      <c r="K34" s="1319"/>
    </row>
    <row r="35" spans="1:11" ht="13.5" thickBot="1">
      <c r="A35" s="656">
        <v>20</v>
      </c>
      <c r="B35" s="668" t="s">
        <v>835</v>
      </c>
      <c r="C35" s="669">
        <f aca="true" t="shared" si="3" ref="C35:J35">SUM(C33:C34)</f>
        <v>242560000</v>
      </c>
      <c r="D35" s="670">
        <f t="shared" si="3"/>
        <v>242560000</v>
      </c>
      <c r="E35" s="670">
        <f t="shared" si="3"/>
        <v>0</v>
      </c>
      <c r="F35" s="670">
        <f t="shared" si="3"/>
        <v>0</v>
      </c>
      <c r="G35" s="660"/>
      <c r="H35" s="660"/>
      <c r="I35" s="660"/>
      <c r="J35" s="674">
        <f t="shared" si="3"/>
        <v>242642019</v>
      </c>
      <c r="K35" s="1320"/>
    </row>
    <row r="36" spans="1:11" ht="13.5" thickBot="1">
      <c r="A36" s="656"/>
      <c r="B36" s="1321"/>
      <c r="C36" s="1322"/>
      <c r="D36" s="1322"/>
      <c r="E36" s="1322"/>
      <c r="F36" s="1322"/>
      <c r="G36" s="1322"/>
      <c r="H36" s="1322"/>
      <c r="I36" s="1322"/>
      <c r="J36" s="1323"/>
      <c r="K36" s="655"/>
    </row>
    <row r="37" spans="1:11" ht="12.75">
      <c r="A37" s="675">
        <v>21</v>
      </c>
      <c r="B37" s="693" t="s">
        <v>836</v>
      </c>
      <c r="C37" s="677">
        <f>SUM(E37:F37)</f>
        <v>242560000</v>
      </c>
      <c r="D37" s="701">
        <v>0</v>
      </c>
      <c r="E37" s="659">
        <v>185020000</v>
      </c>
      <c r="F37" s="659">
        <v>57540000</v>
      </c>
      <c r="G37" s="698"/>
      <c r="H37" s="698"/>
      <c r="I37" s="698"/>
      <c r="J37" s="1318"/>
      <c r="K37" s="661">
        <v>242490975</v>
      </c>
    </row>
    <row r="38" spans="1:11" ht="13.5" thickBot="1">
      <c r="A38" s="675">
        <v>22</v>
      </c>
      <c r="B38" s="702" t="s">
        <v>841</v>
      </c>
      <c r="C38" s="680">
        <v>0</v>
      </c>
      <c r="D38" s="703">
        <v>0</v>
      </c>
      <c r="E38" s="703">
        <v>0</v>
      </c>
      <c r="F38" s="703">
        <v>0</v>
      </c>
      <c r="G38" s="699"/>
      <c r="H38" s="699"/>
      <c r="I38" s="700"/>
      <c r="J38" s="1319"/>
      <c r="K38" s="667">
        <v>151044</v>
      </c>
    </row>
    <row r="39" spans="1:11" ht="13.5" thickBot="1">
      <c r="A39" s="694">
        <v>23</v>
      </c>
      <c r="B39" s="695" t="s">
        <v>366</v>
      </c>
      <c r="C39" s="683">
        <f>SUM(C37:C38)</f>
        <v>242560000</v>
      </c>
      <c r="D39" s="696">
        <f>SUM(D37:D38)</f>
        <v>0</v>
      </c>
      <c r="E39" s="696">
        <f>SUM(E37:E38)</f>
        <v>185020000</v>
      </c>
      <c r="F39" s="696">
        <f>SUM(F37:F38)</f>
        <v>57540000</v>
      </c>
      <c r="G39" s="660"/>
      <c r="H39" s="660"/>
      <c r="I39" s="660"/>
      <c r="J39" s="1324"/>
      <c r="K39" s="685">
        <f>SUM(K37:K38)</f>
        <v>242642019</v>
      </c>
    </row>
    <row r="40" spans="1:11" ht="14.25" thickBot="1" thickTop="1">
      <c r="A40" s="809"/>
      <c r="B40" s="1312"/>
      <c r="C40" s="1313"/>
      <c r="D40" s="1313"/>
      <c r="E40" s="1313"/>
      <c r="F40" s="1313"/>
      <c r="G40" s="1313"/>
      <c r="H40" s="1313"/>
      <c r="I40" s="1313"/>
      <c r="J40" s="1313"/>
      <c r="K40" s="1314"/>
    </row>
    <row r="41" spans="1:11" s="807" customFormat="1" ht="24" customHeight="1" thickBot="1" thickTop="1">
      <c r="A41" s="815">
        <v>24</v>
      </c>
      <c r="B41" s="1325" t="s">
        <v>842</v>
      </c>
      <c r="C41" s="1326"/>
      <c r="D41" s="1326"/>
      <c r="E41" s="1326"/>
      <c r="F41" s="1326"/>
      <c r="G41" s="1326"/>
      <c r="H41" s="1326"/>
      <c r="I41" s="1326"/>
      <c r="J41" s="1327"/>
      <c r="K41" s="806"/>
    </row>
    <row r="42" spans="1:11" ht="12.75">
      <c r="A42" s="654">
        <v>25</v>
      </c>
      <c r="B42" s="704" t="s">
        <v>838</v>
      </c>
      <c r="C42" s="677">
        <v>1576053</v>
      </c>
      <c r="D42" s="697">
        <v>1576053</v>
      </c>
      <c r="E42" s="698"/>
      <c r="F42" s="698"/>
      <c r="G42" s="698"/>
      <c r="H42" s="698"/>
      <c r="I42" s="698"/>
      <c r="J42" s="667">
        <f>2500000+850900</f>
        <v>3350900</v>
      </c>
      <c r="K42" s="1318"/>
    </row>
    <row r="43" spans="1:11" ht="13.5" thickBot="1">
      <c r="A43" s="656">
        <v>26</v>
      </c>
      <c r="B43" s="662" t="s">
        <v>834</v>
      </c>
      <c r="C43" s="705">
        <v>19779919</v>
      </c>
      <c r="D43" s="691">
        <v>19779919</v>
      </c>
      <c r="E43" s="699"/>
      <c r="F43" s="699"/>
      <c r="G43" s="699"/>
      <c r="H43" s="699"/>
      <c r="I43" s="700"/>
      <c r="J43" s="667">
        <v>19779919</v>
      </c>
      <c r="K43" s="1319"/>
    </row>
    <row r="44" spans="1:11" ht="13.5" thickBot="1">
      <c r="A44" s="656">
        <v>27</v>
      </c>
      <c r="B44" s="668" t="s">
        <v>835</v>
      </c>
      <c r="C44" s="669">
        <f>SUM(C42:C43)</f>
        <v>21355972</v>
      </c>
      <c r="D44" s="670">
        <f>SUM(D42:D43)</f>
        <v>21355972</v>
      </c>
      <c r="E44" s="706"/>
      <c r="F44" s="706"/>
      <c r="G44" s="706"/>
      <c r="H44" s="706"/>
      <c r="I44" s="707"/>
      <c r="J44" s="674">
        <f>SUM(J42+J43)</f>
        <v>23130819</v>
      </c>
      <c r="K44" s="1320"/>
    </row>
    <row r="45" spans="1:11" ht="13.5" thickBot="1">
      <c r="A45" s="656"/>
      <c r="B45" s="1321"/>
      <c r="C45" s="1322"/>
      <c r="D45" s="1322"/>
      <c r="E45" s="1322"/>
      <c r="F45" s="1322"/>
      <c r="G45" s="1322"/>
      <c r="H45" s="1322"/>
      <c r="I45" s="1322"/>
      <c r="J45" s="1323"/>
      <c r="K45" s="655"/>
    </row>
    <row r="46" spans="1:11" ht="12.75">
      <c r="A46" s="675">
        <v>28</v>
      </c>
      <c r="B46" s="693" t="s">
        <v>843</v>
      </c>
      <c r="C46" s="677">
        <v>20820975</v>
      </c>
      <c r="D46" s="697"/>
      <c r="E46" s="697">
        <v>20820975</v>
      </c>
      <c r="F46" s="698"/>
      <c r="G46" s="698"/>
      <c r="H46" s="698"/>
      <c r="I46" s="698"/>
      <c r="J46" s="1318"/>
      <c r="K46" s="661">
        <f>19779919+52056+989000</f>
        <v>20820975</v>
      </c>
    </row>
    <row r="47" spans="1:11" ht="13.5" thickBot="1">
      <c r="A47" s="675">
        <v>29</v>
      </c>
      <c r="B47" s="702" t="s">
        <v>844</v>
      </c>
      <c r="C47" s="680">
        <v>534997</v>
      </c>
      <c r="D47" s="691"/>
      <c r="E47" s="691">
        <v>534997</v>
      </c>
      <c r="F47" s="699"/>
      <c r="G47" s="699"/>
      <c r="H47" s="699"/>
      <c r="I47" s="700"/>
      <c r="J47" s="1319"/>
      <c r="K47" s="667">
        <f>1458944+850900</f>
        <v>2309844</v>
      </c>
    </row>
    <row r="48" spans="1:11" ht="13.5" thickBot="1">
      <c r="A48" s="694">
        <v>30</v>
      </c>
      <c r="B48" s="695" t="s">
        <v>366</v>
      </c>
      <c r="C48" s="683">
        <f>SUM(C46:C47)</f>
        <v>21355972</v>
      </c>
      <c r="D48" s="696">
        <f>SUM(D46:D47)</f>
        <v>0</v>
      </c>
      <c r="E48" s="696">
        <f>SUM(E46:E47)</f>
        <v>21355972</v>
      </c>
      <c r="F48" s="708"/>
      <c r="G48" s="708"/>
      <c r="H48" s="708"/>
      <c r="I48" s="709"/>
      <c r="J48" s="1320"/>
      <c r="K48" s="685">
        <f>SUM(K45:K47)</f>
        <v>23130819</v>
      </c>
    </row>
    <row r="49" spans="1:11" ht="14.25" thickBot="1" thickTop="1">
      <c r="A49" s="686"/>
      <c r="B49" s="1312"/>
      <c r="C49" s="1313"/>
      <c r="D49" s="1313"/>
      <c r="E49" s="1313"/>
      <c r="F49" s="1313"/>
      <c r="G49" s="1313"/>
      <c r="H49" s="1313"/>
      <c r="I49" s="1313"/>
      <c r="J49" s="1313"/>
      <c r="K49" s="1314"/>
    </row>
    <row r="50" spans="1:11" s="807" customFormat="1" ht="30" customHeight="1" thickBot="1" thickTop="1">
      <c r="A50" s="815">
        <v>31</v>
      </c>
      <c r="B50" s="1315" t="s">
        <v>922</v>
      </c>
      <c r="C50" s="1316"/>
      <c r="D50" s="1316"/>
      <c r="E50" s="1316"/>
      <c r="F50" s="1316"/>
      <c r="G50" s="1316"/>
      <c r="H50" s="1316"/>
      <c r="I50" s="1316"/>
      <c r="J50" s="1317"/>
      <c r="K50" s="806"/>
    </row>
    <row r="51" spans="1:11" ht="12.75">
      <c r="A51" s="654">
        <v>32</v>
      </c>
      <c r="B51" s="657" t="s">
        <v>838</v>
      </c>
      <c r="C51" s="687">
        <v>0</v>
      </c>
      <c r="D51" s="786"/>
      <c r="E51" s="688">
        <v>0</v>
      </c>
      <c r="F51" s="688">
        <v>0</v>
      </c>
      <c r="G51" s="688">
        <v>0</v>
      </c>
      <c r="H51" s="786"/>
      <c r="I51" s="786"/>
      <c r="J51" s="661">
        <v>0</v>
      </c>
      <c r="K51" s="1318"/>
    </row>
    <row r="52" spans="1:11" ht="13.5" thickBot="1">
      <c r="A52" s="689">
        <v>33</v>
      </c>
      <c r="B52" s="662" t="s">
        <v>834</v>
      </c>
      <c r="C52" s="690">
        <v>202321812</v>
      </c>
      <c r="D52" s="787"/>
      <c r="E52" s="665">
        <f>104483115+10976885</f>
        <v>115460000</v>
      </c>
      <c r="F52" s="665">
        <f>86307318-10976885</f>
        <v>75330433</v>
      </c>
      <c r="G52" s="665">
        <v>11531379</v>
      </c>
      <c r="H52" s="787"/>
      <c r="I52" s="787"/>
      <c r="J52" s="667">
        <f>104483115+10976885</f>
        <v>115460000</v>
      </c>
      <c r="K52" s="1319"/>
    </row>
    <row r="53" spans="1:11" ht="13.5" thickBot="1">
      <c r="A53" s="656">
        <v>34</v>
      </c>
      <c r="B53" s="668" t="s">
        <v>835</v>
      </c>
      <c r="C53" s="669">
        <f aca="true" t="shared" si="4" ref="C53:J53">SUM(C51:C52)</f>
        <v>202321812</v>
      </c>
      <c r="D53" s="671"/>
      <c r="E53" s="670">
        <f t="shared" si="4"/>
        <v>115460000</v>
      </c>
      <c r="F53" s="670">
        <f t="shared" si="4"/>
        <v>75330433</v>
      </c>
      <c r="G53" s="670">
        <f t="shared" si="4"/>
        <v>11531379</v>
      </c>
      <c r="H53" s="671"/>
      <c r="I53" s="671"/>
      <c r="J53" s="674">
        <f t="shared" si="4"/>
        <v>115460000</v>
      </c>
      <c r="K53" s="1320"/>
    </row>
    <row r="54" spans="1:11" ht="13.5" thickBot="1">
      <c r="A54" s="656"/>
      <c r="B54" s="1321"/>
      <c r="C54" s="1322"/>
      <c r="D54" s="1322"/>
      <c r="E54" s="1322"/>
      <c r="F54" s="1322"/>
      <c r="G54" s="1322"/>
      <c r="H54" s="1322"/>
      <c r="I54" s="1322"/>
      <c r="J54" s="1323"/>
      <c r="K54" s="655"/>
    </row>
    <row r="55" spans="1:11" ht="12.75">
      <c r="A55" s="692">
        <v>35</v>
      </c>
      <c r="B55" s="693" t="s">
        <v>839</v>
      </c>
      <c r="C55" s="677">
        <v>89908666</v>
      </c>
      <c r="D55" s="790"/>
      <c r="E55" s="659">
        <v>34554203</v>
      </c>
      <c r="F55" s="697">
        <v>44954333</v>
      </c>
      <c r="G55" s="697">
        <v>10400130</v>
      </c>
      <c r="H55" s="790"/>
      <c r="I55" s="790"/>
      <c r="J55" s="1318"/>
      <c r="K55" s="661">
        <f>34554203</f>
        <v>34554203</v>
      </c>
    </row>
    <row r="56" spans="1:11" ht="12.75">
      <c r="A56" s="675">
        <v>36</v>
      </c>
      <c r="B56" s="679" t="s">
        <v>837</v>
      </c>
      <c r="C56" s="788">
        <f>96901455-6000000</f>
        <v>90901455</v>
      </c>
      <c r="D56" s="791"/>
      <c r="E56" s="665">
        <f>54417221+10976885-6000000</f>
        <v>59394106</v>
      </c>
      <c r="F56" s="691">
        <f>41352985-10976885</f>
        <v>30376100</v>
      </c>
      <c r="G56" s="691">
        <v>1131249</v>
      </c>
      <c r="H56" s="791"/>
      <c r="I56" s="791"/>
      <c r="J56" s="1319"/>
      <c r="K56" s="667">
        <f>54417221+10976885-6000000</f>
        <v>59394106</v>
      </c>
    </row>
    <row r="57" spans="1:11" ht="12.75">
      <c r="A57" s="675">
        <v>37</v>
      </c>
      <c r="B57" s="784" t="s">
        <v>836</v>
      </c>
      <c r="C57" s="789">
        <f>8983129+6000000</f>
        <v>14983129</v>
      </c>
      <c r="D57" s="792"/>
      <c r="E57" s="665">
        <f>8983129+6000000</f>
        <v>14983129</v>
      </c>
      <c r="F57" s="691">
        <v>0</v>
      </c>
      <c r="G57" s="691">
        <v>0</v>
      </c>
      <c r="H57" s="792"/>
      <c r="I57" s="792"/>
      <c r="J57" s="1319"/>
      <c r="K57" s="667">
        <f>8983129+6000000</f>
        <v>14983129</v>
      </c>
    </row>
    <row r="58" spans="1:11" ht="13.5" thickBot="1">
      <c r="A58" s="675">
        <v>38</v>
      </c>
      <c r="B58" s="785" t="s">
        <v>843</v>
      </c>
      <c r="C58" s="788">
        <v>6528562</v>
      </c>
      <c r="D58" s="793"/>
      <c r="E58" s="664">
        <v>6528562</v>
      </c>
      <c r="F58" s="794">
        <v>0</v>
      </c>
      <c r="G58" s="794">
        <v>0</v>
      </c>
      <c r="H58" s="793"/>
      <c r="I58" s="793"/>
      <c r="J58" s="1319"/>
      <c r="K58" s="795">
        <v>6528562</v>
      </c>
    </row>
    <row r="59" spans="1:11" ht="13.5" thickBot="1">
      <c r="A59" s="694">
        <v>39</v>
      </c>
      <c r="B59" s="695" t="s">
        <v>366</v>
      </c>
      <c r="C59" s="683">
        <f>SUM(C55:C58)</f>
        <v>202321812</v>
      </c>
      <c r="D59" s="708"/>
      <c r="E59" s="696">
        <f>SUM(E55:E58)</f>
        <v>115460000</v>
      </c>
      <c r="F59" s="696">
        <f>SUM(F55:F58)</f>
        <v>75330433</v>
      </c>
      <c r="G59" s="696">
        <f>SUM(G55:G58)</f>
        <v>11531379</v>
      </c>
      <c r="H59" s="708"/>
      <c r="I59" s="708"/>
      <c r="J59" s="1324"/>
      <c r="K59" s="685">
        <f>SUM(K55:K58)</f>
        <v>115460000</v>
      </c>
    </row>
    <row r="60" spans="1:11" ht="14.25" thickBot="1" thickTop="1">
      <c r="A60" s="686"/>
      <c r="B60" s="1312"/>
      <c r="C60" s="1313"/>
      <c r="D60" s="1313"/>
      <c r="E60" s="1313"/>
      <c r="F60" s="1313"/>
      <c r="G60" s="1313"/>
      <c r="H60" s="1313"/>
      <c r="I60" s="1313"/>
      <c r="J60" s="1313"/>
      <c r="K60" s="1314"/>
    </row>
    <row r="61" spans="1:11" s="807" customFormat="1" ht="30" customHeight="1" thickBot="1" thickTop="1">
      <c r="A61" s="815">
        <v>40</v>
      </c>
      <c r="B61" s="1315" t="s">
        <v>929</v>
      </c>
      <c r="C61" s="1316"/>
      <c r="D61" s="1316"/>
      <c r="E61" s="1316"/>
      <c r="F61" s="1316"/>
      <c r="G61" s="1316"/>
      <c r="H61" s="1316"/>
      <c r="I61" s="1316"/>
      <c r="J61" s="1317"/>
      <c r="K61" s="806"/>
    </row>
    <row r="62" spans="1:11" ht="12.75">
      <c r="A62" s="654">
        <v>41</v>
      </c>
      <c r="B62" s="657" t="s">
        <v>838</v>
      </c>
      <c r="C62" s="687">
        <v>0</v>
      </c>
      <c r="D62" s="786"/>
      <c r="E62" s="688">
        <v>0</v>
      </c>
      <c r="F62" s="688">
        <v>0</v>
      </c>
      <c r="G62" s="688">
        <v>0</v>
      </c>
      <c r="H62" s="688"/>
      <c r="I62" s="786"/>
      <c r="J62" s="661">
        <v>0</v>
      </c>
      <c r="K62" s="1318"/>
    </row>
    <row r="63" spans="1:11" ht="13.5" thickBot="1">
      <c r="A63" s="689">
        <v>42</v>
      </c>
      <c r="B63" s="662" t="s">
        <v>834</v>
      </c>
      <c r="C63" s="690">
        <v>62107135</v>
      </c>
      <c r="D63" s="787"/>
      <c r="E63" s="665">
        <v>32379432</v>
      </c>
      <c r="F63" s="665">
        <v>8244379</v>
      </c>
      <c r="G63" s="665">
        <v>20495112</v>
      </c>
      <c r="H63" s="665">
        <v>988212</v>
      </c>
      <c r="I63" s="787"/>
      <c r="J63" s="667">
        <v>32379432</v>
      </c>
      <c r="K63" s="1319"/>
    </row>
    <row r="64" spans="1:11" ht="13.5" thickBot="1">
      <c r="A64" s="656">
        <v>43</v>
      </c>
      <c r="B64" s="668" t="s">
        <v>835</v>
      </c>
      <c r="C64" s="669">
        <f>SUM(C62:C63)</f>
        <v>62107135</v>
      </c>
      <c r="D64" s="671"/>
      <c r="E64" s="670">
        <f>SUM(E62:E63)</f>
        <v>32379432</v>
      </c>
      <c r="F64" s="670">
        <f>SUM(F62:F63)</f>
        <v>8244379</v>
      </c>
      <c r="G64" s="670">
        <f>SUM(G62:G63)</f>
        <v>20495112</v>
      </c>
      <c r="H64" s="670">
        <f>SUM(H62:H63)</f>
        <v>988212</v>
      </c>
      <c r="I64" s="671"/>
      <c r="J64" s="674">
        <f>SUM(J62:J63)</f>
        <v>32379432</v>
      </c>
      <c r="K64" s="1320"/>
    </row>
    <row r="65" spans="1:11" ht="13.5" thickBot="1">
      <c r="A65" s="656"/>
      <c r="B65" s="1321"/>
      <c r="C65" s="1322"/>
      <c r="D65" s="1322"/>
      <c r="E65" s="1322"/>
      <c r="F65" s="1322"/>
      <c r="G65" s="1322"/>
      <c r="H65" s="1322"/>
      <c r="I65" s="1322"/>
      <c r="J65" s="1323"/>
      <c r="K65" s="655"/>
    </row>
    <row r="66" spans="1:11" ht="12.75">
      <c r="A66" s="692">
        <v>44</v>
      </c>
      <c r="B66" s="693" t="s">
        <v>839</v>
      </c>
      <c r="C66" s="796">
        <f>SUM(E66:H66)</f>
        <v>30232800</v>
      </c>
      <c r="D66" s="790"/>
      <c r="E66" s="659">
        <v>9237800</v>
      </c>
      <c r="F66" s="697">
        <v>10077600</v>
      </c>
      <c r="G66" s="697">
        <v>10077600</v>
      </c>
      <c r="H66" s="697">
        <v>839800</v>
      </c>
      <c r="I66" s="790"/>
      <c r="J66" s="1318"/>
      <c r="K66" s="661">
        <v>15761811</v>
      </c>
    </row>
    <row r="67" spans="1:11" ht="12.75">
      <c r="A67" s="675">
        <v>45</v>
      </c>
      <c r="B67" s="679" t="s">
        <v>837</v>
      </c>
      <c r="C67" s="680">
        <f>SUM(E67:H67)</f>
        <v>28874335</v>
      </c>
      <c r="D67" s="791"/>
      <c r="E67" s="665">
        <v>9980899</v>
      </c>
      <c r="F67" s="691">
        <v>9427512</v>
      </c>
      <c r="G67" s="691">
        <v>9417512</v>
      </c>
      <c r="H67" s="691">
        <v>48412</v>
      </c>
      <c r="I67" s="791"/>
      <c r="J67" s="1319"/>
      <c r="K67" s="667">
        <v>15053577</v>
      </c>
    </row>
    <row r="68" spans="1:11" ht="13.5" thickBot="1">
      <c r="A68" s="675">
        <v>46</v>
      </c>
      <c r="B68" s="784" t="s">
        <v>923</v>
      </c>
      <c r="C68" s="783">
        <f>SUM(E68:H68)</f>
        <v>3000000</v>
      </c>
      <c r="D68" s="792"/>
      <c r="E68" s="665">
        <v>900000</v>
      </c>
      <c r="F68" s="691">
        <v>1000000</v>
      </c>
      <c r="G68" s="691">
        <v>1000000</v>
      </c>
      <c r="H68" s="691">
        <v>100000</v>
      </c>
      <c r="I68" s="792"/>
      <c r="J68" s="1319"/>
      <c r="K68" s="667">
        <v>1564044</v>
      </c>
    </row>
    <row r="69" spans="1:11" ht="13.5" thickBot="1">
      <c r="A69" s="694">
        <v>47</v>
      </c>
      <c r="B69" s="695" t="s">
        <v>366</v>
      </c>
      <c r="C69" s="683">
        <f>SUM(C66:C68)</f>
        <v>62107135</v>
      </c>
      <c r="D69" s="708"/>
      <c r="E69" s="696">
        <f>SUM(E66:E68)</f>
        <v>20118699</v>
      </c>
      <c r="F69" s="696">
        <f>SUM(F66:F68)</f>
        <v>20505112</v>
      </c>
      <c r="G69" s="696">
        <f>SUM(G66:G68)</f>
        <v>20495112</v>
      </c>
      <c r="H69" s="696">
        <f>SUM(H66:H68)</f>
        <v>988212</v>
      </c>
      <c r="I69" s="708"/>
      <c r="J69" s="1324"/>
      <c r="K69" s="685">
        <f>SUM(K66:K68)</f>
        <v>32379432</v>
      </c>
    </row>
    <row r="70" spans="1:11" ht="14.25" thickBot="1" thickTop="1">
      <c r="A70" s="1361"/>
      <c r="B70" s="1362"/>
      <c r="C70" s="1362"/>
      <c r="D70" s="1362"/>
      <c r="E70" s="1362"/>
      <c r="F70" s="1362"/>
      <c r="G70" s="1362"/>
      <c r="H70" s="1362"/>
      <c r="I70" s="1362"/>
      <c r="J70" s="1362"/>
      <c r="K70" s="1363"/>
    </row>
    <row r="71" spans="1:11" s="807" customFormat="1" ht="24" customHeight="1" thickBot="1" thickTop="1">
      <c r="A71" s="815">
        <v>48</v>
      </c>
      <c r="B71" s="1364" t="s">
        <v>1017</v>
      </c>
      <c r="C71" s="1365"/>
      <c r="D71" s="1365"/>
      <c r="E71" s="1365"/>
      <c r="F71" s="1365"/>
      <c r="G71" s="1365"/>
      <c r="H71" s="1365"/>
      <c r="I71" s="1365"/>
      <c r="J71" s="1365"/>
      <c r="K71" s="1366"/>
    </row>
    <row r="72" spans="1:11" ht="12.75">
      <c r="A72" s="654">
        <v>49</v>
      </c>
      <c r="B72" s="712" t="s">
        <v>838</v>
      </c>
      <c r="C72" s="677">
        <v>0</v>
      </c>
      <c r="D72" s="697">
        <v>0</v>
      </c>
      <c r="E72" s="697">
        <v>0</v>
      </c>
      <c r="F72" s="697">
        <v>0</v>
      </c>
      <c r="G72" s="698"/>
      <c r="H72" s="698"/>
      <c r="I72" s="698"/>
      <c r="J72" s="661">
        <v>0</v>
      </c>
      <c r="K72" s="1318"/>
    </row>
    <row r="73" spans="1:11" ht="13.5" thickBot="1">
      <c r="A73" s="656">
        <v>50</v>
      </c>
      <c r="B73" s="662" t="s">
        <v>834</v>
      </c>
      <c r="C73" s="680">
        <v>1920000</v>
      </c>
      <c r="D73" s="691">
        <v>0</v>
      </c>
      <c r="E73" s="665">
        <v>1920000</v>
      </c>
      <c r="F73" s="665">
        <v>0</v>
      </c>
      <c r="G73" s="699"/>
      <c r="H73" s="699"/>
      <c r="I73" s="700"/>
      <c r="J73" s="667">
        <v>1920000</v>
      </c>
      <c r="K73" s="1319"/>
    </row>
    <row r="74" spans="1:11" ht="13.5" thickBot="1">
      <c r="A74" s="656">
        <v>51</v>
      </c>
      <c r="B74" s="668" t="s">
        <v>835</v>
      </c>
      <c r="C74" s="669">
        <f>SUM(C72:C73)</f>
        <v>1920000</v>
      </c>
      <c r="D74" s="670">
        <f>SUM(D72:D73)</f>
        <v>0</v>
      </c>
      <c r="E74" s="670">
        <f>SUM(E72:E73)</f>
        <v>1920000</v>
      </c>
      <c r="F74" s="670">
        <f>SUM(F72:F73)</f>
        <v>0</v>
      </c>
      <c r="G74" s="660"/>
      <c r="H74" s="660"/>
      <c r="I74" s="660"/>
      <c r="J74" s="674">
        <f>SUM(J72:J73)</f>
        <v>1920000</v>
      </c>
      <c r="K74" s="1320"/>
    </row>
    <row r="75" spans="1:11" ht="13.5" thickBot="1">
      <c r="A75" s="656"/>
      <c r="B75" s="1321"/>
      <c r="C75" s="1322"/>
      <c r="D75" s="1322"/>
      <c r="E75" s="1322"/>
      <c r="F75" s="1322"/>
      <c r="G75" s="1322"/>
      <c r="H75" s="1322"/>
      <c r="I75" s="1322"/>
      <c r="J75" s="1323"/>
      <c r="K75" s="655"/>
    </row>
    <row r="76" spans="1:11" ht="12.75">
      <c r="A76" s="675">
        <v>52</v>
      </c>
      <c r="B76" s="693" t="s">
        <v>836</v>
      </c>
      <c r="C76" s="677">
        <v>1920000</v>
      </c>
      <c r="D76" s="701">
        <v>0</v>
      </c>
      <c r="E76" s="659">
        <v>1920000</v>
      </c>
      <c r="F76" s="701">
        <v>0</v>
      </c>
      <c r="G76" s="698"/>
      <c r="H76" s="698"/>
      <c r="I76" s="698"/>
      <c r="J76" s="1318"/>
      <c r="K76" s="661">
        <v>1920000</v>
      </c>
    </row>
    <row r="77" spans="1:11" ht="13.5" thickBot="1">
      <c r="A77" s="675">
        <v>53</v>
      </c>
      <c r="B77" s="702" t="s">
        <v>841</v>
      </c>
      <c r="C77" s="680">
        <v>0</v>
      </c>
      <c r="D77" s="703">
        <v>0</v>
      </c>
      <c r="E77" s="703">
        <v>0</v>
      </c>
      <c r="F77" s="703">
        <v>0</v>
      </c>
      <c r="G77" s="699"/>
      <c r="H77" s="699"/>
      <c r="I77" s="700"/>
      <c r="J77" s="1319"/>
      <c r="K77" s="667">
        <v>0</v>
      </c>
    </row>
    <row r="78" spans="1:11" ht="13.5" thickBot="1">
      <c r="A78" s="694">
        <v>54</v>
      </c>
      <c r="B78" s="695" t="s">
        <v>366</v>
      </c>
      <c r="C78" s="683">
        <f>SUM(C76:C77)</f>
        <v>1920000</v>
      </c>
      <c r="D78" s="696">
        <f>SUM(D76:D77)</f>
        <v>0</v>
      </c>
      <c r="E78" s="696">
        <f>SUM(E76:E77)</f>
        <v>1920000</v>
      </c>
      <c r="F78" s="696">
        <f>SUM(F76:F77)</f>
        <v>0</v>
      </c>
      <c r="G78" s="708"/>
      <c r="H78" s="708"/>
      <c r="I78" s="709"/>
      <c r="J78" s="1324"/>
      <c r="K78" s="685">
        <f>SUM(K76:K77)</f>
        <v>1920000</v>
      </c>
    </row>
    <row r="79" spans="1:11" ht="14.25" thickBot="1" thickTop="1">
      <c r="A79" s="686"/>
      <c r="B79" s="1353"/>
      <c r="C79" s="1354"/>
      <c r="D79" s="1354"/>
      <c r="E79" s="1354"/>
      <c r="F79" s="1354"/>
      <c r="G79" s="1354"/>
      <c r="H79" s="1354"/>
      <c r="I79" s="1354"/>
      <c r="J79" s="1354"/>
      <c r="K79" s="1355"/>
    </row>
    <row r="80" spans="1:11" s="807" customFormat="1" ht="30" customHeight="1" thickBot="1" thickTop="1">
      <c r="A80" s="815">
        <v>55</v>
      </c>
      <c r="B80" s="1358" t="s">
        <v>924</v>
      </c>
      <c r="C80" s="1359"/>
      <c r="D80" s="1359"/>
      <c r="E80" s="1359"/>
      <c r="F80" s="1359"/>
      <c r="G80" s="1359"/>
      <c r="H80" s="1359"/>
      <c r="I80" s="1359"/>
      <c r="J80" s="1359"/>
      <c r="K80" s="1360"/>
    </row>
    <row r="81" spans="1:11" ht="12.75">
      <c r="A81" s="654">
        <v>56</v>
      </c>
      <c r="B81" s="657" t="s">
        <v>838</v>
      </c>
      <c r="C81" s="687">
        <v>0</v>
      </c>
      <c r="D81" s="786"/>
      <c r="E81" s="688">
        <v>0</v>
      </c>
      <c r="F81" s="688">
        <v>0</v>
      </c>
      <c r="G81" s="786"/>
      <c r="H81" s="786"/>
      <c r="I81" s="786"/>
      <c r="J81" s="661">
        <v>0</v>
      </c>
      <c r="K81" s="1318"/>
    </row>
    <row r="82" spans="1:11" ht="13.5" thickBot="1">
      <c r="A82" s="689">
        <v>57</v>
      </c>
      <c r="B82" s="662" t="s">
        <v>834</v>
      </c>
      <c r="C82" s="690">
        <v>25000000</v>
      </c>
      <c r="D82" s="787"/>
      <c r="E82" s="665">
        <v>20269866</v>
      </c>
      <c r="F82" s="665">
        <v>4730134</v>
      </c>
      <c r="G82" s="787"/>
      <c r="H82" s="787"/>
      <c r="I82" s="787"/>
      <c r="J82" s="667">
        <v>20269866</v>
      </c>
      <c r="K82" s="1319"/>
    </row>
    <row r="83" spans="1:11" ht="13.5" thickBot="1">
      <c r="A83" s="656">
        <v>58</v>
      </c>
      <c r="B83" s="668" t="s">
        <v>835</v>
      </c>
      <c r="C83" s="669">
        <f>SUM(C81:C82)</f>
        <v>25000000</v>
      </c>
      <c r="D83" s="671"/>
      <c r="E83" s="670">
        <f>SUM(E81:E82)</f>
        <v>20269866</v>
      </c>
      <c r="F83" s="670">
        <f>SUM(F81:F82)</f>
        <v>4730134</v>
      </c>
      <c r="G83" s="671"/>
      <c r="H83" s="671"/>
      <c r="I83" s="671"/>
      <c r="J83" s="674">
        <f>SUM(J81:J82)</f>
        <v>20269866</v>
      </c>
      <c r="K83" s="1320"/>
    </row>
    <row r="84" spans="1:11" ht="13.5" thickBot="1">
      <c r="A84" s="656"/>
      <c r="B84" s="1321"/>
      <c r="C84" s="1322"/>
      <c r="D84" s="1322"/>
      <c r="E84" s="1322"/>
      <c r="F84" s="1322"/>
      <c r="G84" s="1322"/>
      <c r="H84" s="1322"/>
      <c r="I84" s="1322"/>
      <c r="J84" s="1323"/>
      <c r="K84" s="655"/>
    </row>
    <row r="85" spans="1:11" ht="12.75">
      <c r="A85" s="692">
        <v>59</v>
      </c>
      <c r="B85" s="693" t="s">
        <v>839</v>
      </c>
      <c r="C85" s="796">
        <f>SUM(E85:H85)</f>
        <v>8483294</v>
      </c>
      <c r="D85" s="790"/>
      <c r="E85" s="659">
        <v>4435163</v>
      </c>
      <c r="F85" s="697">
        <v>4048131</v>
      </c>
      <c r="G85" s="790"/>
      <c r="H85" s="790"/>
      <c r="I85" s="790"/>
      <c r="J85" s="1318"/>
      <c r="K85" s="661">
        <v>4435163</v>
      </c>
    </row>
    <row r="86" spans="1:11" ht="12.75">
      <c r="A86" s="675">
        <v>60</v>
      </c>
      <c r="B86" s="679" t="s">
        <v>837</v>
      </c>
      <c r="C86" s="680">
        <f>SUM(E86:H86)</f>
        <v>14019606</v>
      </c>
      <c r="D86" s="791"/>
      <c r="E86" s="665">
        <v>9556414</v>
      </c>
      <c r="F86" s="691">
        <v>4463192</v>
      </c>
      <c r="G86" s="791"/>
      <c r="H86" s="791"/>
      <c r="I86" s="791"/>
      <c r="J86" s="1319"/>
      <c r="K86" s="667">
        <v>13337603</v>
      </c>
    </row>
    <row r="87" spans="1:11" ht="13.5" thickBot="1">
      <c r="A87" s="675">
        <v>61</v>
      </c>
      <c r="B87" s="784" t="s">
        <v>836</v>
      </c>
      <c r="C87" s="783">
        <f>SUM(E87:H87)</f>
        <v>2497100</v>
      </c>
      <c r="D87" s="792"/>
      <c r="E87" s="665">
        <v>2497100</v>
      </c>
      <c r="F87" s="691">
        <v>0</v>
      </c>
      <c r="G87" s="792"/>
      <c r="H87" s="792"/>
      <c r="I87" s="792"/>
      <c r="J87" s="1319"/>
      <c r="K87" s="667">
        <v>2497100</v>
      </c>
    </row>
    <row r="88" spans="1:11" ht="13.5" thickBot="1">
      <c r="A88" s="694">
        <v>62</v>
      </c>
      <c r="B88" s="695" t="s">
        <v>366</v>
      </c>
      <c r="C88" s="683">
        <f>SUM(C85:C87)</f>
        <v>25000000</v>
      </c>
      <c r="D88" s="708"/>
      <c r="E88" s="696">
        <f>SUM(E85:E87)</f>
        <v>16488677</v>
      </c>
      <c r="F88" s="696">
        <f>SUM(F85:F87)</f>
        <v>8511323</v>
      </c>
      <c r="G88" s="708"/>
      <c r="H88" s="708"/>
      <c r="I88" s="708"/>
      <c r="J88" s="1324"/>
      <c r="K88" s="685">
        <f>SUM(K85:K87)</f>
        <v>20269866</v>
      </c>
    </row>
    <row r="89" spans="1:11" ht="14.25" thickBot="1" thickTop="1">
      <c r="A89" s="656"/>
      <c r="B89" s="1321"/>
      <c r="C89" s="1322"/>
      <c r="D89" s="1322"/>
      <c r="E89" s="1322"/>
      <c r="F89" s="1322"/>
      <c r="G89" s="1322"/>
      <c r="H89" s="1322"/>
      <c r="I89" s="1322"/>
      <c r="J89" s="1323"/>
      <c r="K89" s="655"/>
    </row>
    <row r="90" spans="1:11" s="807" customFormat="1" ht="24" customHeight="1" thickBot="1" thickTop="1">
      <c r="A90" s="815">
        <v>63</v>
      </c>
      <c r="B90" s="1325" t="s">
        <v>1126</v>
      </c>
      <c r="C90" s="1326"/>
      <c r="D90" s="1326"/>
      <c r="E90" s="1326"/>
      <c r="F90" s="1326"/>
      <c r="G90" s="1326"/>
      <c r="H90" s="1326"/>
      <c r="I90" s="1326"/>
      <c r="J90" s="1327"/>
      <c r="K90" s="806"/>
    </row>
    <row r="91" spans="1:11" ht="12.75">
      <c r="A91" s="654">
        <v>64</v>
      </c>
      <c r="B91" s="712" t="s">
        <v>838</v>
      </c>
      <c r="C91" s="677">
        <v>0</v>
      </c>
      <c r="D91" s="792"/>
      <c r="E91" s="659">
        <v>0</v>
      </c>
      <c r="F91" s="697">
        <v>0</v>
      </c>
      <c r="G91" s="697">
        <v>0</v>
      </c>
      <c r="H91" s="698"/>
      <c r="I91" s="698"/>
      <c r="J91" s="661">
        <v>0</v>
      </c>
      <c r="K91" s="1318"/>
    </row>
    <row r="92" spans="1:11" ht="13.5" thickBot="1">
      <c r="A92" s="656">
        <v>65</v>
      </c>
      <c r="B92" s="662" t="s">
        <v>834</v>
      </c>
      <c r="C92" s="680">
        <v>196302400</v>
      </c>
      <c r="D92" s="792"/>
      <c r="E92" s="665">
        <v>196302400</v>
      </c>
      <c r="F92" s="665">
        <v>0</v>
      </c>
      <c r="G92" s="665">
        <v>0</v>
      </c>
      <c r="H92" s="699"/>
      <c r="I92" s="700"/>
      <c r="J92" s="667">
        <f>3832400+192470000</f>
        <v>196302400</v>
      </c>
      <c r="K92" s="1319"/>
    </row>
    <row r="93" spans="1:11" ht="13.5" thickBot="1">
      <c r="A93" s="656">
        <v>66</v>
      </c>
      <c r="B93" s="668" t="s">
        <v>835</v>
      </c>
      <c r="C93" s="669">
        <f>SUM(C91:C92)</f>
        <v>196302400</v>
      </c>
      <c r="D93" s="706"/>
      <c r="E93" s="670">
        <f>SUM(E91:E92)</f>
        <v>196302400</v>
      </c>
      <c r="F93" s="670">
        <f>SUM(F91:F92)</f>
        <v>0</v>
      </c>
      <c r="G93" s="670">
        <f>SUM(G91:G92)</f>
        <v>0</v>
      </c>
      <c r="H93" s="706"/>
      <c r="I93" s="707"/>
      <c r="J93" s="674">
        <f>SUM(J91:J92)</f>
        <v>196302400</v>
      </c>
      <c r="K93" s="1320"/>
    </row>
    <row r="94" spans="1:11" ht="13.5" thickBot="1">
      <c r="A94" s="656"/>
      <c r="B94" s="1321"/>
      <c r="C94" s="1322"/>
      <c r="D94" s="1322"/>
      <c r="E94" s="1322"/>
      <c r="F94" s="1322"/>
      <c r="G94" s="1322"/>
      <c r="H94" s="1322"/>
      <c r="I94" s="1322"/>
      <c r="J94" s="1323"/>
      <c r="K94" s="655"/>
    </row>
    <row r="95" spans="1:11" ht="12.75">
      <c r="A95" s="675">
        <v>67</v>
      </c>
      <c r="B95" s="693" t="s">
        <v>836</v>
      </c>
      <c r="C95" s="677">
        <f>SUM(E95:G95)</f>
        <v>196302400</v>
      </c>
      <c r="D95" s="791"/>
      <c r="E95" s="659">
        <v>7932399</v>
      </c>
      <c r="F95" s="659">
        <v>88889915</v>
      </c>
      <c r="G95" s="659">
        <v>99480086</v>
      </c>
      <c r="H95" s="698"/>
      <c r="I95" s="698"/>
      <c r="J95" s="1318"/>
      <c r="K95" s="661">
        <f>3832400+192470000</f>
        <v>196302400</v>
      </c>
    </row>
    <row r="96" spans="1:11" ht="13.5" thickBot="1">
      <c r="A96" s="675">
        <v>68</v>
      </c>
      <c r="B96" s="702" t="s">
        <v>841</v>
      </c>
      <c r="C96" s="680">
        <v>0</v>
      </c>
      <c r="D96" s="792"/>
      <c r="E96" s="703">
        <v>0</v>
      </c>
      <c r="F96" s="703">
        <v>0</v>
      </c>
      <c r="G96" s="703">
        <v>0</v>
      </c>
      <c r="H96" s="699"/>
      <c r="I96" s="700"/>
      <c r="J96" s="1319"/>
      <c r="K96" s="667">
        <v>0</v>
      </c>
    </row>
    <row r="97" spans="1:11" ht="13.5" thickBot="1">
      <c r="A97" s="694">
        <v>69</v>
      </c>
      <c r="B97" s="695" t="s">
        <v>366</v>
      </c>
      <c r="C97" s="683">
        <f>SUM(C95:C96)</f>
        <v>196302400</v>
      </c>
      <c r="D97" s="708"/>
      <c r="E97" s="696">
        <f>SUM(E95:E96)</f>
        <v>7932399</v>
      </c>
      <c r="F97" s="696">
        <f>SUM(F95:F96)</f>
        <v>88889915</v>
      </c>
      <c r="G97" s="696">
        <f>SUM(G95:G96)</f>
        <v>99480086</v>
      </c>
      <c r="H97" s="708"/>
      <c r="I97" s="708"/>
      <c r="J97" s="1324"/>
      <c r="K97" s="685">
        <f>SUM(K95:K96)</f>
        <v>196302400</v>
      </c>
    </row>
    <row r="98" spans="1:11" ht="14.25" thickBot="1" thickTop="1">
      <c r="A98" s="656"/>
      <c r="B98" s="1321"/>
      <c r="C98" s="1322"/>
      <c r="D98" s="1322"/>
      <c r="E98" s="1322"/>
      <c r="F98" s="1322"/>
      <c r="G98" s="1322"/>
      <c r="H98" s="1322"/>
      <c r="I98" s="1322"/>
      <c r="J98" s="1323"/>
      <c r="K98" s="655"/>
    </row>
    <row r="99" spans="1:11" s="807" customFormat="1" ht="24" customHeight="1" thickBot="1" thickTop="1">
      <c r="A99" s="815">
        <v>70</v>
      </c>
      <c r="B99" s="1325" t="s">
        <v>1127</v>
      </c>
      <c r="C99" s="1326"/>
      <c r="D99" s="1326"/>
      <c r="E99" s="1326"/>
      <c r="F99" s="1326"/>
      <c r="G99" s="1326"/>
      <c r="H99" s="1326"/>
      <c r="I99" s="1326"/>
      <c r="J99" s="1327"/>
      <c r="K99" s="806"/>
    </row>
    <row r="100" spans="1:11" ht="12.75">
      <c r="A100" s="654">
        <v>71</v>
      </c>
      <c r="B100" s="712" t="s">
        <v>838</v>
      </c>
      <c r="C100" s="677">
        <v>0</v>
      </c>
      <c r="D100" s="792"/>
      <c r="E100" s="659">
        <v>0</v>
      </c>
      <c r="F100" s="697">
        <v>0</v>
      </c>
      <c r="G100" s="698"/>
      <c r="H100" s="698"/>
      <c r="I100" s="698"/>
      <c r="J100" s="661">
        <v>0</v>
      </c>
      <c r="K100" s="1318"/>
    </row>
    <row r="101" spans="1:11" ht="13.5" thickBot="1">
      <c r="A101" s="656">
        <v>72</v>
      </c>
      <c r="B101" s="662" t="s">
        <v>834</v>
      </c>
      <c r="C101" s="680">
        <v>437625000</v>
      </c>
      <c r="D101" s="792"/>
      <c r="E101" s="665">
        <v>437625000</v>
      </c>
      <c r="F101" s="665">
        <v>0</v>
      </c>
      <c r="G101" s="699"/>
      <c r="H101" s="699"/>
      <c r="I101" s="700"/>
      <c r="J101" s="667">
        <v>17861888</v>
      </c>
      <c r="K101" s="1319"/>
    </row>
    <row r="102" spans="1:11" ht="13.5" thickBot="1">
      <c r="A102" s="656">
        <v>73</v>
      </c>
      <c r="B102" s="668" t="s">
        <v>835</v>
      </c>
      <c r="C102" s="669">
        <f>SUM(C100:C101)</f>
        <v>437625000</v>
      </c>
      <c r="D102" s="706"/>
      <c r="E102" s="670">
        <f>SUM(E100:E101)</f>
        <v>437625000</v>
      </c>
      <c r="F102" s="670">
        <f>SUM(F100:F101)</f>
        <v>0</v>
      </c>
      <c r="G102" s="706"/>
      <c r="H102" s="706"/>
      <c r="I102" s="707"/>
      <c r="J102" s="674">
        <f>SUM(J100:J101)</f>
        <v>17861888</v>
      </c>
      <c r="K102" s="1320"/>
    </row>
    <row r="103" spans="1:11" ht="13.5" thickBot="1">
      <c r="A103" s="656"/>
      <c r="B103" s="1321"/>
      <c r="C103" s="1322"/>
      <c r="D103" s="1322"/>
      <c r="E103" s="1322"/>
      <c r="F103" s="1322"/>
      <c r="G103" s="1322"/>
      <c r="H103" s="1322"/>
      <c r="I103" s="1322"/>
      <c r="J103" s="1323"/>
      <c r="K103" s="655"/>
    </row>
    <row r="104" spans="1:11" ht="12.75">
      <c r="A104" s="675">
        <v>74</v>
      </c>
      <c r="B104" s="693" t="s">
        <v>836</v>
      </c>
      <c r="C104" s="677">
        <v>437625000</v>
      </c>
      <c r="D104" s="791"/>
      <c r="E104" s="659">
        <v>25736888</v>
      </c>
      <c r="F104" s="659">
        <v>411888112</v>
      </c>
      <c r="G104" s="698"/>
      <c r="H104" s="698"/>
      <c r="I104" s="698"/>
      <c r="J104" s="1318"/>
      <c r="K104" s="661">
        <v>17861888</v>
      </c>
    </row>
    <row r="105" spans="1:11" ht="13.5" thickBot="1">
      <c r="A105" s="675">
        <v>75</v>
      </c>
      <c r="B105" s="702" t="s">
        <v>841</v>
      </c>
      <c r="C105" s="680">
        <v>0</v>
      </c>
      <c r="D105" s="792"/>
      <c r="E105" s="703">
        <v>0</v>
      </c>
      <c r="F105" s="703">
        <v>0</v>
      </c>
      <c r="G105" s="699"/>
      <c r="H105" s="699"/>
      <c r="I105" s="700"/>
      <c r="J105" s="1319"/>
      <c r="K105" s="667">
        <v>0</v>
      </c>
    </row>
    <row r="106" spans="1:11" ht="13.5" thickBot="1">
      <c r="A106" s="694">
        <v>76</v>
      </c>
      <c r="B106" s="695" t="s">
        <v>366</v>
      </c>
      <c r="C106" s="683">
        <f>SUM(C104:C105)</f>
        <v>437625000</v>
      </c>
      <c r="D106" s="708"/>
      <c r="E106" s="696">
        <f>SUM(E104:E105)</f>
        <v>25736888</v>
      </c>
      <c r="F106" s="696">
        <f>SUM(F104:F105)</f>
        <v>411888112</v>
      </c>
      <c r="G106" s="708"/>
      <c r="H106" s="708"/>
      <c r="I106" s="708"/>
      <c r="J106" s="1324"/>
      <c r="K106" s="685">
        <f>SUM(K104:K105)</f>
        <v>17861888</v>
      </c>
    </row>
    <row r="107" spans="1:11" ht="14.25" thickBot="1" thickTop="1">
      <c r="A107" s="656"/>
      <c r="B107" s="1321"/>
      <c r="C107" s="1322"/>
      <c r="D107" s="1322"/>
      <c r="E107" s="1322"/>
      <c r="F107" s="1322"/>
      <c r="G107" s="1322"/>
      <c r="H107" s="1322"/>
      <c r="I107" s="1322"/>
      <c r="J107" s="1323"/>
      <c r="K107" s="655"/>
    </row>
    <row r="108" spans="1:11" s="807" customFormat="1" ht="24" customHeight="1" thickBot="1" thickTop="1">
      <c r="A108" s="815">
        <v>77</v>
      </c>
      <c r="B108" s="1325" t="s">
        <v>1128</v>
      </c>
      <c r="C108" s="1326"/>
      <c r="D108" s="1326"/>
      <c r="E108" s="1326"/>
      <c r="F108" s="1326"/>
      <c r="G108" s="1326"/>
      <c r="H108" s="1326"/>
      <c r="I108" s="1326"/>
      <c r="J108" s="1327"/>
      <c r="K108" s="806"/>
    </row>
    <row r="109" spans="1:11" ht="12.75">
      <c r="A109" s="654">
        <v>78</v>
      </c>
      <c r="B109" s="712" t="s">
        <v>838</v>
      </c>
      <c r="C109" s="677">
        <v>0</v>
      </c>
      <c r="D109" s="792"/>
      <c r="E109" s="659">
        <v>0</v>
      </c>
      <c r="F109" s="697">
        <v>0</v>
      </c>
      <c r="G109" s="697">
        <v>0</v>
      </c>
      <c r="H109" s="698"/>
      <c r="I109" s="698"/>
      <c r="J109" s="661">
        <v>0</v>
      </c>
      <c r="K109" s="1318"/>
    </row>
    <row r="110" spans="1:11" ht="13.5" thickBot="1">
      <c r="A110" s="656">
        <v>79</v>
      </c>
      <c r="B110" s="662" t="s">
        <v>834</v>
      </c>
      <c r="C110" s="680">
        <v>100000000</v>
      </c>
      <c r="D110" s="792"/>
      <c r="E110" s="665">
        <v>100000000</v>
      </c>
      <c r="F110" s="665">
        <v>0</v>
      </c>
      <c r="G110" s="665">
        <v>0</v>
      </c>
      <c r="H110" s="699"/>
      <c r="I110" s="700"/>
      <c r="J110" s="667">
        <v>100000000</v>
      </c>
      <c r="K110" s="1319"/>
    </row>
    <row r="111" spans="1:11" ht="13.5" thickBot="1">
      <c r="A111" s="656">
        <v>80</v>
      </c>
      <c r="B111" s="668" t="s">
        <v>835</v>
      </c>
      <c r="C111" s="669">
        <f>SUM(C109:C110)</f>
        <v>100000000</v>
      </c>
      <c r="D111" s="706"/>
      <c r="E111" s="670">
        <f>SUM(E109:E110)</f>
        <v>100000000</v>
      </c>
      <c r="F111" s="670">
        <f>SUM(F109:F110)</f>
        <v>0</v>
      </c>
      <c r="G111" s="670">
        <f>SUM(G109:G110)</f>
        <v>0</v>
      </c>
      <c r="H111" s="706"/>
      <c r="I111" s="707"/>
      <c r="J111" s="674">
        <f>SUM(J109:J110)</f>
        <v>100000000</v>
      </c>
      <c r="K111" s="1320"/>
    </row>
    <row r="112" spans="1:11" ht="13.5" thickBot="1">
      <c r="A112" s="656"/>
      <c r="B112" s="1321"/>
      <c r="C112" s="1322"/>
      <c r="D112" s="1322"/>
      <c r="E112" s="1322"/>
      <c r="F112" s="1322"/>
      <c r="G112" s="1322"/>
      <c r="H112" s="1322"/>
      <c r="I112" s="1322"/>
      <c r="J112" s="1323"/>
      <c r="K112" s="655"/>
    </row>
    <row r="113" spans="1:11" ht="12.75">
      <c r="A113" s="675">
        <v>81</v>
      </c>
      <c r="B113" s="693" t="s">
        <v>843</v>
      </c>
      <c r="C113" s="677">
        <f>SUM(E113:G113)</f>
        <v>100000000</v>
      </c>
      <c r="D113" s="791"/>
      <c r="E113" s="659">
        <v>7993900</v>
      </c>
      <c r="F113" s="659">
        <v>80195100</v>
      </c>
      <c r="G113" s="659">
        <v>11811000</v>
      </c>
      <c r="H113" s="698"/>
      <c r="I113" s="698"/>
      <c r="J113" s="1318"/>
      <c r="K113" s="661">
        <v>97606050</v>
      </c>
    </row>
    <row r="114" spans="1:11" ht="13.5" thickBot="1">
      <c r="A114" s="675">
        <v>82</v>
      </c>
      <c r="B114" s="702" t="s">
        <v>844</v>
      </c>
      <c r="C114" s="680">
        <v>0</v>
      </c>
      <c r="D114" s="792"/>
      <c r="E114" s="703">
        <v>0</v>
      </c>
      <c r="F114" s="703">
        <v>0</v>
      </c>
      <c r="G114" s="703">
        <v>0</v>
      </c>
      <c r="H114" s="699"/>
      <c r="I114" s="700"/>
      <c r="J114" s="1319"/>
      <c r="K114" s="667">
        <v>0</v>
      </c>
    </row>
    <row r="115" spans="1:11" ht="13.5" thickBot="1">
      <c r="A115" s="694">
        <v>83</v>
      </c>
      <c r="B115" s="695" t="s">
        <v>366</v>
      </c>
      <c r="C115" s="683">
        <f>SUM(C113:C114)</f>
        <v>100000000</v>
      </c>
      <c r="D115" s="708"/>
      <c r="E115" s="696">
        <f>SUM(E113:E114)</f>
        <v>7993900</v>
      </c>
      <c r="F115" s="696">
        <f>SUM(F113:F114)</f>
        <v>80195100</v>
      </c>
      <c r="G115" s="696">
        <f>SUM(G113:G114)</f>
        <v>11811000</v>
      </c>
      <c r="H115" s="708"/>
      <c r="I115" s="708"/>
      <c r="J115" s="1324"/>
      <c r="K115" s="685">
        <f>SUM(K113:K114)</f>
        <v>97606050</v>
      </c>
    </row>
    <row r="116" spans="1:11" ht="14.25" thickBot="1" thickTop="1">
      <c r="A116" s="656"/>
      <c r="B116" s="1321"/>
      <c r="C116" s="1322"/>
      <c r="D116" s="1322"/>
      <c r="E116" s="1322"/>
      <c r="F116" s="1322"/>
      <c r="G116" s="1322"/>
      <c r="H116" s="1322"/>
      <c r="I116" s="1322"/>
      <c r="J116" s="1323"/>
      <c r="K116" s="655"/>
    </row>
    <row r="117" spans="1:11" s="807" customFormat="1" ht="24" customHeight="1" thickBot="1" thickTop="1">
      <c r="A117" s="815">
        <v>84</v>
      </c>
      <c r="B117" s="1325" t="s">
        <v>1129</v>
      </c>
      <c r="C117" s="1326"/>
      <c r="D117" s="1326"/>
      <c r="E117" s="1326"/>
      <c r="F117" s="1326"/>
      <c r="G117" s="1326"/>
      <c r="H117" s="1326"/>
      <c r="I117" s="1326"/>
      <c r="J117" s="1327"/>
      <c r="K117" s="806"/>
    </row>
    <row r="118" spans="1:11" ht="12.75">
      <c r="A118" s="654">
        <v>85</v>
      </c>
      <c r="B118" s="712" t="s">
        <v>838</v>
      </c>
      <c r="C118" s="677">
        <v>0</v>
      </c>
      <c r="D118" s="792"/>
      <c r="E118" s="659">
        <v>0</v>
      </c>
      <c r="F118" s="697">
        <v>0</v>
      </c>
      <c r="G118" s="698"/>
      <c r="H118" s="698"/>
      <c r="I118" s="698"/>
      <c r="J118" s="661">
        <v>0</v>
      </c>
      <c r="K118" s="1318"/>
    </row>
    <row r="119" spans="1:11" ht="13.5" thickBot="1">
      <c r="A119" s="656">
        <v>86</v>
      </c>
      <c r="B119" s="662" t="s">
        <v>834</v>
      </c>
      <c r="C119" s="680">
        <v>118000000</v>
      </c>
      <c r="D119" s="792"/>
      <c r="E119" s="665">
        <v>112219000</v>
      </c>
      <c r="F119" s="665">
        <v>5781000</v>
      </c>
      <c r="G119" s="699"/>
      <c r="H119" s="699"/>
      <c r="I119" s="700"/>
      <c r="J119" s="667">
        <v>112219000</v>
      </c>
      <c r="K119" s="1319"/>
    </row>
    <row r="120" spans="1:11" ht="13.5" thickBot="1">
      <c r="A120" s="656">
        <v>87</v>
      </c>
      <c r="B120" s="668" t="s">
        <v>835</v>
      </c>
      <c r="C120" s="669">
        <f>SUM(C118:C119)</f>
        <v>118000000</v>
      </c>
      <c r="D120" s="706"/>
      <c r="E120" s="670">
        <f>SUM(E118:E119)</f>
        <v>112219000</v>
      </c>
      <c r="F120" s="670">
        <f>SUM(F118:F119)</f>
        <v>5781000</v>
      </c>
      <c r="G120" s="706"/>
      <c r="H120" s="706"/>
      <c r="I120" s="707"/>
      <c r="J120" s="674">
        <f>SUM(J118:J119)</f>
        <v>112219000</v>
      </c>
      <c r="K120" s="1320"/>
    </row>
    <row r="121" spans="1:11" ht="13.5" thickBot="1">
      <c r="A121" s="656"/>
      <c r="B121" s="1321"/>
      <c r="C121" s="1322"/>
      <c r="D121" s="1322"/>
      <c r="E121" s="1322"/>
      <c r="F121" s="1322"/>
      <c r="G121" s="1322"/>
      <c r="H121" s="1322"/>
      <c r="I121" s="1322"/>
      <c r="J121" s="1323"/>
      <c r="K121" s="655"/>
    </row>
    <row r="122" spans="1:11" ht="12.75">
      <c r="A122" s="675">
        <v>88</v>
      </c>
      <c r="B122" s="693" t="s">
        <v>836</v>
      </c>
      <c r="C122" s="677">
        <f>SUM(E122:G122)</f>
        <v>118000000</v>
      </c>
      <c r="D122" s="791"/>
      <c r="E122" s="659">
        <v>118000000</v>
      </c>
      <c r="F122" s="659">
        <v>0</v>
      </c>
      <c r="G122" s="698"/>
      <c r="H122" s="698"/>
      <c r="I122" s="698"/>
      <c r="J122" s="1318"/>
      <c r="K122" s="661">
        <v>111619000</v>
      </c>
    </row>
    <row r="123" spans="1:11" ht="13.5" thickBot="1">
      <c r="A123" s="675">
        <v>89</v>
      </c>
      <c r="B123" s="702" t="s">
        <v>841</v>
      </c>
      <c r="C123" s="680">
        <v>0</v>
      </c>
      <c r="D123" s="792"/>
      <c r="E123" s="703">
        <v>0</v>
      </c>
      <c r="F123" s="703">
        <v>0</v>
      </c>
      <c r="G123" s="699"/>
      <c r="H123" s="699"/>
      <c r="I123" s="700"/>
      <c r="J123" s="1319"/>
      <c r="K123" s="667">
        <v>0</v>
      </c>
    </row>
    <row r="124" spans="1:11" ht="13.5" thickBot="1">
      <c r="A124" s="694">
        <v>90</v>
      </c>
      <c r="B124" s="695" t="s">
        <v>366</v>
      </c>
      <c r="C124" s="683">
        <f>SUM(C122:C123)</f>
        <v>118000000</v>
      </c>
      <c r="D124" s="708"/>
      <c r="E124" s="696">
        <f>SUM(E122:E123)</f>
        <v>118000000</v>
      </c>
      <c r="F124" s="696">
        <f>SUM(F122:F123)</f>
        <v>0</v>
      </c>
      <c r="G124" s="708"/>
      <c r="H124" s="708"/>
      <c r="I124" s="708"/>
      <c r="J124" s="1324"/>
      <c r="K124" s="685">
        <f>SUM(K122:K123)</f>
        <v>111619000</v>
      </c>
    </row>
    <row r="125" spans="1:11" ht="14.25" thickBot="1" thickTop="1">
      <c r="A125" s="929"/>
      <c r="B125" s="930"/>
      <c r="C125" s="931"/>
      <c r="D125" s="932"/>
      <c r="E125" s="933"/>
      <c r="F125" s="933"/>
      <c r="G125" s="932"/>
      <c r="H125" s="932"/>
      <c r="I125" s="932"/>
      <c r="J125" s="934"/>
      <c r="K125" s="935"/>
    </row>
    <row r="126" spans="1:11" s="807" customFormat="1" ht="24" customHeight="1" thickBot="1" thickTop="1">
      <c r="A126" s="815">
        <v>77</v>
      </c>
      <c r="B126" s="1325" t="s">
        <v>1194</v>
      </c>
      <c r="C126" s="1326"/>
      <c r="D126" s="1326"/>
      <c r="E126" s="1326"/>
      <c r="F126" s="1326"/>
      <c r="G126" s="1326"/>
      <c r="H126" s="1326"/>
      <c r="I126" s="1326"/>
      <c r="J126" s="1327"/>
      <c r="K126" s="806"/>
    </row>
    <row r="127" spans="1:11" ht="12.75">
      <c r="A127" s="654">
        <v>78</v>
      </c>
      <c r="B127" s="712" t="s">
        <v>838</v>
      </c>
      <c r="C127" s="677">
        <v>0</v>
      </c>
      <c r="D127" s="792"/>
      <c r="E127" s="659">
        <v>0</v>
      </c>
      <c r="F127" s="697">
        <v>0</v>
      </c>
      <c r="G127" s="698"/>
      <c r="H127" s="698"/>
      <c r="I127" s="698"/>
      <c r="J127" s="661">
        <v>0</v>
      </c>
      <c r="K127" s="1318"/>
    </row>
    <row r="128" spans="1:11" ht="13.5" thickBot="1">
      <c r="A128" s="656">
        <v>79</v>
      </c>
      <c r="B128" s="662" t="s">
        <v>834</v>
      </c>
      <c r="C128" s="680">
        <v>50000000</v>
      </c>
      <c r="D128" s="792"/>
      <c r="E128" s="665">
        <v>50000000</v>
      </c>
      <c r="F128" s="665">
        <v>0</v>
      </c>
      <c r="G128" s="699"/>
      <c r="H128" s="699"/>
      <c r="I128" s="700"/>
      <c r="J128" s="667">
        <f>2500000+47500000</f>
        <v>50000000</v>
      </c>
      <c r="K128" s="1319"/>
    </row>
    <row r="129" spans="1:11" ht="13.5" thickBot="1">
      <c r="A129" s="656">
        <v>80</v>
      </c>
      <c r="B129" s="668" t="s">
        <v>835</v>
      </c>
      <c r="C129" s="669">
        <f>SUM(C127:C128)</f>
        <v>50000000</v>
      </c>
      <c r="D129" s="706"/>
      <c r="E129" s="670">
        <f>SUM(E127:E128)</f>
        <v>50000000</v>
      </c>
      <c r="F129" s="670">
        <f>SUM(F127:F128)</f>
        <v>0</v>
      </c>
      <c r="G129" s="706"/>
      <c r="H129" s="706"/>
      <c r="I129" s="707"/>
      <c r="J129" s="674">
        <f>SUM(J127:J128)</f>
        <v>50000000</v>
      </c>
      <c r="K129" s="1320"/>
    </row>
    <row r="130" spans="1:11" ht="13.5" thickBot="1">
      <c r="A130" s="656"/>
      <c r="B130" s="1321"/>
      <c r="C130" s="1322"/>
      <c r="D130" s="1322"/>
      <c r="E130" s="1322"/>
      <c r="F130" s="1322"/>
      <c r="G130" s="1322"/>
      <c r="H130" s="1322"/>
      <c r="I130" s="1322"/>
      <c r="J130" s="1323"/>
      <c r="K130" s="655"/>
    </row>
    <row r="131" spans="1:11" ht="12.75">
      <c r="A131" s="675">
        <v>81</v>
      </c>
      <c r="B131" s="693" t="s">
        <v>843</v>
      </c>
      <c r="C131" s="677">
        <v>50000000</v>
      </c>
      <c r="D131" s="791"/>
      <c r="E131" s="936">
        <v>200000</v>
      </c>
      <c r="F131" s="936">
        <v>49800000</v>
      </c>
      <c r="G131" s="698"/>
      <c r="H131" s="698"/>
      <c r="I131" s="698"/>
      <c r="J131" s="1318"/>
      <c r="K131" s="661">
        <f>2500000+47500000</f>
        <v>50000000</v>
      </c>
    </row>
    <row r="132" spans="1:11" ht="13.5" thickBot="1">
      <c r="A132" s="675">
        <v>82</v>
      </c>
      <c r="B132" s="702" t="s">
        <v>844</v>
      </c>
      <c r="C132" s="680">
        <v>0</v>
      </c>
      <c r="D132" s="792"/>
      <c r="E132" s="703">
        <v>0</v>
      </c>
      <c r="F132" s="703">
        <v>0</v>
      </c>
      <c r="G132" s="699"/>
      <c r="H132" s="699"/>
      <c r="I132" s="700"/>
      <c r="J132" s="1319"/>
      <c r="K132" s="667">
        <v>0</v>
      </c>
    </row>
    <row r="133" spans="1:11" ht="13.5" thickBot="1">
      <c r="A133" s="694">
        <v>83</v>
      </c>
      <c r="B133" s="695" t="s">
        <v>366</v>
      </c>
      <c r="C133" s="683">
        <f>SUM(C131:C132)</f>
        <v>50000000</v>
      </c>
      <c r="D133" s="708"/>
      <c r="E133" s="696">
        <f>SUM(E131:E132)</f>
        <v>200000</v>
      </c>
      <c r="F133" s="696">
        <f>SUM(F131:F132)</f>
        <v>49800000</v>
      </c>
      <c r="G133" s="708"/>
      <c r="H133" s="708"/>
      <c r="I133" s="708"/>
      <c r="J133" s="1324"/>
      <c r="K133" s="685">
        <f>SUM(K131:K132)</f>
        <v>50000000</v>
      </c>
    </row>
    <row r="134" spans="1:11" ht="14.25" thickBot="1" thickTop="1">
      <c r="A134" s="675"/>
      <c r="B134" s="937"/>
      <c r="C134" s="946"/>
      <c r="D134" s="947"/>
      <c r="E134" s="946"/>
      <c r="F134" s="946"/>
      <c r="G134" s="947"/>
      <c r="H134" s="947"/>
      <c r="I134" s="947"/>
      <c r="J134" s="948"/>
      <c r="K134" s="949"/>
    </row>
    <row r="135" spans="1:11" s="807" customFormat="1" ht="24" customHeight="1" thickBot="1" thickTop="1">
      <c r="A135" s="815">
        <v>77</v>
      </c>
      <c r="B135" s="1325" t="s">
        <v>1195</v>
      </c>
      <c r="C135" s="1326"/>
      <c r="D135" s="1326"/>
      <c r="E135" s="1326"/>
      <c r="F135" s="1326"/>
      <c r="G135" s="1326"/>
      <c r="H135" s="1326"/>
      <c r="I135" s="1326"/>
      <c r="J135" s="1327"/>
      <c r="K135" s="806"/>
    </row>
    <row r="136" spans="1:11" ht="12.75">
      <c r="A136" s="654">
        <v>78</v>
      </c>
      <c r="B136" s="712" t="s">
        <v>838</v>
      </c>
      <c r="C136" s="677">
        <v>0</v>
      </c>
      <c r="D136" s="792"/>
      <c r="E136" s="659"/>
      <c r="F136" s="697"/>
      <c r="G136" s="939"/>
      <c r="H136" s="939"/>
      <c r="I136" s="939"/>
      <c r="J136" s="661">
        <v>0</v>
      </c>
      <c r="K136" s="1318"/>
    </row>
    <row r="137" spans="1:11" ht="13.5" thickBot="1">
      <c r="A137" s="656">
        <v>79</v>
      </c>
      <c r="B137" s="662" t="s">
        <v>834</v>
      </c>
      <c r="C137" s="680">
        <v>21635062</v>
      </c>
      <c r="D137" s="792"/>
      <c r="E137" s="665"/>
      <c r="F137" s="665"/>
      <c r="G137" s="940"/>
      <c r="H137" s="940"/>
      <c r="I137" s="941"/>
      <c r="J137" s="667">
        <v>21635062</v>
      </c>
      <c r="K137" s="1319"/>
    </row>
    <row r="138" spans="1:11" ht="13.5" thickBot="1">
      <c r="A138" s="656">
        <v>80</v>
      </c>
      <c r="B138" s="668" t="s">
        <v>835</v>
      </c>
      <c r="C138" s="669">
        <f>SUM(C136:C137)</f>
        <v>21635062</v>
      </c>
      <c r="D138" s="706"/>
      <c r="E138" s="670"/>
      <c r="F138" s="670"/>
      <c r="G138" s="942"/>
      <c r="H138" s="942"/>
      <c r="I138" s="943"/>
      <c r="J138" s="674">
        <f>SUM(J136:J137)</f>
        <v>21635062</v>
      </c>
      <c r="K138" s="1320"/>
    </row>
    <row r="139" spans="1:11" ht="13.5" thickBot="1">
      <c r="A139" s="656"/>
      <c r="B139" s="1321"/>
      <c r="C139" s="1322"/>
      <c r="D139" s="1322"/>
      <c r="E139" s="1322"/>
      <c r="F139" s="1322"/>
      <c r="G139" s="1322"/>
      <c r="H139" s="1322"/>
      <c r="I139" s="1322"/>
      <c r="J139" s="1323"/>
      <c r="K139" s="655"/>
    </row>
    <row r="140" spans="1:11" ht="12.75">
      <c r="A140" s="675">
        <v>81</v>
      </c>
      <c r="B140" s="693" t="s">
        <v>839</v>
      </c>
      <c r="C140" s="677">
        <v>10056000</v>
      </c>
      <c r="D140" s="791"/>
      <c r="E140" s="936">
        <v>960000</v>
      </c>
      <c r="F140" s="936">
        <v>2880000</v>
      </c>
      <c r="G140" s="936">
        <v>2880000</v>
      </c>
      <c r="H140" s="936">
        <v>2880000</v>
      </c>
      <c r="I140" s="936">
        <v>456000</v>
      </c>
      <c r="J140" s="1370"/>
      <c r="K140" s="677">
        <v>10056000</v>
      </c>
    </row>
    <row r="141" spans="1:11" ht="12.75">
      <c r="A141" s="675"/>
      <c r="B141" s="679" t="s">
        <v>837</v>
      </c>
      <c r="C141" s="783">
        <v>10749062</v>
      </c>
      <c r="D141" s="791"/>
      <c r="E141" s="938">
        <v>2149812</v>
      </c>
      <c r="F141" s="938">
        <v>2149813</v>
      </c>
      <c r="G141" s="945">
        <v>2149813</v>
      </c>
      <c r="H141" s="945">
        <v>2149812</v>
      </c>
      <c r="I141" s="945">
        <v>2149812</v>
      </c>
      <c r="J141" s="1371"/>
      <c r="K141" s="783">
        <v>10749062</v>
      </c>
    </row>
    <row r="142" spans="1:11" ht="13.5" thickBot="1">
      <c r="A142" s="675">
        <v>82</v>
      </c>
      <c r="B142" s="784" t="s">
        <v>836</v>
      </c>
      <c r="C142" s="680">
        <v>830000</v>
      </c>
      <c r="D142" s="792"/>
      <c r="E142" s="703">
        <v>830000</v>
      </c>
      <c r="F142" s="703"/>
      <c r="G142" s="940"/>
      <c r="H142" s="940"/>
      <c r="I142" s="941"/>
      <c r="J142" s="1319"/>
      <c r="K142" s="680">
        <v>830000</v>
      </c>
    </row>
    <row r="143" spans="1:11" ht="13.5" thickBot="1">
      <c r="A143" s="694">
        <v>83</v>
      </c>
      <c r="B143" s="695" t="s">
        <v>366</v>
      </c>
      <c r="C143" s="683">
        <f>SUM(C140:C142)</f>
        <v>21635062</v>
      </c>
      <c r="D143" s="708"/>
      <c r="E143" s="696"/>
      <c r="F143" s="696"/>
      <c r="G143" s="944"/>
      <c r="H143" s="944"/>
      <c r="I143" s="944"/>
      <c r="J143" s="1324"/>
      <c r="K143" s="685">
        <f>SUM(K140:K142)</f>
        <v>21635062</v>
      </c>
    </row>
    <row r="144" spans="1:11" ht="14.25" thickBot="1" thickTop="1">
      <c r="A144" s="675"/>
      <c r="B144" s="950"/>
      <c r="C144" s="946"/>
      <c r="D144" s="947"/>
      <c r="E144" s="946"/>
      <c r="F144" s="946"/>
      <c r="G144" s="947"/>
      <c r="H144" s="947"/>
      <c r="I144" s="947"/>
      <c r="J144" s="948"/>
      <c r="K144" s="949"/>
    </row>
    <row r="145" spans="1:11" ht="14.25" thickBot="1" thickTop="1">
      <c r="A145" s="656"/>
      <c r="B145" s="1367"/>
      <c r="C145" s="1368"/>
      <c r="D145" s="1368"/>
      <c r="E145" s="1368"/>
      <c r="F145" s="1368"/>
      <c r="G145" s="1368"/>
      <c r="H145" s="1368"/>
      <c r="I145" s="1368"/>
      <c r="J145" s="1368"/>
      <c r="K145" s="1369"/>
    </row>
    <row r="146" spans="1:11" ht="19.5" thickBot="1" thickTop="1">
      <c r="A146" s="810">
        <v>91</v>
      </c>
      <c r="B146" s="1328" t="s">
        <v>768</v>
      </c>
      <c r="C146" s="1329"/>
      <c r="D146" s="1329"/>
      <c r="E146" s="1329"/>
      <c r="F146" s="1329"/>
      <c r="G146" s="1329"/>
      <c r="H146" s="1329"/>
      <c r="I146" s="1329"/>
      <c r="J146" s="1329"/>
      <c r="K146" s="1330"/>
    </row>
    <row r="147" spans="1:11" ht="14.25" thickBot="1" thickTop="1">
      <c r="A147" s="686"/>
      <c r="B147" s="1312"/>
      <c r="C147" s="1313"/>
      <c r="D147" s="1313"/>
      <c r="E147" s="1313"/>
      <c r="F147" s="1313"/>
      <c r="G147" s="1313"/>
      <c r="H147" s="1313"/>
      <c r="I147" s="1313"/>
      <c r="J147" s="1313"/>
      <c r="K147" s="1314"/>
    </row>
    <row r="148" spans="1:11" s="807" customFormat="1" ht="30" customHeight="1" thickBot="1" thickTop="1">
      <c r="A148" s="815">
        <v>92</v>
      </c>
      <c r="B148" s="1356" t="s">
        <v>929</v>
      </c>
      <c r="C148" s="1357"/>
      <c r="D148" s="1357"/>
      <c r="E148" s="1357"/>
      <c r="F148" s="1357"/>
      <c r="G148" s="1357"/>
      <c r="H148" s="1357"/>
      <c r="I148" s="1357"/>
      <c r="J148" s="1357"/>
      <c r="K148" s="816"/>
    </row>
    <row r="149" spans="1:11" ht="12.75">
      <c r="A149" s="654">
        <v>93</v>
      </c>
      <c r="B149" s="704" t="s">
        <v>838</v>
      </c>
      <c r="C149" s="811">
        <v>0</v>
      </c>
      <c r="D149" s="812"/>
      <c r="E149" s="813">
        <v>0</v>
      </c>
      <c r="F149" s="813">
        <v>0</v>
      </c>
      <c r="G149" s="813">
        <v>0</v>
      </c>
      <c r="H149" s="813"/>
      <c r="I149" s="812"/>
      <c r="J149" s="814">
        <v>0</v>
      </c>
      <c r="K149" s="1319"/>
    </row>
    <row r="150" spans="1:11" ht="13.5" thickBot="1">
      <c r="A150" s="689">
        <v>94</v>
      </c>
      <c r="B150" s="662" t="s">
        <v>834</v>
      </c>
      <c r="C150" s="690">
        <v>88217316</v>
      </c>
      <c r="D150" s="787"/>
      <c r="E150" s="665">
        <v>45094449</v>
      </c>
      <c r="F150" s="665"/>
      <c r="G150" s="665"/>
      <c r="H150" s="665"/>
      <c r="I150" s="787"/>
      <c r="J150" s="667">
        <v>45094449</v>
      </c>
      <c r="K150" s="1319"/>
    </row>
    <row r="151" spans="1:11" ht="13.5" thickBot="1">
      <c r="A151" s="656">
        <v>95</v>
      </c>
      <c r="B151" s="668" t="s">
        <v>835</v>
      </c>
      <c r="C151" s="669">
        <f>SUM(C149:C150)</f>
        <v>88217316</v>
      </c>
      <c r="D151" s="671"/>
      <c r="E151" s="670">
        <f>SUM(E149:E150)</f>
        <v>45094449</v>
      </c>
      <c r="F151" s="670">
        <f>SUM(F149:F150)</f>
        <v>0</v>
      </c>
      <c r="G151" s="670">
        <f>SUM(G149:G150)</f>
        <v>0</v>
      </c>
      <c r="H151" s="670">
        <f>SUM(H149:H150)</f>
        <v>0</v>
      </c>
      <c r="I151" s="671"/>
      <c r="J151" s="674">
        <f>SUM(J149:J150)</f>
        <v>45094449</v>
      </c>
      <c r="K151" s="1320"/>
    </row>
    <row r="152" spans="1:11" ht="13.5" thickBot="1">
      <c r="A152" s="656"/>
      <c r="B152" s="1321"/>
      <c r="C152" s="1322"/>
      <c r="D152" s="1322"/>
      <c r="E152" s="1322"/>
      <c r="F152" s="1322"/>
      <c r="G152" s="1322"/>
      <c r="H152" s="1322"/>
      <c r="I152" s="1322"/>
      <c r="J152" s="1323"/>
      <c r="K152" s="655"/>
    </row>
    <row r="153" spans="1:11" ht="12.75">
      <c r="A153" s="692">
        <v>96</v>
      </c>
      <c r="B153" s="693" t="s">
        <v>839</v>
      </c>
      <c r="C153" s="796">
        <f>SUM(E153:H153)</f>
        <v>53041950</v>
      </c>
      <c r="D153" s="790"/>
      <c r="E153" s="659">
        <v>16267810</v>
      </c>
      <c r="F153" s="697">
        <v>17680650</v>
      </c>
      <c r="G153" s="697">
        <v>17680650</v>
      </c>
      <c r="H153" s="697">
        <v>1412840</v>
      </c>
      <c r="I153" s="790"/>
      <c r="J153" s="1318"/>
      <c r="K153" s="661">
        <v>26737000</v>
      </c>
    </row>
    <row r="154" spans="1:11" ht="12.75">
      <c r="A154" s="675">
        <v>97</v>
      </c>
      <c r="B154" s="679" t="s">
        <v>837</v>
      </c>
      <c r="C154" s="680">
        <f>SUM(E154:H154)</f>
        <v>33488176</v>
      </c>
      <c r="D154" s="791"/>
      <c r="E154" s="665">
        <v>11524620</v>
      </c>
      <c r="F154" s="691">
        <v>10704096</v>
      </c>
      <c r="G154" s="691">
        <v>10494095</v>
      </c>
      <c r="H154" s="691">
        <v>765365</v>
      </c>
      <c r="I154" s="791"/>
      <c r="J154" s="1319"/>
      <c r="K154" s="667">
        <v>16670259</v>
      </c>
    </row>
    <row r="155" spans="1:11" ht="13.5" thickBot="1">
      <c r="A155" s="675">
        <v>98</v>
      </c>
      <c r="B155" s="784" t="s">
        <v>836</v>
      </c>
      <c r="C155" s="783">
        <f>SUM(E155:H155)</f>
        <v>1687190</v>
      </c>
      <c r="D155" s="792"/>
      <c r="E155" s="665">
        <v>1687190</v>
      </c>
      <c r="F155" s="691">
        <v>0</v>
      </c>
      <c r="G155" s="691">
        <v>0</v>
      </c>
      <c r="H155" s="691">
        <v>0</v>
      </c>
      <c r="I155" s="792"/>
      <c r="J155" s="1319"/>
      <c r="K155" s="667">
        <v>1687190</v>
      </c>
    </row>
    <row r="156" spans="1:11" ht="13.5" thickBot="1">
      <c r="A156" s="694">
        <v>99</v>
      </c>
      <c r="B156" s="695" t="s">
        <v>366</v>
      </c>
      <c r="C156" s="683">
        <f>SUM(C153:C155)</f>
        <v>88217316</v>
      </c>
      <c r="D156" s="708"/>
      <c r="E156" s="696">
        <f>SUM(E153:E155)</f>
        <v>29479620</v>
      </c>
      <c r="F156" s="696">
        <f>SUM(F153:F155)</f>
        <v>28384746</v>
      </c>
      <c r="G156" s="696">
        <f>SUM(G153:G155)</f>
        <v>28174745</v>
      </c>
      <c r="H156" s="696">
        <f>SUM(H153:H155)</f>
        <v>2178205</v>
      </c>
      <c r="I156" s="708"/>
      <c r="J156" s="1324"/>
      <c r="K156" s="685">
        <f>SUM(K153:K155)</f>
        <v>45094449</v>
      </c>
    </row>
    <row r="157" spans="1:11" ht="14.25" thickBot="1" thickTop="1">
      <c r="A157" s="686"/>
      <c r="B157" s="1312"/>
      <c r="C157" s="1313"/>
      <c r="D157" s="1313"/>
      <c r="E157" s="1313"/>
      <c r="F157" s="1313"/>
      <c r="G157" s="1313"/>
      <c r="H157" s="1313"/>
      <c r="I157" s="1313"/>
      <c r="J157" s="1313"/>
      <c r="K157" s="1314"/>
    </row>
    <row r="158" spans="1:11" s="807" customFormat="1" ht="30" customHeight="1" thickBot="1" thickTop="1">
      <c r="A158" s="815">
        <v>100</v>
      </c>
      <c r="B158" s="1315" t="s">
        <v>928</v>
      </c>
      <c r="C158" s="1316"/>
      <c r="D158" s="1316"/>
      <c r="E158" s="1316"/>
      <c r="F158" s="1316"/>
      <c r="G158" s="1316"/>
      <c r="H158" s="1316"/>
      <c r="I158" s="1316"/>
      <c r="J158" s="1317"/>
      <c r="K158" s="806"/>
    </row>
    <row r="159" spans="1:11" ht="12.75">
      <c r="A159" s="654">
        <v>101</v>
      </c>
      <c r="B159" s="657" t="s">
        <v>838</v>
      </c>
      <c r="C159" s="687">
        <v>0</v>
      </c>
      <c r="D159" s="688">
        <v>0</v>
      </c>
      <c r="E159" s="688">
        <v>0</v>
      </c>
      <c r="F159" s="688">
        <v>0</v>
      </c>
      <c r="G159" s="786"/>
      <c r="H159" s="786"/>
      <c r="I159" s="786"/>
      <c r="J159" s="661">
        <v>0</v>
      </c>
      <c r="K159" s="1318"/>
    </row>
    <row r="160" spans="1:11" ht="13.5" thickBot="1">
      <c r="A160" s="689">
        <v>102</v>
      </c>
      <c r="B160" s="662" t="s">
        <v>834</v>
      </c>
      <c r="C160" s="690">
        <f>SUM(D160:F160)</f>
        <v>40000000</v>
      </c>
      <c r="D160" s="665">
        <v>39200000</v>
      </c>
      <c r="E160" s="665">
        <v>0</v>
      </c>
      <c r="F160" s="665">
        <v>800000</v>
      </c>
      <c r="G160" s="787"/>
      <c r="H160" s="787"/>
      <c r="I160" s="787"/>
      <c r="J160" s="667">
        <v>33512420</v>
      </c>
      <c r="K160" s="1319"/>
    </row>
    <row r="161" spans="1:11" ht="13.5" thickBot="1">
      <c r="A161" s="656">
        <v>103</v>
      </c>
      <c r="B161" s="668" t="s">
        <v>835</v>
      </c>
      <c r="C161" s="669">
        <f>SUM(C159:C160)</f>
        <v>40000000</v>
      </c>
      <c r="D161" s="670">
        <f>SUM(D159:D160)</f>
        <v>39200000</v>
      </c>
      <c r="E161" s="670">
        <f>SUM(E159:E160)</f>
        <v>0</v>
      </c>
      <c r="F161" s="670">
        <f>SUM(F159:F160)</f>
        <v>800000</v>
      </c>
      <c r="G161" s="671"/>
      <c r="H161" s="671"/>
      <c r="I161" s="671"/>
      <c r="J161" s="674">
        <f>SUM(J159:J160)</f>
        <v>33512420</v>
      </c>
      <c r="K161" s="1320"/>
    </row>
    <row r="162" spans="1:11" ht="13.5" thickBot="1">
      <c r="A162" s="656"/>
      <c r="B162" s="1321"/>
      <c r="C162" s="1322"/>
      <c r="D162" s="1322"/>
      <c r="E162" s="1322"/>
      <c r="F162" s="1322"/>
      <c r="G162" s="1322"/>
      <c r="H162" s="1322"/>
      <c r="I162" s="1322"/>
      <c r="J162" s="1323"/>
      <c r="K162" s="655"/>
    </row>
    <row r="163" spans="1:11" ht="13.5" thickBot="1">
      <c r="A163" s="692">
        <v>104</v>
      </c>
      <c r="B163" s="693" t="s">
        <v>839</v>
      </c>
      <c r="C163" s="796">
        <f>SUM(D163:F163)</f>
        <v>12988120</v>
      </c>
      <c r="D163" s="659">
        <v>1760137</v>
      </c>
      <c r="E163" s="659">
        <v>8420987</v>
      </c>
      <c r="F163" s="697">
        <v>2806996</v>
      </c>
      <c r="G163" s="790"/>
      <c r="H163" s="790"/>
      <c r="I163" s="790"/>
      <c r="J163" s="1318"/>
      <c r="K163" s="661">
        <v>11227983</v>
      </c>
    </row>
    <row r="164" spans="1:11" ht="13.5" thickBot="1">
      <c r="A164" s="675">
        <v>105</v>
      </c>
      <c r="B164" s="679" t="s">
        <v>837</v>
      </c>
      <c r="C164" s="796">
        <f>SUM(D164:F164)</f>
        <v>23158258</v>
      </c>
      <c r="D164" s="665">
        <v>2486374</v>
      </c>
      <c r="E164" s="665">
        <v>19871884</v>
      </c>
      <c r="F164" s="691">
        <v>800000</v>
      </c>
      <c r="G164" s="791"/>
      <c r="H164" s="791"/>
      <c r="I164" s="791"/>
      <c r="J164" s="1319"/>
      <c r="K164" s="667">
        <v>19871884</v>
      </c>
    </row>
    <row r="165" spans="1:11" ht="13.5" thickBot="1">
      <c r="A165" s="675">
        <v>106</v>
      </c>
      <c r="B165" s="784" t="s">
        <v>836</v>
      </c>
      <c r="C165" s="796">
        <f>SUM(D165:F165)</f>
        <v>3853622</v>
      </c>
      <c r="D165" s="665">
        <v>1441069</v>
      </c>
      <c r="E165" s="665">
        <v>2412553</v>
      </c>
      <c r="F165" s="691">
        <v>0</v>
      </c>
      <c r="G165" s="792"/>
      <c r="H165" s="792"/>
      <c r="I165" s="792"/>
      <c r="J165" s="1319"/>
      <c r="K165" s="667">
        <v>2412553</v>
      </c>
    </row>
    <row r="166" spans="1:11" ht="13.5" thickBot="1">
      <c r="A166" s="694">
        <v>107</v>
      </c>
      <c r="B166" s="695" t="s">
        <v>366</v>
      </c>
      <c r="C166" s="683">
        <f>SUM(C163:C165)</f>
        <v>40000000</v>
      </c>
      <c r="D166" s="696">
        <f>SUM(D163:D165)</f>
        <v>5687580</v>
      </c>
      <c r="E166" s="696">
        <f>SUM(E163:E165)</f>
        <v>30705424</v>
      </c>
      <c r="F166" s="696">
        <f>SUM(F163:F165)</f>
        <v>3606996</v>
      </c>
      <c r="G166" s="708"/>
      <c r="H166" s="708"/>
      <c r="I166" s="708"/>
      <c r="J166" s="1324"/>
      <c r="K166" s="685">
        <f>SUM(K163:K165)</f>
        <v>33512420</v>
      </c>
    </row>
    <row r="167" ht="13.5" thickTop="1"/>
  </sheetData>
  <sheetProtection/>
  <mergeCells count="89">
    <mergeCell ref="B130:J130"/>
    <mergeCell ref="J131:J133"/>
    <mergeCell ref="B145:K145"/>
    <mergeCell ref="B135:J135"/>
    <mergeCell ref="K136:K138"/>
    <mergeCell ref="B139:J139"/>
    <mergeCell ref="J140:J143"/>
    <mergeCell ref="K118:K120"/>
    <mergeCell ref="B121:J121"/>
    <mergeCell ref="J122:J124"/>
    <mergeCell ref="B116:J116"/>
    <mergeCell ref="B126:J126"/>
    <mergeCell ref="K127:K129"/>
    <mergeCell ref="B107:J107"/>
    <mergeCell ref="B108:J108"/>
    <mergeCell ref="K109:K111"/>
    <mergeCell ref="B112:J112"/>
    <mergeCell ref="J113:J115"/>
    <mergeCell ref="B117:J117"/>
    <mergeCell ref="J95:J97"/>
    <mergeCell ref="B89:J89"/>
    <mergeCell ref="B99:J99"/>
    <mergeCell ref="K100:K102"/>
    <mergeCell ref="B103:J103"/>
    <mergeCell ref="J104:J106"/>
    <mergeCell ref="B98:J98"/>
    <mergeCell ref="B80:K80"/>
    <mergeCell ref="K81:K83"/>
    <mergeCell ref="A70:K70"/>
    <mergeCell ref="B71:K71"/>
    <mergeCell ref="J163:J166"/>
    <mergeCell ref="B146:K146"/>
    <mergeCell ref="B147:K147"/>
    <mergeCell ref="B158:J158"/>
    <mergeCell ref="K159:K161"/>
    <mergeCell ref="B162:J162"/>
    <mergeCell ref="K149:K151"/>
    <mergeCell ref="B152:J152"/>
    <mergeCell ref="J153:J156"/>
    <mergeCell ref="B157:K157"/>
    <mergeCell ref="B84:J84"/>
    <mergeCell ref="J85:J88"/>
    <mergeCell ref="B148:J148"/>
    <mergeCell ref="B90:J90"/>
    <mergeCell ref="K91:K93"/>
    <mergeCell ref="B94:J94"/>
    <mergeCell ref="K72:K74"/>
    <mergeCell ref="B75:J75"/>
    <mergeCell ref="J76:J78"/>
    <mergeCell ref="B79:K79"/>
    <mergeCell ref="B60:K60"/>
    <mergeCell ref="B61:J61"/>
    <mergeCell ref="K62:K64"/>
    <mergeCell ref="B65:J65"/>
    <mergeCell ref="J66:J69"/>
    <mergeCell ref="B1:K1"/>
    <mergeCell ref="B4:K4"/>
    <mergeCell ref="A8:A10"/>
    <mergeCell ref="B8:B10"/>
    <mergeCell ref="C8:I8"/>
    <mergeCell ref="J8:J10"/>
    <mergeCell ref="K8:K10"/>
    <mergeCell ref="C9:C10"/>
    <mergeCell ref="D9:I9"/>
    <mergeCell ref="B12:K12"/>
    <mergeCell ref="B13:J13"/>
    <mergeCell ref="K14:K16"/>
    <mergeCell ref="B17:J17"/>
    <mergeCell ref="J18:J20"/>
    <mergeCell ref="B21:K21"/>
    <mergeCell ref="B22:J22"/>
    <mergeCell ref="K23:K25"/>
    <mergeCell ref="B26:J26"/>
    <mergeCell ref="J27:J30"/>
    <mergeCell ref="B31:K31"/>
    <mergeCell ref="B32:J32"/>
    <mergeCell ref="K33:K35"/>
    <mergeCell ref="B36:J36"/>
    <mergeCell ref="J37:J39"/>
    <mergeCell ref="B40:K40"/>
    <mergeCell ref="K42:K44"/>
    <mergeCell ref="B41:J41"/>
    <mergeCell ref="B49:K49"/>
    <mergeCell ref="B50:J50"/>
    <mergeCell ref="K51:K53"/>
    <mergeCell ref="B54:J54"/>
    <mergeCell ref="J55:J59"/>
    <mergeCell ref="B45:J45"/>
    <mergeCell ref="J46:J4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34" customWidth="1"/>
    <col min="2" max="4" width="9.125" style="134" customWidth="1"/>
    <col min="5" max="5" width="40.375" style="134" customWidth="1"/>
    <col min="6" max="6" width="16.125" style="134" bestFit="1" customWidth="1"/>
    <col min="7" max="7" width="14.125" style="134" bestFit="1" customWidth="1"/>
    <col min="8" max="9" width="14.875" style="134" customWidth="1"/>
    <col min="10" max="10" width="16.00390625" style="134" bestFit="1" customWidth="1"/>
    <col min="11" max="16384" width="9.125" style="134" customWidth="1"/>
  </cols>
  <sheetData>
    <row r="1" spans="1:10" s="138" customFormat="1" ht="12.75">
      <c r="A1" s="996" t="s">
        <v>1211</v>
      </c>
      <c r="B1" s="996"/>
      <c r="C1" s="996"/>
      <c r="D1" s="996"/>
      <c r="E1" s="996"/>
      <c r="F1" s="996"/>
      <c r="G1" s="996"/>
      <c r="H1" s="996"/>
      <c r="I1" s="996"/>
      <c r="J1" s="996"/>
    </row>
    <row r="2" spans="1:10" s="138" customFormat="1" ht="9.7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</row>
    <row r="3" spans="1:10" s="138" customFormat="1" ht="16.5">
      <c r="A3" s="997" t="s">
        <v>771</v>
      </c>
      <c r="B3" s="997"/>
      <c r="C3" s="997"/>
      <c r="D3" s="997"/>
      <c r="E3" s="997"/>
      <c r="F3" s="997"/>
      <c r="G3" s="997"/>
      <c r="H3" s="997"/>
      <c r="I3" s="997"/>
      <c r="J3" s="997"/>
    </row>
    <row r="4" spans="1:10" s="138" customFormat="1" ht="12.75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78" customHeight="1">
      <c r="A5" s="998" t="s">
        <v>0</v>
      </c>
      <c r="B5" s="999"/>
      <c r="C5" s="999"/>
      <c r="D5" s="999"/>
      <c r="E5" s="1000"/>
      <c r="F5" s="141" t="s">
        <v>89</v>
      </c>
      <c r="G5" s="141" t="s">
        <v>367</v>
      </c>
      <c r="H5" s="141" t="s">
        <v>768</v>
      </c>
      <c r="I5" s="141" t="s">
        <v>853</v>
      </c>
      <c r="J5" s="142" t="s">
        <v>361</v>
      </c>
    </row>
    <row r="6" spans="1:10" s="145" customFormat="1" ht="15">
      <c r="A6" s="143" t="s">
        <v>420</v>
      </c>
      <c r="B6" s="1001" t="s">
        <v>421</v>
      </c>
      <c r="C6" s="1002"/>
      <c r="D6" s="1002"/>
      <c r="E6" s="1003"/>
      <c r="F6" s="144" t="s">
        <v>422</v>
      </c>
      <c r="G6" s="144" t="s">
        <v>423</v>
      </c>
      <c r="H6" s="144" t="s">
        <v>424</v>
      </c>
      <c r="I6" s="144" t="s">
        <v>425</v>
      </c>
      <c r="J6" s="144" t="s">
        <v>427</v>
      </c>
    </row>
    <row r="7" spans="1:11" ht="14.25" customHeight="1">
      <c r="A7" s="146" t="s">
        <v>1</v>
      </c>
      <c r="B7" s="1004" t="s">
        <v>355</v>
      </c>
      <c r="C7" s="1004"/>
      <c r="D7" s="1004"/>
      <c r="E7" s="1004"/>
      <c r="F7" s="133">
        <f>29033148+2158500+514000+34895474+10871880+21446460+25000+2846984+16985805+80000+2168500+27145152+40610080+28103985+27815502+12762600+30800+2200+3600833+9375932+420000+1768202+4454365+12762600-12762600+27815502-27815502+3600833-3600833+8400000-720000</f>
        <v>284795402</v>
      </c>
      <c r="G7" s="133">
        <f>83641200+385000+1420400+1083000+6373+34746</f>
        <v>86570719</v>
      </c>
      <c r="H7" s="133">
        <f>147547916-7297240-336000+433600+66000+21649000+9187815+621002-2801679+757761+720000+40000</f>
        <v>170588175</v>
      </c>
      <c r="I7" s="133">
        <f>2428400+7343000-1768202-4454365</f>
        <v>3548833</v>
      </c>
      <c r="J7" s="133">
        <f>SUM(F7:I7)</f>
        <v>545503129</v>
      </c>
      <c r="K7" s="588"/>
    </row>
    <row r="8" spans="1:11" ht="13.5" customHeight="1">
      <c r="A8" s="146" t="s">
        <v>3</v>
      </c>
      <c r="B8" s="1004" t="s">
        <v>4</v>
      </c>
      <c r="C8" s="1004"/>
      <c r="D8" s="1004"/>
      <c r="E8" s="1004"/>
      <c r="F8" s="133">
        <f>7533426+424933+489933+6862023+1105308+2180390+4388+573827+3345516+41361+426883+6999328+3959404+2740077+6738701+2999211+6006+429+834330+1492000+914153+80000+348675+867408+2999211-2999211+6738701-6738701+834330-834330+1656000-140400</f>
        <v>52483310</v>
      </c>
      <c r="G8" s="133">
        <f>15658358+75075+293205+211188-8607</f>
        <v>16229219</v>
      </c>
      <c r="H8" s="133">
        <f>31659765-1422962-65520+84552+12870+5088000+2040168+121098-541561+147763+140400+7020</f>
        <v>37271593</v>
      </c>
      <c r="I8" s="133">
        <f>478841+1437188-348675-867408</f>
        <v>699946</v>
      </c>
      <c r="J8" s="133">
        <f aca="true" t="shared" si="0" ref="J8:J75">SUM(F8:I8)</f>
        <v>106684068</v>
      </c>
      <c r="K8" s="588"/>
    </row>
    <row r="9" spans="1:11" ht="12" customHeight="1">
      <c r="A9" s="146" t="s">
        <v>5</v>
      </c>
      <c r="B9" s="1004" t="s">
        <v>6</v>
      </c>
      <c r="C9" s="1004"/>
      <c r="D9" s="1004"/>
      <c r="E9" s="1004"/>
      <c r="F9" s="133">
        <f>14127980+26820278+55480+6220254+1157503+8729294+1270000+736016+11239754+23139400+254000+19910394+360000+18217394+120000+2736870+1917850+54297921+117194+17800000+2114700+26209434+2400000+7848600-5500000+5000000-200000-5715000-2600000+200000+936+141447+9850000+1100000+4650000+1000000-848360+2045415+8057715+54417221+15053577-120000+13337603+63500+68000+90000+146050+190500+15000000+550000-235153+7679730+601200+1417+1283275+672563+95585+3300476-233830-73660+10976885+1100000+500000-1150000+823080-2893619+1350000+46939+243600-15-152400+400000-300000-100000-200000-5715000+444500+228600-228600-1054591-36480+527827+5771921+12859+15053577-15053577+65394106-65394106+13337603-13337603+10749062+66142+857250-857250-29000-5990-2601-23713-1250000-6000000</f>
        <v>390969929</v>
      </c>
      <c r="G9" s="133">
        <f>20108238+256193+439819+2370+2234</f>
        <v>20808854</v>
      </c>
      <c r="H9" s="133">
        <f>56208129+3-96000-170000+16670259+19871884-152273-151629-84541-195000-79900+17240-198285-10240-1048608+150000+22980-76969-35900</f>
        <v>90641150</v>
      </c>
      <c r="I9" s="133">
        <f>1100000+3400630+49530+13986001-3000000-103900-574597-700000-527827-2793033-2981388-10359+17858</f>
        <v>7862915</v>
      </c>
      <c r="J9" s="133">
        <f t="shared" si="0"/>
        <v>510282848</v>
      </c>
      <c r="K9" s="588"/>
    </row>
    <row r="10" spans="1:11" ht="12.75">
      <c r="A10" s="146" t="s">
        <v>8</v>
      </c>
      <c r="B10" s="1004" t="s">
        <v>9</v>
      </c>
      <c r="C10" s="1004"/>
      <c r="D10" s="1004"/>
      <c r="E10" s="1004"/>
      <c r="F10" s="133">
        <f>SUM(F11,F12,F15:F20)</f>
        <v>2942222</v>
      </c>
      <c r="G10" s="133">
        <f>SUM(G11,G12,G15:G20)</f>
        <v>6018160</v>
      </c>
      <c r="H10" s="133">
        <f>SUM(H11,H12,H15:H20)</f>
        <v>0</v>
      </c>
      <c r="I10" s="133">
        <f>SUM(I11,I12,I15:I20)</f>
        <v>0</v>
      </c>
      <c r="J10" s="133">
        <f t="shared" si="0"/>
        <v>8960382</v>
      </c>
      <c r="K10" s="588"/>
    </row>
    <row r="11" spans="1:11" ht="12.75">
      <c r="A11" s="129"/>
      <c r="B11" s="129" t="s">
        <v>10</v>
      </c>
      <c r="C11" s="987" t="s">
        <v>11</v>
      </c>
      <c r="D11" s="989"/>
      <c r="E11" s="988"/>
      <c r="F11" s="132">
        <v>0</v>
      </c>
      <c r="G11" s="132">
        <v>0</v>
      </c>
      <c r="H11" s="132">
        <v>0</v>
      </c>
      <c r="I11" s="132">
        <v>0</v>
      </c>
      <c r="J11" s="133">
        <f t="shared" si="0"/>
        <v>0</v>
      </c>
      <c r="K11" s="588"/>
    </row>
    <row r="12" spans="1:11" ht="12.75">
      <c r="A12" s="129"/>
      <c r="B12" s="129" t="s">
        <v>12</v>
      </c>
      <c r="C12" s="990" t="s">
        <v>13</v>
      </c>
      <c r="D12" s="990"/>
      <c r="E12" s="990"/>
      <c r="F12" s="132">
        <f>SUM(F13:F14)</f>
        <v>0</v>
      </c>
      <c r="G12" s="132">
        <f>SUM(G13:G14)</f>
        <v>6018160</v>
      </c>
      <c r="H12" s="132">
        <f>SUM(H13:H14)</f>
        <v>0</v>
      </c>
      <c r="I12" s="132">
        <f>SUM(I13:I14)</f>
        <v>0</v>
      </c>
      <c r="J12" s="133">
        <f t="shared" si="0"/>
        <v>6018160</v>
      </c>
      <c r="K12" s="588"/>
    </row>
    <row r="13" spans="1:11" ht="23.25" customHeight="1">
      <c r="A13" s="135"/>
      <c r="B13" s="129"/>
      <c r="C13" s="135"/>
      <c r="D13" s="985" t="s">
        <v>647</v>
      </c>
      <c r="E13" s="986"/>
      <c r="F13" s="136"/>
      <c r="G13" s="798">
        <v>5650000</v>
      </c>
      <c r="H13" s="798">
        <v>0</v>
      </c>
      <c r="I13" s="798">
        <v>0</v>
      </c>
      <c r="J13" s="799">
        <f t="shared" si="0"/>
        <v>5650000</v>
      </c>
      <c r="K13" s="588"/>
    </row>
    <row r="14" spans="1:11" ht="22.5" customHeight="1">
      <c r="A14" s="135"/>
      <c r="B14" s="129"/>
      <c r="C14" s="135"/>
      <c r="D14" s="1005" t="s">
        <v>648</v>
      </c>
      <c r="E14" s="1006"/>
      <c r="F14" s="136"/>
      <c r="G14" s="798">
        <v>368160</v>
      </c>
      <c r="H14" s="798">
        <v>0</v>
      </c>
      <c r="I14" s="798">
        <v>0</v>
      </c>
      <c r="J14" s="799">
        <f t="shared" si="0"/>
        <v>368160</v>
      </c>
      <c r="K14" s="588"/>
    </row>
    <row r="15" spans="1:11" ht="12.75">
      <c r="A15" s="129"/>
      <c r="B15" s="129" t="s">
        <v>136</v>
      </c>
      <c r="C15" s="990" t="s">
        <v>137</v>
      </c>
      <c r="D15" s="990"/>
      <c r="E15" s="990"/>
      <c r="F15" s="132">
        <v>0</v>
      </c>
      <c r="G15" s="132">
        <v>0</v>
      </c>
      <c r="H15" s="132">
        <v>0</v>
      </c>
      <c r="I15" s="132">
        <v>0</v>
      </c>
      <c r="J15" s="133">
        <f t="shared" si="0"/>
        <v>0</v>
      </c>
      <c r="K15" s="588"/>
    </row>
    <row r="16" spans="1:11" ht="12" customHeight="1">
      <c r="A16" s="129"/>
      <c r="B16" s="129" t="s">
        <v>138</v>
      </c>
      <c r="C16" s="987" t="s">
        <v>139</v>
      </c>
      <c r="D16" s="989"/>
      <c r="E16" s="988"/>
      <c r="F16" s="132">
        <f>SUM(F17:F18)</f>
        <v>0</v>
      </c>
      <c r="G16" s="132">
        <f>SUM(G17:G18)</f>
        <v>0</v>
      </c>
      <c r="H16" s="132">
        <f>SUM(H17:H18)</f>
        <v>0</v>
      </c>
      <c r="I16" s="132">
        <f>SUM(I17:I18)</f>
        <v>0</v>
      </c>
      <c r="J16" s="133">
        <f t="shared" si="0"/>
        <v>0</v>
      </c>
      <c r="K16" s="588"/>
    </row>
    <row r="17" spans="1:11" ht="13.5" customHeight="1">
      <c r="A17" s="135"/>
      <c r="B17" s="129" t="s">
        <v>140</v>
      </c>
      <c r="C17" s="129" t="s">
        <v>141</v>
      </c>
      <c r="D17" s="130"/>
      <c r="E17" s="131"/>
      <c r="F17" s="136">
        <v>0</v>
      </c>
      <c r="G17" s="136">
        <v>0</v>
      </c>
      <c r="H17" s="136">
        <v>0</v>
      </c>
      <c r="I17" s="136">
        <v>0</v>
      </c>
      <c r="J17" s="133">
        <f t="shared" si="0"/>
        <v>0</v>
      </c>
      <c r="K17" s="588"/>
    </row>
    <row r="18" spans="1:11" ht="12.75">
      <c r="A18" s="129"/>
      <c r="B18" s="129" t="s">
        <v>142</v>
      </c>
      <c r="C18" s="987" t="s">
        <v>143</v>
      </c>
      <c r="D18" s="989"/>
      <c r="E18" s="988"/>
      <c r="F18" s="132">
        <f>SUM(F19)</f>
        <v>0</v>
      </c>
      <c r="G18" s="132">
        <f>SUM(G19)</f>
        <v>0</v>
      </c>
      <c r="H18" s="132">
        <f>SUM(H19)</f>
        <v>0</v>
      </c>
      <c r="I18" s="132">
        <f>SUM(I19)</f>
        <v>0</v>
      </c>
      <c r="J18" s="133">
        <f t="shared" si="0"/>
        <v>0</v>
      </c>
      <c r="K18" s="588"/>
    </row>
    <row r="19" spans="1:11" ht="12.75">
      <c r="A19" s="129"/>
      <c r="B19" s="129" t="s">
        <v>144</v>
      </c>
      <c r="C19" s="990" t="s">
        <v>14</v>
      </c>
      <c r="D19" s="990"/>
      <c r="E19" s="990"/>
      <c r="F19" s="132">
        <v>0</v>
      </c>
      <c r="G19" s="132">
        <v>0</v>
      </c>
      <c r="H19" s="132">
        <v>0</v>
      </c>
      <c r="I19" s="132">
        <v>0</v>
      </c>
      <c r="J19" s="133">
        <f t="shared" si="0"/>
        <v>0</v>
      </c>
      <c r="K19" s="588"/>
    </row>
    <row r="20" spans="1:11" ht="12.75">
      <c r="A20" s="129"/>
      <c r="B20" s="129" t="s">
        <v>145</v>
      </c>
      <c r="C20" s="987" t="s">
        <v>146</v>
      </c>
      <c r="D20" s="989"/>
      <c r="E20" s="988"/>
      <c r="F20" s="132">
        <f>SUM(F21:F22)</f>
        <v>2942222</v>
      </c>
      <c r="G20" s="132">
        <f>SUM(G21:G22)</f>
        <v>0</v>
      </c>
      <c r="H20" s="132">
        <f>SUM(H21:H22)</f>
        <v>0</v>
      </c>
      <c r="I20" s="132">
        <f>SUM(I21:I22)</f>
        <v>0</v>
      </c>
      <c r="J20" s="133">
        <f t="shared" si="0"/>
        <v>2942222</v>
      </c>
      <c r="K20" s="588"/>
    </row>
    <row r="21" spans="1:11" ht="12.75">
      <c r="A21" s="135"/>
      <c r="B21" s="135"/>
      <c r="C21" s="135"/>
      <c r="D21" s="987" t="s">
        <v>606</v>
      </c>
      <c r="E21" s="988"/>
      <c r="F21" s="136">
        <v>1500000</v>
      </c>
      <c r="G21" s="136">
        <v>0</v>
      </c>
      <c r="H21" s="136">
        <v>0</v>
      </c>
      <c r="I21" s="136">
        <v>0</v>
      </c>
      <c r="J21" s="133">
        <f t="shared" si="0"/>
        <v>1500000</v>
      </c>
      <c r="K21" s="588"/>
    </row>
    <row r="22" spans="1:11" s="137" customFormat="1" ht="12.75">
      <c r="A22" s="135"/>
      <c r="B22" s="135"/>
      <c r="C22" s="135"/>
      <c r="D22" s="987" t="s">
        <v>605</v>
      </c>
      <c r="E22" s="988"/>
      <c r="F22" s="136">
        <v>1442222</v>
      </c>
      <c r="G22" s="136">
        <v>0</v>
      </c>
      <c r="H22" s="136">
        <v>0</v>
      </c>
      <c r="I22" s="136">
        <v>0</v>
      </c>
      <c r="J22" s="133">
        <f t="shared" si="0"/>
        <v>1442222</v>
      </c>
      <c r="K22" s="588"/>
    </row>
    <row r="23" spans="1:11" ht="12" customHeight="1">
      <c r="A23" s="146" t="s">
        <v>147</v>
      </c>
      <c r="B23" s="991" t="s">
        <v>148</v>
      </c>
      <c r="C23" s="992"/>
      <c r="D23" s="992"/>
      <c r="E23" s="993"/>
      <c r="F23" s="133">
        <f>SUM(F58+F45+F46+F47+F43+F42+F41+F40+F29+F28+F27+F26+F24+F25)</f>
        <v>243995488</v>
      </c>
      <c r="G23" s="133">
        <f>SUM(G58+G45+G46+G47+G43+G42+G41+G40+G29+G28+G27+G26+G24+G25)</f>
        <v>0</v>
      </c>
      <c r="H23" s="133">
        <f>SUM(H58+H45+H46+H47+H43+H42+H41+H40+H29+H28+H27+H26+H24+H25)</f>
        <v>0</v>
      </c>
      <c r="I23" s="133">
        <f>SUM(I58+I45+I46+I47+I43+I42+I41+I40+I29+I28+I27+I26+I24+I25)</f>
        <v>0</v>
      </c>
      <c r="J23" s="133">
        <f t="shared" si="0"/>
        <v>243995488</v>
      </c>
      <c r="K23" s="588"/>
    </row>
    <row r="24" spans="1:11" ht="6" customHeight="1" hidden="1">
      <c r="A24" s="135"/>
      <c r="B24" s="135"/>
      <c r="C24" s="135" t="s">
        <v>149</v>
      </c>
      <c r="D24" s="135" t="s">
        <v>150</v>
      </c>
      <c r="E24" s="135"/>
      <c r="F24" s="136">
        <v>0</v>
      </c>
      <c r="G24" s="136">
        <v>0</v>
      </c>
      <c r="H24" s="136">
        <v>0</v>
      </c>
      <c r="I24" s="136">
        <v>0</v>
      </c>
      <c r="J24" s="147">
        <f t="shared" si="0"/>
        <v>0</v>
      </c>
      <c r="K24" s="589"/>
    </row>
    <row r="25" spans="1:11" ht="15" customHeight="1">
      <c r="A25" s="135"/>
      <c r="B25" s="135"/>
      <c r="C25" s="135" t="s">
        <v>151</v>
      </c>
      <c r="D25" s="135" t="s">
        <v>152</v>
      </c>
      <c r="E25" s="135"/>
      <c r="F25" s="136">
        <f>34037935+66110+32640+20906574</f>
        <v>55043259</v>
      </c>
      <c r="G25" s="136">
        <v>0</v>
      </c>
      <c r="H25" s="136">
        <v>0</v>
      </c>
      <c r="I25" s="136">
        <v>0</v>
      </c>
      <c r="J25" s="147">
        <f t="shared" si="0"/>
        <v>55043259</v>
      </c>
      <c r="K25" s="589"/>
    </row>
    <row r="26" spans="1:11" ht="12.75" hidden="1">
      <c r="A26" s="135"/>
      <c r="B26" s="135"/>
      <c r="C26" s="135" t="s">
        <v>153</v>
      </c>
      <c r="D26" s="994" t="s">
        <v>154</v>
      </c>
      <c r="E26" s="995"/>
      <c r="F26" s="136">
        <v>0</v>
      </c>
      <c r="G26" s="136">
        <v>0</v>
      </c>
      <c r="H26" s="136">
        <v>0</v>
      </c>
      <c r="I26" s="136">
        <v>0</v>
      </c>
      <c r="J26" s="147">
        <f t="shared" si="0"/>
        <v>0</v>
      </c>
      <c r="K26" s="589"/>
    </row>
    <row r="27" spans="1:11" ht="12.75" hidden="1">
      <c r="A27" s="135"/>
      <c r="B27" s="135"/>
      <c r="C27" s="135" t="s">
        <v>155</v>
      </c>
      <c r="D27" s="994" t="s">
        <v>156</v>
      </c>
      <c r="E27" s="995"/>
      <c r="F27" s="136">
        <v>0</v>
      </c>
      <c r="G27" s="136">
        <v>0</v>
      </c>
      <c r="H27" s="136">
        <v>0</v>
      </c>
      <c r="I27" s="136">
        <v>0</v>
      </c>
      <c r="J27" s="147">
        <f t="shared" si="0"/>
        <v>0</v>
      </c>
      <c r="K27" s="589"/>
    </row>
    <row r="28" spans="1:11" ht="12.75" hidden="1">
      <c r="A28" s="135"/>
      <c r="B28" s="135"/>
      <c r="C28" s="135" t="s">
        <v>177</v>
      </c>
      <c r="D28" s="994" t="s">
        <v>178</v>
      </c>
      <c r="E28" s="995"/>
      <c r="F28" s="136">
        <v>0</v>
      </c>
      <c r="G28" s="136">
        <v>0</v>
      </c>
      <c r="H28" s="136">
        <v>0</v>
      </c>
      <c r="I28" s="136">
        <v>0</v>
      </c>
      <c r="J28" s="147">
        <f t="shared" si="0"/>
        <v>0</v>
      </c>
      <c r="K28" s="589"/>
    </row>
    <row r="29" spans="1:11" ht="12.75" hidden="1">
      <c r="A29" s="135"/>
      <c r="B29" s="135"/>
      <c r="C29" s="135" t="s">
        <v>179</v>
      </c>
      <c r="D29" s="994" t="s">
        <v>180</v>
      </c>
      <c r="E29" s="995"/>
      <c r="F29" s="136">
        <f>SUM(F30:F39)</f>
        <v>0</v>
      </c>
      <c r="G29" s="136">
        <f>SUM(G30:G39)</f>
        <v>0</v>
      </c>
      <c r="H29" s="136">
        <f>SUM(H30:H39)</f>
        <v>0</v>
      </c>
      <c r="I29" s="136">
        <f>SUM(I30:I39)</f>
        <v>0</v>
      </c>
      <c r="J29" s="147">
        <f t="shared" si="0"/>
        <v>0</v>
      </c>
      <c r="K29" s="589"/>
    </row>
    <row r="30" spans="1:11" ht="12.75" hidden="1">
      <c r="A30" s="148"/>
      <c r="B30" s="148"/>
      <c r="C30" s="149" t="s">
        <v>2</v>
      </c>
      <c r="D30" s="149" t="s">
        <v>157</v>
      </c>
      <c r="E30" s="149" t="s">
        <v>158</v>
      </c>
      <c r="F30" s="150">
        <v>0</v>
      </c>
      <c r="G30" s="150">
        <v>0</v>
      </c>
      <c r="H30" s="150">
        <v>0</v>
      </c>
      <c r="I30" s="150">
        <v>0</v>
      </c>
      <c r="J30" s="147">
        <f t="shared" si="0"/>
        <v>0</v>
      </c>
      <c r="K30" s="589"/>
    </row>
    <row r="31" spans="1:11" ht="12.75" hidden="1">
      <c r="A31" s="148"/>
      <c r="B31" s="148"/>
      <c r="C31" s="149"/>
      <c r="D31" s="149" t="s">
        <v>159</v>
      </c>
      <c r="E31" s="149" t="s">
        <v>160</v>
      </c>
      <c r="F31" s="150">
        <v>0</v>
      </c>
      <c r="G31" s="150">
        <v>0</v>
      </c>
      <c r="H31" s="150">
        <v>0</v>
      </c>
      <c r="I31" s="150">
        <v>0</v>
      </c>
      <c r="J31" s="147">
        <f t="shared" si="0"/>
        <v>0</v>
      </c>
      <c r="K31" s="589"/>
    </row>
    <row r="32" spans="1:11" ht="12.75" hidden="1">
      <c r="A32" s="148"/>
      <c r="B32" s="148"/>
      <c r="C32" s="149"/>
      <c r="D32" s="149" t="s">
        <v>161</v>
      </c>
      <c r="E32" s="149" t="s">
        <v>162</v>
      </c>
      <c r="F32" s="150">
        <v>0</v>
      </c>
      <c r="G32" s="150">
        <v>0</v>
      </c>
      <c r="H32" s="150">
        <v>0</v>
      </c>
      <c r="I32" s="150">
        <v>0</v>
      </c>
      <c r="J32" s="147">
        <f t="shared" si="0"/>
        <v>0</v>
      </c>
      <c r="K32" s="589"/>
    </row>
    <row r="33" spans="1:11" ht="12.75" hidden="1">
      <c r="A33" s="148"/>
      <c r="B33" s="148"/>
      <c r="C33" s="149"/>
      <c r="D33" s="149" t="s">
        <v>163</v>
      </c>
      <c r="E33" s="149" t="s">
        <v>164</v>
      </c>
      <c r="F33" s="150">
        <v>0</v>
      </c>
      <c r="G33" s="150">
        <v>0</v>
      </c>
      <c r="H33" s="150">
        <v>0</v>
      </c>
      <c r="I33" s="150">
        <v>0</v>
      </c>
      <c r="J33" s="147">
        <f t="shared" si="0"/>
        <v>0</v>
      </c>
      <c r="K33" s="589"/>
    </row>
    <row r="34" spans="1:11" ht="12.75" hidden="1">
      <c r="A34" s="148"/>
      <c r="B34" s="148"/>
      <c r="C34" s="149"/>
      <c r="D34" s="149" t="s">
        <v>165</v>
      </c>
      <c r="E34" s="149" t="s">
        <v>166</v>
      </c>
      <c r="F34" s="150">
        <v>0</v>
      </c>
      <c r="G34" s="150">
        <v>0</v>
      </c>
      <c r="H34" s="150">
        <v>0</v>
      </c>
      <c r="I34" s="150">
        <v>0</v>
      </c>
      <c r="J34" s="147">
        <f t="shared" si="0"/>
        <v>0</v>
      </c>
      <c r="K34" s="589"/>
    </row>
    <row r="35" spans="1:11" ht="12.75" hidden="1">
      <c r="A35" s="148"/>
      <c r="B35" s="148"/>
      <c r="C35" s="149"/>
      <c r="D35" s="149" t="s">
        <v>167</v>
      </c>
      <c r="E35" s="149" t="s">
        <v>168</v>
      </c>
      <c r="F35" s="150">
        <v>0</v>
      </c>
      <c r="G35" s="150">
        <v>0</v>
      </c>
      <c r="H35" s="150">
        <v>0</v>
      </c>
      <c r="I35" s="150">
        <v>0</v>
      </c>
      <c r="J35" s="147">
        <f t="shared" si="0"/>
        <v>0</v>
      </c>
      <c r="K35" s="589"/>
    </row>
    <row r="36" spans="1:11" ht="0.75" customHeight="1" hidden="1">
      <c r="A36" s="148"/>
      <c r="B36" s="148"/>
      <c r="C36" s="149"/>
      <c r="D36" s="149" t="s">
        <v>169</v>
      </c>
      <c r="E36" s="149" t="s">
        <v>170</v>
      </c>
      <c r="F36" s="150">
        <v>0</v>
      </c>
      <c r="G36" s="150">
        <v>0</v>
      </c>
      <c r="H36" s="150">
        <v>0</v>
      </c>
      <c r="I36" s="150">
        <v>0</v>
      </c>
      <c r="J36" s="147">
        <f t="shared" si="0"/>
        <v>0</v>
      </c>
      <c r="K36" s="589"/>
    </row>
    <row r="37" spans="1:11" ht="12.75" hidden="1">
      <c r="A37" s="148"/>
      <c r="B37" s="148"/>
      <c r="C37" s="149"/>
      <c r="D37" s="149" t="s">
        <v>171</v>
      </c>
      <c r="E37" s="149" t="s">
        <v>172</v>
      </c>
      <c r="F37" s="150">
        <v>0</v>
      </c>
      <c r="G37" s="150">
        <v>0</v>
      </c>
      <c r="H37" s="150">
        <v>0</v>
      </c>
      <c r="I37" s="150">
        <v>0</v>
      </c>
      <c r="J37" s="147">
        <f t="shared" si="0"/>
        <v>0</v>
      </c>
      <c r="K37" s="589"/>
    </row>
    <row r="38" spans="1:11" ht="12.75" hidden="1">
      <c r="A38" s="148"/>
      <c r="B38" s="148"/>
      <c r="C38" s="149"/>
      <c r="D38" s="149" t="s">
        <v>173</v>
      </c>
      <c r="E38" s="149" t="s">
        <v>174</v>
      </c>
      <c r="F38" s="150">
        <v>0</v>
      </c>
      <c r="G38" s="150">
        <v>0</v>
      </c>
      <c r="H38" s="150">
        <v>0</v>
      </c>
      <c r="I38" s="150">
        <v>0</v>
      </c>
      <c r="J38" s="147">
        <f t="shared" si="0"/>
        <v>0</v>
      </c>
      <c r="K38" s="589"/>
    </row>
    <row r="39" spans="1:11" ht="12.75" hidden="1">
      <c r="A39" s="148"/>
      <c r="B39" s="148"/>
      <c r="C39" s="149"/>
      <c r="D39" s="149" t="s">
        <v>175</v>
      </c>
      <c r="E39" s="149" t="s">
        <v>176</v>
      </c>
      <c r="F39" s="150">
        <v>0</v>
      </c>
      <c r="G39" s="150">
        <v>0</v>
      </c>
      <c r="H39" s="150">
        <v>0</v>
      </c>
      <c r="I39" s="150">
        <v>0</v>
      </c>
      <c r="J39" s="147">
        <f t="shared" si="0"/>
        <v>0</v>
      </c>
      <c r="K39" s="589"/>
    </row>
    <row r="40" spans="1:11" ht="12.75" hidden="1">
      <c r="A40" s="135"/>
      <c r="B40" s="135"/>
      <c r="C40" s="135" t="s">
        <v>181</v>
      </c>
      <c r="D40" s="994" t="s">
        <v>182</v>
      </c>
      <c r="E40" s="995"/>
      <c r="F40" s="136">
        <v>0</v>
      </c>
      <c r="G40" s="136">
        <v>0</v>
      </c>
      <c r="H40" s="136">
        <v>0</v>
      </c>
      <c r="I40" s="136">
        <v>0</v>
      </c>
      <c r="J40" s="147">
        <f t="shared" si="0"/>
        <v>0</v>
      </c>
      <c r="K40" s="589"/>
    </row>
    <row r="41" spans="1:11" ht="12.75" hidden="1">
      <c r="A41" s="135"/>
      <c r="B41" s="135"/>
      <c r="C41" s="135" t="s">
        <v>183</v>
      </c>
      <c r="D41" s="994" t="s">
        <v>536</v>
      </c>
      <c r="E41" s="995"/>
      <c r="F41" s="136">
        <v>0</v>
      </c>
      <c r="G41" s="136">
        <v>0</v>
      </c>
      <c r="H41" s="136">
        <v>0</v>
      </c>
      <c r="I41" s="136">
        <v>0</v>
      </c>
      <c r="J41" s="147">
        <f t="shared" si="0"/>
        <v>0</v>
      </c>
      <c r="K41" s="589"/>
    </row>
    <row r="42" spans="1:11" ht="12.75" hidden="1">
      <c r="A42" s="135"/>
      <c r="B42" s="135"/>
      <c r="C42" s="135" t="s">
        <v>194</v>
      </c>
      <c r="D42" s="994" t="s">
        <v>195</v>
      </c>
      <c r="E42" s="995"/>
      <c r="F42" s="136">
        <v>0</v>
      </c>
      <c r="G42" s="136">
        <v>0</v>
      </c>
      <c r="H42" s="136">
        <v>0</v>
      </c>
      <c r="I42" s="136">
        <v>0</v>
      </c>
      <c r="J42" s="147">
        <f t="shared" si="0"/>
        <v>0</v>
      </c>
      <c r="K42" s="589"/>
    </row>
    <row r="43" spans="1:11" ht="12.75" hidden="1">
      <c r="A43" s="135"/>
      <c r="B43" s="135"/>
      <c r="C43" s="135" t="s">
        <v>196</v>
      </c>
      <c r="D43" s="994" t="s">
        <v>197</v>
      </c>
      <c r="E43" s="995"/>
      <c r="F43" s="136">
        <v>0</v>
      </c>
      <c r="G43" s="136">
        <v>0</v>
      </c>
      <c r="H43" s="136">
        <v>0</v>
      </c>
      <c r="I43" s="136">
        <v>0</v>
      </c>
      <c r="J43" s="147">
        <f t="shared" si="0"/>
        <v>0</v>
      </c>
      <c r="K43" s="589"/>
    </row>
    <row r="44" spans="1:11" ht="12.75" hidden="1">
      <c r="A44" s="135"/>
      <c r="B44" s="135"/>
      <c r="C44" s="135" t="s">
        <v>198</v>
      </c>
      <c r="D44" s="994" t="s">
        <v>578</v>
      </c>
      <c r="E44" s="995"/>
      <c r="F44" s="136">
        <v>0</v>
      </c>
      <c r="G44" s="136">
        <v>0</v>
      </c>
      <c r="H44" s="136">
        <v>0</v>
      </c>
      <c r="I44" s="136">
        <v>0</v>
      </c>
      <c r="J44" s="147">
        <f t="shared" si="0"/>
        <v>0</v>
      </c>
      <c r="K44" s="589"/>
    </row>
    <row r="45" spans="1:11" ht="11.25" customHeight="1">
      <c r="A45" s="135"/>
      <c r="B45" s="135"/>
      <c r="C45" s="135" t="s">
        <v>973</v>
      </c>
      <c r="D45" s="985" t="s">
        <v>972</v>
      </c>
      <c r="E45" s="986"/>
      <c r="F45" s="136">
        <f>1055350+28922+15000</f>
        <v>1099272</v>
      </c>
      <c r="G45" s="136">
        <v>0</v>
      </c>
      <c r="H45" s="136">
        <v>0</v>
      </c>
      <c r="I45" s="136">
        <v>0</v>
      </c>
      <c r="J45" s="147">
        <f t="shared" si="0"/>
        <v>1099272</v>
      </c>
      <c r="K45" s="589"/>
    </row>
    <row r="46" spans="1:11" ht="23.25" customHeight="1">
      <c r="A46" s="135"/>
      <c r="B46" s="135"/>
      <c r="C46" s="135" t="s">
        <v>183</v>
      </c>
      <c r="D46" s="985" t="s">
        <v>1110</v>
      </c>
      <c r="E46" s="986"/>
      <c r="F46" s="136">
        <v>1032600</v>
      </c>
      <c r="G46" s="136"/>
      <c r="H46" s="136"/>
      <c r="I46" s="136"/>
      <c r="J46" s="147"/>
      <c r="K46" s="589"/>
    </row>
    <row r="47" spans="1:11" ht="12.75">
      <c r="A47" s="135"/>
      <c r="B47" s="135"/>
      <c r="C47" s="135" t="s">
        <v>200</v>
      </c>
      <c r="D47" s="985" t="s">
        <v>199</v>
      </c>
      <c r="E47" s="986"/>
      <c r="F47" s="136">
        <f>38436000+9850000+1000000+25828000+17049000+16441000+4592665+40519000-9850000-1100000-4650000-1000000+1031200+1564044+5275000+3015000+922000+1397000+2261329+1625335+100000+7100000+868+300000+3692132+2800000+4638836+7265000-3663000-760000-618000-787000-306000-619000+15000+1564044-1564044</f>
        <v>173365409</v>
      </c>
      <c r="G47" s="136">
        <f>SUM(G48:G57)</f>
        <v>0</v>
      </c>
      <c r="H47" s="136">
        <f>SUM(H48:H57)</f>
        <v>0</v>
      </c>
      <c r="I47" s="136">
        <f>SUM(I48:I57)</f>
        <v>0</v>
      </c>
      <c r="J47" s="147">
        <f t="shared" si="0"/>
        <v>173365409</v>
      </c>
      <c r="K47" s="589"/>
    </row>
    <row r="48" spans="1:11" ht="12.75" hidden="1">
      <c r="A48" s="151"/>
      <c r="B48" s="151"/>
      <c r="C48" s="149" t="s">
        <v>2</v>
      </c>
      <c r="D48" s="200" t="s">
        <v>157</v>
      </c>
      <c r="E48" s="200" t="s">
        <v>184</v>
      </c>
      <c r="F48" s="150">
        <v>0</v>
      </c>
      <c r="G48" s="150">
        <v>0</v>
      </c>
      <c r="H48" s="150">
        <v>0</v>
      </c>
      <c r="I48" s="150">
        <v>0</v>
      </c>
      <c r="J48" s="147">
        <f t="shared" si="0"/>
        <v>0</v>
      </c>
      <c r="K48" s="589"/>
    </row>
    <row r="49" spans="1:11" ht="12.75" hidden="1">
      <c r="A49" s="151"/>
      <c r="B49" s="151"/>
      <c r="C49" s="149"/>
      <c r="D49" s="200" t="s">
        <v>159</v>
      </c>
      <c r="E49" s="200" t="s">
        <v>575</v>
      </c>
      <c r="F49" s="150">
        <v>0</v>
      </c>
      <c r="G49" s="150"/>
      <c r="H49" s="150"/>
      <c r="I49" s="150"/>
      <c r="J49" s="147">
        <f t="shared" si="0"/>
        <v>0</v>
      </c>
      <c r="K49" s="589"/>
    </row>
    <row r="50" spans="1:11" ht="12.75" hidden="1">
      <c r="A50" s="151"/>
      <c r="B50" s="151"/>
      <c r="C50" s="149"/>
      <c r="D50" s="200" t="s">
        <v>161</v>
      </c>
      <c r="E50" s="200" t="s">
        <v>185</v>
      </c>
      <c r="F50" s="150">
        <f>100000</f>
        <v>100000</v>
      </c>
      <c r="G50" s="150">
        <v>0</v>
      </c>
      <c r="H50" s="150">
        <v>0</v>
      </c>
      <c r="I50" s="150">
        <v>0</v>
      </c>
      <c r="J50" s="147">
        <f t="shared" si="0"/>
        <v>100000</v>
      </c>
      <c r="K50" s="589"/>
    </row>
    <row r="51" spans="1:11" ht="12.75" hidden="1">
      <c r="A51" s="151"/>
      <c r="B51" s="151"/>
      <c r="C51" s="149"/>
      <c r="D51" s="200" t="s">
        <v>163</v>
      </c>
      <c r="E51" s="200" t="s">
        <v>186</v>
      </c>
      <c r="F51" s="150">
        <v>0</v>
      </c>
      <c r="G51" s="150">
        <v>0</v>
      </c>
      <c r="H51" s="150">
        <v>0</v>
      </c>
      <c r="I51" s="150">
        <v>0</v>
      </c>
      <c r="J51" s="147">
        <f t="shared" si="0"/>
        <v>0</v>
      </c>
      <c r="K51" s="589"/>
    </row>
    <row r="52" spans="1:11" ht="12.75" hidden="1">
      <c r="A52" s="151"/>
      <c r="B52" s="151"/>
      <c r="C52" s="149"/>
      <c r="D52" s="200" t="s">
        <v>165</v>
      </c>
      <c r="E52" s="200" t="s">
        <v>187</v>
      </c>
      <c r="F52" s="150">
        <v>0</v>
      </c>
      <c r="G52" s="150">
        <v>0</v>
      </c>
      <c r="H52" s="150">
        <v>0</v>
      </c>
      <c r="I52" s="150">
        <v>0</v>
      </c>
      <c r="J52" s="147">
        <f t="shared" si="0"/>
        <v>0</v>
      </c>
      <c r="K52" s="589"/>
    </row>
    <row r="53" spans="1:11" ht="12.75" hidden="1">
      <c r="A53" s="151"/>
      <c r="B53" s="151"/>
      <c r="C53" s="149"/>
      <c r="D53" s="200" t="s">
        <v>167</v>
      </c>
      <c r="E53" s="200" t="s">
        <v>188</v>
      </c>
      <c r="F53" s="150">
        <v>0</v>
      </c>
      <c r="G53" s="150">
        <v>0</v>
      </c>
      <c r="H53" s="150">
        <v>0</v>
      </c>
      <c r="I53" s="150">
        <v>0</v>
      </c>
      <c r="J53" s="147">
        <f t="shared" si="0"/>
        <v>0</v>
      </c>
      <c r="K53" s="589"/>
    </row>
    <row r="54" spans="1:11" ht="12.75" hidden="1">
      <c r="A54" s="148"/>
      <c r="B54" s="148"/>
      <c r="C54" s="149"/>
      <c r="D54" s="200" t="s">
        <v>169</v>
      </c>
      <c r="E54" s="200" t="s">
        <v>189</v>
      </c>
      <c r="F54" s="150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4" s="150">
        <v>0</v>
      </c>
      <c r="H54" s="150">
        <v>0</v>
      </c>
      <c r="I54" s="150">
        <v>0</v>
      </c>
      <c r="J54" s="147">
        <f t="shared" si="0"/>
        <v>208924042</v>
      </c>
      <c r="K54" s="589"/>
    </row>
    <row r="55" spans="1:11" ht="12.75" hidden="1">
      <c r="A55" s="148"/>
      <c r="B55" s="148"/>
      <c r="C55" s="149"/>
      <c r="D55" s="200" t="s">
        <v>171</v>
      </c>
      <c r="E55" s="200" t="s">
        <v>190</v>
      </c>
      <c r="F55" s="150">
        <f>3224350+35026110</f>
        <v>38250460</v>
      </c>
      <c r="G55" s="150">
        <v>0</v>
      </c>
      <c r="H55" s="150">
        <v>0</v>
      </c>
      <c r="I55" s="150">
        <v>0</v>
      </c>
      <c r="J55" s="147">
        <f t="shared" si="0"/>
        <v>38250460</v>
      </c>
      <c r="K55" s="589"/>
    </row>
    <row r="56" spans="1:11" ht="12.75" hidden="1">
      <c r="A56" s="151"/>
      <c r="B56" s="151"/>
      <c r="C56" s="149"/>
      <c r="D56" s="200" t="s">
        <v>173</v>
      </c>
      <c r="E56" s="200" t="s">
        <v>192</v>
      </c>
      <c r="F56" s="150">
        <v>0</v>
      </c>
      <c r="G56" s="150">
        <v>0</v>
      </c>
      <c r="H56" s="150">
        <v>0</v>
      </c>
      <c r="I56" s="150">
        <v>0</v>
      </c>
      <c r="J56" s="147">
        <f t="shared" si="0"/>
        <v>0</v>
      </c>
      <c r="K56" s="589"/>
    </row>
    <row r="57" spans="1:11" ht="12.75" hidden="1">
      <c r="A57" s="151"/>
      <c r="B57" s="151"/>
      <c r="C57" s="149"/>
      <c r="D57" s="200" t="s">
        <v>175</v>
      </c>
      <c r="E57" s="200" t="s">
        <v>193</v>
      </c>
      <c r="F57" s="150">
        <v>0</v>
      </c>
      <c r="G57" s="150">
        <v>0</v>
      </c>
      <c r="H57" s="150">
        <v>0</v>
      </c>
      <c r="I57" s="150">
        <v>0</v>
      </c>
      <c r="J57" s="147">
        <f t="shared" si="0"/>
        <v>0</v>
      </c>
      <c r="K57" s="589"/>
    </row>
    <row r="58" spans="1:11" ht="12.75">
      <c r="A58" s="151"/>
      <c r="B58" s="151"/>
      <c r="C58" s="135" t="s">
        <v>579</v>
      </c>
      <c r="D58" s="985" t="s">
        <v>201</v>
      </c>
      <c r="E58" s="986"/>
      <c r="F58" s="136">
        <f>SUM(F59:F66)</f>
        <v>13454948</v>
      </c>
      <c r="G58" s="136">
        <f>SUM(G59:G63)</f>
        <v>0</v>
      </c>
      <c r="H58" s="136">
        <f>SUM(H59:H63)</f>
        <v>0</v>
      </c>
      <c r="I58" s="136">
        <f>SUM(I59:I63)</f>
        <v>0</v>
      </c>
      <c r="J58" s="147">
        <f t="shared" si="0"/>
        <v>13454948</v>
      </c>
      <c r="K58" s="589"/>
    </row>
    <row r="59" spans="1:11" ht="12.75">
      <c r="A59" s="148"/>
      <c r="B59" s="148"/>
      <c r="C59" s="152" t="s">
        <v>2</v>
      </c>
      <c r="D59" s="153"/>
      <c r="E59" s="154" t="s">
        <v>419</v>
      </c>
      <c r="F59" s="150">
        <v>1000000</v>
      </c>
      <c r="G59" s="150">
        <v>0</v>
      </c>
      <c r="H59" s="150">
        <v>0</v>
      </c>
      <c r="I59" s="150">
        <v>0</v>
      </c>
      <c r="J59" s="147">
        <f t="shared" si="0"/>
        <v>1000000</v>
      </c>
      <c r="K59" s="589"/>
    </row>
    <row r="60" spans="1:11" ht="12.75" hidden="1">
      <c r="A60" s="148"/>
      <c r="B60" s="148"/>
      <c r="C60" s="149"/>
      <c r="D60" s="153"/>
      <c r="E60" s="154" t="s">
        <v>456</v>
      </c>
      <c r="F60" s="150">
        <f>1000000-63500-68000-30000-90000-146050-190500-150000-261950</f>
        <v>0</v>
      </c>
      <c r="G60" s="150">
        <v>0</v>
      </c>
      <c r="H60" s="150">
        <v>0</v>
      </c>
      <c r="I60" s="150">
        <v>0</v>
      </c>
      <c r="J60" s="147">
        <f t="shared" si="0"/>
        <v>0</v>
      </c>
      <c r="K60" s="589"/>
    </row>
    <row r="61" spans="1:11" ht="12.75">
      <c r="A61" s="148"/>
      <c r="B61" s="148"/>
      <c r="C61" s="149"/>
      <c r="D61" s="153"/>
      <c r="E61" s="154" t="s">
        <v>690</v>
      </c>
      <c r="F61" s="150">
        <f>495000+553029</f>
        <v>1048029</v>
      </c>
      <c r="G61" s="150">
        <v>0</v>
      </c>
      <c r="H61" s="150">
        <v>0</v>
      </c>
      <c r="I61" s="150">
        <v>0</v>
      </c>
      <c r="J61" s="147">
        <f t="shared" si="0"/>
        <v>1048029</v>
      </c>
      <c r="K61" s="589"/>
    </row>
    <row r="62" spans="1:11" ht="22.5" hidden="1">
      <c r="A62" s="148"/>
      <c r="B62" s="148"/>
      <c r="C62" s="149"/>
      <c r="D62" s="153"/>
      <c r="E62" s="587" t="s">
        <v>770</v>
      </c>
      <c r="F62" s="800">
        <f>23433000-20000000-1576197-1055350-288050-513403</f>
        <v>0</v>
      </c>
      <c r="G62" s="800"/>
      <c r="H62" s="800"/>
      <c r="I62" s="800"/>
      <c r="J62" s="801">
        <f t="shared" si="0"/>
        <v>0</v>
      </c>
      <c r="K62" s="589"/>
    </row>
    <row r="63" spans="1:11" ht="27.75" customHeight="1">
      <c r="A63" s="148"/>
      <c r="B63" s="148"/>
      <c r="C63" s="149"/>
      <c r="D63" s="153"/>
      <c r="E63" s="802" t="s">
        <v>925</v>
      </c>
      <c r="F63" s="800">
        <f>5000000-1269600+3500000</f>
        <v>7230400</v>
      </c>
      <c r="G63" s="800">
        <v>0</v>
      </c>
      <c r="H63" s="800">
        <v>0</v>
      </c>
      <c r="I63" s="800">
        <v>0</v>
      </c>
      <c r="J63" s="801">
        <f t="shared" si="0"/>
        <v>7230400</v>
      </c>
      <c r="K63" s="589"/>
    </row>
    <row r="64" spans="1:11" ht="15.75" customHeight="1">
      <c r="A64" s="148"/>
      <c r="B64" s="148"/>
      <c r="C64" s="149"/>
      <c r="D64" s="153"/>
      <c r="E64" s="802" t="s">
        <v>974</v>
      </c>
      <c r="F64" s="800">
        <v>4176519</v>
      </c>
      <c r="G64" s="800">
        <v>0</v>
      </c>
      <c r="H64" s="800">
        <v>0</v>
      </c>
      <c r="I64" s="800">
        <v>0</v>
      </c>
      <c r="J64" s="801">
        <f t="shared" si="0"/>
        <v>4176519</v>
      </c>
      <c r="K64" s="589"/>
    </row>
    <row r="65" spans="1:11" ht="18" customHeight="1" hidden="1">
      <c r="A65" s="148"/>
      <c r="B65" s="148"/>
      <c r="C65" s="149"/>
      <c r="D65" s="153"/>
      <c r="E65" s="802" t="s">
        <v>962</v>
      </c>
      <c r="F65" s="800">
        <f>59808757-7679730-553029-602617-1492000-8045171-7935168-4176519-28922-20906574-217072-8171955</f>
        <v>0</v>
      </c>
      <c r="G65" s="800"/>
      <c r="H65" s="800"/>
      <c r="I65" s="800"/>
      <c r="J65" s="801">
        <f t="shared" si="0"/>
        <v>0</v>
      </c>
      <c r="K65" s="589"/>
    </row>
    <row r="66" spans="1:11" ht="17.25" customHeight="1" hidden="1">
      <c r="A66" s="148"/>
      <c r="B66" s="148"/>
      <c r="C66" s="149"/>
      <c r="D66" s="153"/>
      <c r="E66" s="802" t="s">
        <v>965</v>
      </c>
      <c r="F66" s="800">
        <f>9782649-6323709-100000-3358940</f>
        <v>0</v>
      </c>
      <c r="G66" s="800"/>
      <c r="H66" s="800"/>
      <c r="I66" s="800"/>
      <c r="J66" s="801">
        <f t="shared" si="0"/>
        <v>0</v>
      </c>
      <c r="K66" s="589"/>
    </row>
    <row r="67" spans="1:11" ht="12" customHeight="1">
      <c r="A67" s="146" t="s">
        <v>129</v>
      </c>
      <c r="B67" s="991" t="s">
        <v>363</v>
      </c>
      <c r="C67" s="992"/>
      <c r="D67" s="992"/>
      <c r="E67" s="993"/>
      <c r="F67" s="133">
        <f>264185263+12223750+525300+8644085+335750+76200+15576620+10986734-11201400+495250+151044+299888+1846997+8983129+120000+2497100+30000+150000+235153+233830+73660+1920000+106200000+807720+3055442+2893619+2316859-243600+15+152400+387985+200000+197100+49530-49530+1595000+5715000+103900+242642019-242642019+3832400-3832400+17861888-17861888+8983129-8983129+2497100-2497100+192470000+830000+29000+5990+914+25400+1250000+6000000</f>
        <v>642381097</v>
      </c>
      <c r="G67" s="133">
        <f>1229404+1269600</f>
        <v>2499004</v>
      </c>
      <c r="H67" s="133">
        <f>304800+1687190+2412553+152273+151629+84541+195000+79900+123070+198285-39190+768772+76969+35900</f>
        <v>6231692</v>
      </c>
      <c r="I67" s="133">
        <f>103900-103900</f>
        <v>0</v>
      </c>
      <c r="J67" s="133">
        <f t="shared" si="0"/>
        <v>651111793</v>
      </c>
      <c r="K67" s="588"/>
    </row>
    <row r="68" spans="1:11" ht="12.75">
      <c r="A68" s="146" t="s">
        <v>131</v>
      </c>
      <c r="B68" s="991" t="s">
        <v>130</v>
      </c>
      <c r="C68" s="992"/>
      <c r="D68" s="992"/>
      <c r="E68" s="993"/>
      <c r="F68" s="133">
        <f>6310000-3810000+508000+17634204+389000+2606050+22279919+850900+3000000+5000000+6528562+1576197+95000000+29947750-387985+900000-900000-197100-545000-444500+97606050-97606050+2500000-2500000+6528562-6528562+47500000</f>
        <v>233745997</v>
      </c>
      <c r="G68" s="133">
        <v>0</v>
      </c>
      <c r="H68" s="133">
        <f>700924+49430</f>
        <v>750354</v>
      </c>
      <c r="I68" s="133"/>
      <c r="J68" s="133">
        <f t="shared" si="0"/>
        <v>234496351</v>
      </c>
      <c r="K68" s="588"/>
    </row>
    <row r="69" spans="1:11" ht="12.75">
      <c r="A69" s="146" t="s">
        <v>133</v>
      </c>
      <c r="B69" s="991" t="s">
        <v>132</v>
      </c>
      <c r="C69" s="992"/>
      <c r="D69" s="992"/>
      <c r="E69" s="993"/>
      <c r="F69" s="133">
        <f>SUM(F70:F78)</f>
        <v>18530987</v>
      </c>
      <c r="G69" s="133">
        <f>SUM(G70:G78)</f>
        <v>0</v>
      </c>
      <c r="H69" s="133">
        <f>SUM(H70:H78)</f>
        <v>0</v>
      </c>
      <c r="I69" s="133">
        <f>SUM(I70:I78)</f>
        <v>0</v>
      </c>
      <c r="J69" s="133">
        <f t="shared" si="0"/>
        <v>18530987</v>
      </c>
      <c r="K69" s="588"/>
    </row>
    <row r="70" spans="1:11" ht="12.75" hidden="1">
      <c r="A70" s="129"/>
      <c r="B70" s="129" t="s">
        <v>203</v>
      </c>
      <c r="C70" s="990" t="s">
        <v>204</v>
      </c>
      <c r="D70" s="990"/>
      <c r="E70" s="990"/>
      <c r="F70" s="132">
        <v>0</v>
      </c>
      <c r="G70" s="132">
        <v>0</v>
      </c>
      <c r="H70" s="132">
        <v>0</v>
      </c>
      <c r="I70" s="132">
        <v>0</v>
      </c>
      <c r="J70" s="133">
        <f t="shared" si="0"/>
        <v>0</v>
      </c>
      <c r="K70" s="588"/>
    </row>
    <row r="71" spans="1:11" ht="12.75" hidden="1">
      <c r="A71" s="129"/>
      <c r="B71" s="129" t="s">
        <v>205</v>
      </c>
      <c r="C71" s="990" t="s">
        <v>206</v>
      </c>
      <c r="D71" s="990"/>
      <c r="E71" s="990"/>
      <c r="F71" s="132">
        <v>0</v>
      </c>
      <c r="G71" s="132">
        <v>0</v>
      </c>
      <c r="H71" s="132">
        <v>0</v>
      </c>
      <c r="I71" s="132">
        <v>0</v>
      </c>
      <c r="J71" s="133">
        <f t="shared" si="0"/>
        <v>0</v>
      </c>
      <c r="K71" s="588"/>
    </row>
    <row r="72" spans="1:11" ht="12.75" hidden="1">
      <c r="A72" s="129" t="s">
        <v>202</v>
      </c>
      <c r="B72" s="129" t="s">
        <v>207</v>
      </c>
      <c r="C72" s="990" t="s">
        <v>208</v>
      </c>
      <c r="D72" s="990"/>
      <c r="E72" s="990"/>
      <c r="F72" s="132">
        <v>0</v>
      </c>
      <c r="G72" s="132">
        <v>0</v>
      </c>
      <c r="H72" s="132">
        <v>0</v>
      </c>
      <c r="I72" s="132">
        <v>0</v>
      </c>
      <c r="J72" s="133">
        <f t="shared" si="0"/>
        <v>0</v>
      </c>
      <c r="K72" s="588"/>
    </row>
    <row r="73" spans="1:11" ht="12.75" hidden="1">
      <c r="A73" s="129"/>
      <c r="B73" s="129" t="s">
        <v>209</v>
      </c>
      <c r="C73" s="990" t="s">
        <v>210</v>
      </c>
      <c r="D73" s="990"/>
      <c r="E73" s="990"/>
      <c r="F73" s="132">
        <v>0</v>
      </c>
      <c r="G73" s="132">
        <v>0</v>
      </c>
      <c r="H73" s="132">
        <v>0</v>
      </c>
      <c r="I73" s="132">
        <v>0</v>
      </c>
      <c r="J73" s="133">
        <f t="shared" si="0"/>
        <v>0</v>
      </c>
      <c r="K73" s="588"/>
    </row>
    <row r="74" spans="1:11" ht="12.75" hidden="1">
      <c r="A74" s="129"/>
      <c r="B74" s="129" t="s">
        <v>211</v>
      </c>
      <c r="C74" s="990" t="s">
        <v>212</v>
      </c>
      <c r="D74" s="990"/>
      <c r="E74" s="990"/>
      <c r="F74" s="132">
        <v>0</v>
      </c>
      <c r="G74" s="132">
        <v>0</v>
      </c>
      <c r="H74" s="132">
        <v>0</v>
      </c>
      <c r="I74" s="132">
        <v>0</v>
      </c>
      <c r="J74" s="133">
        <f t="shared" si="0"/>
        <v>0</v>
      </c>
      <c r="K74" s="588"/>
    </row>
    <row r="75" spans="1:11" ht="12.75" hidden="1">
      <c r="A75" s="129"/>
      <c r="B75" s="129" t="s">
        <v>213</v>
      </c>
      <c r="C75" s="990" t="s">
        <v>214</v>
      </c>
      <c r="D75" s="990"/>
      <c r="E75" s="990"/>
      <c r="F75" s="132">
        <v>0</v>
      </c>
      <c r="G75" s="132">
        <v>0</v>
      </c>
      <c r="H75" s="132">
        <v>0</v>
      </c>
      <c r="I75" s="132">
        <v>0</v>
      </c>
      <c r="J75" s="133">
        <f t="shared" si="0"/>
        <v>0</v>
      </c>
      <c r="K75" s="588"/>
    </row>
    <row r="76" spans="1:11" ht="12.75" hidden="1">
      <c r="A76" s="129"/>
      <c r="B76" s="129" t="s">
        <v>215</v>
      </c>
      <c r="C76" s="990" t="s">
        <v>216</v>
      </c>
      <c r="D76" s="990"/>
      <c r="E76" s="990"/>
      <c r="F76" s="132">
        <v>0</v>
      </c>
      <c r="G76" s="132">
        <v>0</v>
      </c>
      <c r="H76" s="132">
        <v>0</v>
      </c>
      <c r="I76" s="132">
        <v>0</v>
      </c>
      <c r="J76" s="133">
        <f>SUM(F76:I76)</f>
        <v>0</v>
      </c>
      <c r="K76" s="588"/>
    </row>
    <row r="77" spans="1:11" ht="12.75" hidden="1">
      <c r="A77" s="129"/>
      <c r="B77" s="129" t="s">
        <v>217</v>
      </c>
      <c r="C77" s="990" t="s">
        <v>581</v>
      </c>
      <c r="D77" s="990"/>
      <c r="E77" s="990"/>
      <c r="F77" s="132">
        <v>0</v>
      </c>
      <c r="G77" s="132">
        <v>0</v>
      </c>
      <c r="H77" s="132">
        <v>0</v>
      </c>
      <c r="I77" s="132">
        <v>0</v>
      </c>
      <c r="J77" s="133">
        <f>SUM(F77:I77)</f>
        <v>0</v>
      </c>
      <c r="K77" s="588"/>
    </row>
    <row r="78" spans="1:11" ht="12.75">
      <c r="A78" s="129"/>
      <c r="B78" s="129" t="s">
        <v>580</v>
      </c>
      <c r="C78" s="990" t="s">
        <v>1210</v>
      </c>
      <c r="D78" s="990"/>
      <c r="E78" s="990"/>
      <c r="F78" s="132">
        <f>449520+1159500+18081467-1159500</f>
        <v>18530987</v>
      </c>
      <c r="G78" s="132">
        <v>0</v>
      </c>
      <c r="H78" s="132">
        <v>0</v>
      </c>
      <c r="I78" s="132">
        <v>0</v>
      </c>
      <c r="J78" s="133">
        <f>SUM(F78:I78)</f>
        <v>18530987</v>
      </c>
      <c r="K78" s="588"/>
    </row>
    <row r="79" spans="1:11" ht="12.75">
      <c r="A79" s="146" t="s">
        <v>135</v>
      </c>
      <c r="B79" s="991" t="s">
        <v>134</v>
      </c>
      <c r="C79" s="992"/>
      <c r="D79" s="992"/>
      <c r="E79" s="993"/>
      <c r="F79" s="133">
        <v>18041236</v>
      </c>
      <c r="G79" s="133">
        <v>0</v>
      </c>
      <c r="H79" s="133">
        <v>0</v>
      </c>
      <c r="I79" s="133">
        <v>0</v>
      </c>
      <c r="J79" s="133">
        <f>SUM(F79:I79)</f>
        <v>18041236</v>
      </c>
      <c r="K79" s="588"/>
    </row>
    <row r="80" spans="1:10" ht="12.75">
      <c r="A80" s="155"/>
      <c r="B80" s="156"/>
      <c r="C80" s="156"/>
      <c r="D80" s="156"/>
      <c r="E80" s="156"/>
      <c r="F80" s="157"/>
      <c r="G80" s="158"/>
      <c r="H80" s="158"/>
      <c r="I80" s="158"/>
      <c r="J80" s="159"/>
    </row>
    <row r="81" spans="1:10" ht="15.75">
      <c r="A81" s="1007" t="s">
        <v>218</v>
      </c>
      <c r="B81" s="1008"/>
      <c r="C81" s="1008"/>
      <c r="D81" s="1008"/>
      <c r="E81" s="1009"/>
      <c r="F81" s="160">
        <f>SUM(F7+F8+F9+F10+F23+F67+F68+F69+F79)</f>
        <v>1887885668</v>
      </c>
      <c r="G81" s="160">
        <f>SUM(G7+G8+G9+G10+G23+G67+G68+G69+G79)</f>
        <v>132125956</v>
      </c>
      <c r="H81" s="160">
        <f>SUM(H7+H8+H9+H10+H23+H67+H68+H69+H79)</f>
        <v>305482964</v>
      </c>
      <c r="I81" s="160">
        <f>SUM(I7+I8+I9+I10+I23+I67+I68+I69+I79)</f>
        <v>12111694</v>
      </c>
      <c r="J81" s="160">
        <f>SUM(J7+J8+J9+J10+J23+J67+J68+J69+J79)</f>
        <v>2337606282</v>
      </c>
    </row>
  </sheetData>
  <sheetProtection/>
  <mergeCells count="47">
    <mergeCell ref="D46:E46"/>
    <mergeCell ref="C78:E78"/>
    <mergeCell ref="B79:E79"/>
    <mergeCell ref="A81:E81"/>
    <mergeCell ref="C72:E72"/>
    <mergeCell ref="C73:E73"/>
    <mergeCell ref="C74:E74"/>
    <mergeCell ref="C75:E75"/>
    <mergeCell ref="C76:E76"/>
    <mergeCell ref="C77:E77"/>
    <mergeCell ref="B69:E69"/>
    <mergeCell ref="C70:E70"/>
    <mergeCell ref="C71:E71"/>
    <mergeCell ref="B68:E68"/>
    <mergeCell ref="D47:E47"/>
    <mergeCell ref="D58:E58"/>
    <mergeCell ref="B67:E67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83" bestFit="1" customWidth="1"/>
    <col min="2" max="2" width="55.125" style="36" bestFit="1" customWidth="1"/>
    <col min="3" max="3" width="12.375" style="36" bestFit="1" customWidth="1"/>
    <col min="4" max="5" width="13.375" style="36" bestFit="1" customWidth="1"/>
    <col min="6" max="6" width="53.875" style="36" bestFit="1" customWidth="1"/>
    <col min="7" max="7" width="13.25390625" style="36" bestFit="1" customWidth="1"/>
    <col min="8" max="9" width="14.125" style="36" bestFit="1" customWidth="1"/>
    <col min="10" max="16384" width="9.125" style="36" customWidth="1"/>
  </cols>
  <sheetData>
    <row r="1" spans="6:10" ht="12.75" customHeight="1">
      <c r="F1" s="1013" t="s">
        <v>1212</v>
      </c>
      <c r="G1" s="1014"/>
      <c r="H1" s="1014"/>
      <c r="I1" s="1014"/>
      <c r="J1" s="76"/>
    </row>
    <row r="2" spans="2:9" ht="15.75">
      <c r="B2" s="1015" t="s">
        <v>772</v>
      </c>
      <c r="C2" s="1015"/>
      <c r="D2" s="1015"/>
      <c r="E2" s="1015"/>
      <c r="F2" s="1015"/>
      <c r="G2" s="1015"/>
      <c r="H2" s="1015"/>
      <c r="I2" s="1015"/>
    </row>
    <row r="3" ht="8.25" customHeight="1"/>
    <row r="4" spans="1:9" s="37" customFormat="1" ht="15" customHeight="1">
      <c r="A4" s="1017" t="s">
        <v>426</v>
      </c>
      <c r="B4" s="1016" t="s">
        <v>432</v>
      </c>
      <c r="C4" s="1016"/>
      <c r="D4" s="1016"/>
      <c r="E4" s="1016"/>
      <c r="F4" s="1016" t="s">
        <v>358</v>
      </c>
      <c r="G4" s="1016"/>
      <c r="H4" s="1016"/>
      <c r="I4" s="1016"/>
    </row>
    <row r="5" spans="1:9" s="40" customFormat="1" ht="14.25">
      <c r="A5" s="1017"/>
      <c r="B5" s="38" t="s">
        <v>357</v>
      </c>
      <c r="C5" s="39" t="s">
        <v>350</v>
      </c>
      <c r="D5" s="39" t="s">
        <v>349</v>
      </c>
      <c r="E5" s="39" t="s">
        <v>415</v>
      </c>
      <c r="F5" s="38" t="s">
        <v>357</v>
      </c>
      <c r="G5" s="39" t="s">
        <v>350</v>
      </c>
      <c r="H5" s="39" t="s">
        <v>349</v>
      </c>
      <c r="I5" s="39" t="s">
        <v>415</v>
      </c>
    </row>
    <row r="6" spans="1:9" s="82" customFormat="1" ht="12">
      <c r="A6" s="1017"/>
      <c r="B6" s="81" t="s">
        <v>420</v>
      </c>
      <c r="C6" s="81" t="s">
        <v>421</v>
      </c>
      <c r="D6" s="81" t="s">
        <v>422</v>
      </c>
      <c r="E6" s="81" t="s">
        <v>423</v>
      </c>
      <c r="F6" s="81" t="s">
        <v>424</v>
      </c>
      <c r="G6" s="81" t="s">
        <v>425</v>
      </c>
      <c r="H6" s="81" t="s">
        <v>427</v>
      </c>
      <c r="I6" s="81" t="s">
        <v>428</v>
      </c>
    </row>
    <row r="7" spans="1:9" s="56" customFormat="1" ht="14.25">
      <c r="A7" s="81">
        <v>1</v>
      </c>
      <c r="B7" s="55" t="s">
        <v>515</v>
      </c>
      <c r="C7" s="73">
        <f>SUM(C8)</f>
        <v>1301365104</v>
      </c>
      <c r="D7" s="73">
        <f>SUM(D32,D8)</f>
        <v>619480113</v>
      </c>
      <c r="E7" s="73">
        <f aca="true" t="shared" si="0" ref="E7:E30">SUM(C7:D7)</f>
        <v>1920845217</v>
      </c>
      <c r="F7" s="55" t="s">
        <v>516</v>
      </c>
      <c r="G7" s="73">
        <f>SUM(G8,G32)</f>
        <v>1404018996</v>
      </c>
      <c r="H7" s="73">
        <f>SUM(H8,H32)</f>
        <v>915546050</v>
      </c>
      <c r="I7" s="73">
        <f aca="true" t="shared" si="1" ref="I7:I16">SUM(G7:H7)</f>
        <v>2319565046</v>
      </c>
    </row>
    <row r="8" spans="1:9" s="65" customFormat="1" ht="12.75">
      <c r="A8" s="84">
        <v>2</v>
      </c>
      <c r="B8" s="62" t="s">
        <v>450</v>
      </c>
      <c r="C8" s="63">
        <f>SUM(C28+C18+C13+C9)</f>
        <v>1301365104</v>
      </c>
      <c r="D8" s="63">
        <f>SUM(D28+D18+D13+D9)</f>
        <v>0</v>
      </c>
      <c r="E8" s="63">
        <f t="shared" si="0"/>
        <v>1301365104</v>
      </c>
      <c r="F8" s="64" t="s">
        <v>453</v>
      </c>
      <c r="G8" s="63">
        <f>SUM(G9:G13)</f>
        <v>1404018996</v>
      </c>
      <c r="H8" s="63">
        <f>SUM(H9:H13)</f>
        <v>11406919</v>
      </c>
      <c r="I8" s="63">
        <f t="shared" si="1"/>
        <v>1415425915</v>
      </c>
    </row>
    <row r="9" spans="1:9" s="43" customFormat="1" ht="12.75">
      <c r="A9" s="84">
        <v>3</v>
      </c>
      <c r="B9" s="71" t="s">
        <v>15</v>
      </c>
      <c r="C9" s="52">
        <f>SUM(C10:C12)</f>
        <v>1018706292</v>
      </c>
      <c r="D9" s="52">
        <v>0</v>
      </c>
      <c r="E9" s="52">
        <f t="shared" si="0"/>
        <v>1018706292</v>
      </c>
      <c r="F9" s="72" t="s">
        <v>454</v>
      </c>
      <c r="G9" s="52">
        <f>147547916+29033148+2158500+514000+34895474+10871880+21446460+25000+2846984+16985805+80000+2168500+27145152+83641200+2428400+7343000-7297240-336000+40610080+28103985+27815502+12762600+30800+2200+385000+1420400+433600+66000+3600833+21649000+9187815+1083000+6373+34746+9375932+420000+621002+1768202+4454365+8400000-720000-2801679+757761+720000+40000-1768202-4454365</f>
        <v>545503129</v>
      </c>
      <c r="H9" s="52">
        <v>0</v>
      </c>
      <c r="I9" s="52">
        <f t="shared" si="1"/>
        <v>545503129</v>
      </c>
    </row>
    <row r="10" spans="1:9" s="43" customFormat="1" ht="12.75">
      <c r="A10" s="81">
        <v>4</v>
      </c>
      <c r="B10" s="49" t="s">
        <v>16</v>
      </c>
      <c r="C10" s="54">
        <f>200053809+112608900+165550125+10661310+367584+1341084+1096532+10529284+7265000+95585+30000000-824700-509480-636698-239481-40212+1824296</f>
        <v>539142938</v>
      </c>
      <c r="D10" s="54">
        <v>0</v>
      </c>
      <c r="E10" s="54">
        <f t="shared" si="0"/>
        <v>539142938</v>
      </c>
      <c r="F10" s="72" t="s">
        <v>703</v>
      </c>
      <c r="G10" s="52">
        <f>31659765+7533426+424933+489933+6862023+1105308+2180390+4388+573827+3345516+41361+426883+6999328+15658358+478841+1437188-1422962-65520+3959404+2740077+6738701+2999211+6006+429+75075+293205+84552+12870+834330+5088000+2040168+1492000+211188-8607+914153+80000+121098+348675+867408+1656000-140400-541561+147763+140400+7020-348675-867408</f>
        <v>106684068</v>
      </c>
      <c r="H10" s="52">
        <v>0</v>
      </c>
      <c r="I10" s="52">
        <f t="shared" si="1"/>
        <v>106684068</v>
      </c>
    </row>
    <row r="11" spans="1:9" s="43" customFormat="1" ht="12.75">
      <c r="A11" s="84">
        <v>5</v>
      </c>
      <c r="B11" s="49" t="s">
        <v>701</v>
      </c>
      <c r="C11" s="54">
        <v>0</v>
      </c>
      <c r="D11" s="54">
        <v>0</v>
      </c>
      <c r="E11" s="54">
        <f t="shared" si="0"/>
        <v>0</v>
      </c>
      <c r="F11" s="72" t="s">
        <v>38</v>
      </c>
      <c r="G11" s="52">
        <f>56208129+14127980+26820278+55480+6220254+1157503+8729294+1270000+736016+11239754+23139400+254000+19910394+360000+18217394+120000+2736870+1917850+54297921+117194+17800000+2114700+26209434+2400000+7848600+20108238+1100000+3400630+49530+13986001+3-5500000+5000000-200000-5715000-2600000+200000+936+141447+9850000+1100000+4650000+1000000-3000000-848360-96000-170000+2045415+8057715+54417221+15053577-103900-120000+256193+13337603+16670259+19871884+63500+68000+90000+146050+190500+15000000+550000-235153+7679730+601200+1417+1283275+672563+95585+3300476-233830-73660+439819-152273-151629-84541-195000-79900+17240+2370+2234-198285+1100000+10976885+500000-1150000+823080-2893619+1350000-574597-700000+46939-10240+243600-15-152400-200000-5715000+444500-1054591-36480+527827+5771921+12859+10749062+66142-29000-5990-2601-23713-1250000-6000000-1048608+150000+22980-76969-35900-527827-2793033-2981388-10359+17858</f>
        <v>510282848</v>
      </c>
      <c r="H11" s="52">
        <v>0</v>
      </c>
      <c r="I11" s="52">
        <f t="shared" si="1"/>
        <v>510282848</v>
      </c>
    </row>
    <row r="12" spans="1:9" s="43" customFormat="1" ht="12.75">
      <c r="A12" s="84">
        <v>6</v>
      </c>
      <c r="B12" s="49" t="s">
        <v>17</v>
      </c>
      <c r="C12" s="54">
        <f>38966057+11977188+23626850+3652363+21588000+3971695+6245115+6018160+63035474+2000000+581210+46614899+38901777+88971424+32379432+1969798+17772766+43407259-8045171-7935168+1294188+37116+10976885+1100000+11113165-2893619+1407021+1011276+742100+20805062-478968-1250000</f>
        <v>479563354</v>
      </c>
      <c r="D12" s="54">
        <v>0</v>
      </c>
      <c r="E12" s="54">
        <f t="shared" si="0"/>
        <v>479563354</v>
      </c>
      <c r="F12" s="72" t="s">
        <v>39</v>
      </c>
      <c r="G12" s="52">
        <f>2942222+6018160</f>
        <v>8960382</v>
      </c>
      <c r="H12" s="52">
        <v>0</v>
      </c>
      <c r="I12" s="52">
        <f t="shared" si="1"/>
        <v>8960382</v>
      </c>
    </row>
    <row r="13" spans="1:9" s="43" customFormat="1" ht="12.75">
      <c r="A13" s="81">
        <v>7</v>
      </c>
      <c r="B13" s="71" t="s">
        <v>21</v>
      </c>
      <c r="C13" s="52">
        <f>SUM(C14:C17)</f>
        <v>227595000</v>
      </c>
      <c r="D13" s="52">
        <f>SUM(D14:D17)</f>
        <v>0</v>
      </c>
      <c r="E13" s="52">
        <f t="shared" si="0"/>
        <v>227595000</v>
      </c>
      <c r="F13" s="75" t="s">
        <v>40</v>
      </c>
      <c r="G13" s="52">
        <f>SUM(G14:G18)</f>
        <v>232588569</v>
      </c>
      <c r="H13" s="52">
        <f>SUM(H14:H18)</f>
        <v>11406919</v>
      </c>
      <c r="I13" s="52">
        <f t="shared" si="1"/>
        <v>243995488</v>
      </c>
    </row>
    <row r="14" spans="1:9" s="44" customFormat="1" ht="12.75">
      <c r="A14" s="84">
        <v>8</v>
      </c>
      <c r="B14" s="49" t="s">
        <v>117</v>
      </c>
      <c r="C14" s="54">
        <v>202400000</v>
      </c>
      <c r="D14" s="54">
        <v>0</v>
      </c>
      <c r="E14" s="54">
        <f t="shared" si="0"/>
        <v>202400000</v>
      </c>
      <c r="F14" s="51" t="s">
        <v>773</v>
      </c>
      <c r="G14" s="54">
        <f>34037935+66110+32640+20906574</f>
        <v>55043259</v>
      </c>
      <c r="H14" s="54">
        <v>0</v>
      </c>
      <c r="I14" s="54">
        <f t="shared" si="1"/>
        <v>55043259</v>
      </c>
    </row>
    <row r="15" spans="1:9" s="44" customFormat="1" ht="12.75">
      <c r="A15" s="84"/>
      <c r="B15" s="50" t="s">
        <v>849</v>
      </c>
      <c r="C15" s="54">
        <v>50000</v>
      </c>
      <c r="D15" s="54">
        <v>0</v>
      </c>
      <c r="E15" s="54">
        <f t="shared" si="0"/>
        <v>50000</v>
      </c>
      <c r="F15" s="51" t="s">
        <v>702</v>
      </c>
      <c r="G15" s="54">
        <f>0+1032600</f>
        <v>1032600</v>
      </c>
      <c r="H15" s="54">
        <v>0</v>
      </c>
      <c r="I15" s="54">
        <f t="shared" si="1"/>
        <v>1032600</v>
      </c>
    </row>
    <row r="16" spans="1:9" s="44" customFormat="1" ht="12.75">
      <c r="A16" s="84">
        <v>9</v>
      </c>
      <c r="B16" s="50" t="s">
        <v>850</v>
      </c>
      <c r="C16" s="54">
        <v>24000000</v>
      </c>
      <c r="D16" s="54">
        <v>0</v>
      </c>
      <c r="E16" s="54">
        <f t="shared" si="0"/>
        <v>24000000</v>
      </c>
      <c r="F16" s="51" t="s">
        <v>975</v>
      </c>
      <c r="G16" s="54">
        <f>1055350+28922+15000</f>
        <v>1099272</v>
      </c>
      <c r="H16" s="54">
        <v>0</v>
      </c>
      <c r="I16" s="54">
        <f t="shared" si="1"/>
        <v>1099272</v>
      </c>
    </row>
    <row r="17" spans="1:9" s="44" customFormat="1" ht="12.75">
      <c r="A17" s="81">
        <v>10</v>
      </c>
      <c r="B17" s="49" t="s">
        <v>851</v>
      </c>
      <c r="C17" s="54">
        <v>1145000</v>
      </c>
      <c r="D17" s="54">
        <v>0</v>
      </c>
      <c r="E17" s="54">
        <f t="shared" si="0"/>
        <v>1145000</v>
      </c>
      <c r="F17" s="51" t="s">
        <v>976</v>
      </c>
      <c r="G17" s="54">
        <f>38436000+9850000+1000000+25828000+17049000+16441000+4592665+40519000-9850000-1100000-4650000-1000000+1031200+1564044+14495664+100000+18531836+7265000+4592665-4592665-3663000-760000-618000-787000-306000-619000+15000</f>
        <v>173365409</v>
      </c>
      <c r="H17" s="54">
        <v>0</v>
      </c>
      <c r="I17" s="54">
        <f>SUM(G17:H17)</f>
        <v>173365409</v>
      </c>
    </row>
    <row r="18" spans="1:9" s="44" customFormat="1" ht="12.75">
      <c r="A18" s="84">
        <v>11</v>
      </c>
      <c r="B18" s="71" t="s">
        <v>22</v>
      </c>
      <c r="C18" s="52">
        <f>SUM(C19:C27)</f>
        <v>54694241</v>
      </c>
      <c r="D18" s="52">
        <f>SUM(D19:D27)</f>
        <v>0</v>
      </c>
      <c r="E18" s="52">
        <f t="shared" si="0"/>
        <v>54694241</v>
      </c>
      <c r="F18" s="51" t="s">
        <v>977</v>
      </c>
      <c r="G18" s="54">
        <f>73496000-47568000-20000000-63500-68000-30000-90000-146050-1576197-190500-150000-1055350-261950-288050+59808757+9782649-7679730+553029-553029-602617-1492000-8045171-7935168-4176519-28922-20906574-217072-8171955-6323709-100000-3358940-513403</f>
        <v>2048029</v>
      </c>
      <c r="H18" s="54">
        <f>5000000+4176519-1269600+3500000</f>
        <v>11406919</v>
      </c>
      <c r="I18" s="54">
        <f>SUM(G18:H18)</f>
        <v>13454948</v>
      </c>
    </row>
    <row r="19" spans="1:9" s="43" customFormat="1" ht="12.75">
      <c r="A19" s="84">
        <v>12</v>
      </c>
      <c r="B19" s="49" t="s">
        <v>582</v>
      </c>
      <c r="C19" s="54">
        <f>400000+5848600</f>
        <v>6248600</v>
      </c>
      <c r="D19" s="54">
        <v>0</v>
      </c>
      <c r="E19" s="54">
        <f t="shared" si="0"/>
        <v>6248600</v>
      </c>
      <c r="F19" s="75"/>
      <c r="G19" s="52"/>
      <c r="H19" s="52"/>
      <c r="I19" s="52"/>
    </row>
    <row r="20" spans="1:9" s="43" customFormat="1" ht="12.75">
      <c r="A20" s="81">
        <v>13</v>
      </c>
      <c r="B20" s="49" t="s">
        <v>23</v>
      </c>
      <c r="C20" s="54">
        <f>14236474+4500000+250000+100559+2851094+48819+1050000+51312+2652628+70000-51312-2652628+66142</f>
        <v>23173088</v>
      </c>
      <c r="D20" s="54">
        <v>0</v>
      </c>
      <c r="E20" s="54">
        <f t="shared" si="0"/>
        <v>23173088</v>
      </c>
      <c r="F20" s="51"/>
      <c r="G20" s="54"/>
      <c r="H20" s="54"/>
      <c r="I20" s="54"/>
    </row>
    <row r="21" spans="1:9" s="43" customFormat="1" ht="12.75">
      <c r="A21" s="84">
        <v>14</v>
      </c>
      <c r="B21" s="49" t="s">
        <v>24</v>
      </c>
      <c r="C21" s="54">
        <f>2486532+652000+101556+3949049+360500+36960+360500-360500</f>
        <v>7586597</v>
      </c>
      <c r="D21" s="54">
        <v>0</v>
      </c>
      <c r="E21" s="54">
        <f t="shared" si="0"/>
        <v>7586597</v>
      </c>
      <c r="F21" s="51"/>
      <c r="G21" s="54"/>
      <c r="H21" s="54"/>
      <c r="I21" s="54"/>
    </row>
    <row r="22" spans="1:9" s="43" customFormat="1" ht="12.75">
      <c r="A22" s="84">
        <v>15</v>
      </c>
      <c r="B22" s="49" t="s">
        <v>537</v>
      </c>
      <c r="C22" s="54">
        <f>639000+15000</f>
        <v>654000</v>
      </c>
      <c r="D22" s="54">
        <v>0</v>
      </c>
      <c r="E22" s="54">
        <f t="shared" si="0"/>
        <v>654000</v>
      </c>
      <c r="F22" s="51"/>
      <c r="G22" s="54"/>
      <c r="H22" s="54"/>
      <c r="I22" s="54"/>
    </row>
    <row r="23" spans="1:9" s="43" customFormat="1" ht="12.75">
      <c r="A23" s="81">
        <v>16</v>
      </c>
      <c r="B23" s="49" t="s">
        <v>25</v>
      </c>
      <c r="C23" s="54">
        <f>963355+5498780</f>
        <v>6462135</v>
      </c>
      <c r="D23" s="54">
        <v>0</v>
      </c>
      <c r="E23" s="54">
        <f t="shared" si="0"/>
        <v>6462135</v>
      </c>
      <c r="F23" s="51"/>
      <c r="G23" s="54"/>
      <c r="H23" s="54"/>
      <c r="I23" s="54"/>
    </row>
    <row r="24" spans="1:9" s="43" customFormat="1" ht="12.75">
      <c r="A24" s="84">
        <v>17</v>
      </c>
      <c r="B24" s="49" t="s">
        <v>26</v>
      </c>
      <c r="C24" s="54">
        <f>259712+551266+176040+1323000+1484671+15638+977417+27151+705130+1+13181+9979+13878+651522-13878-651522+17858</f>
        <v>5561044</v>
      </c>
      <c r="D24" s="54">
        <v>0</v>
      </c>
      <c r="E24" s="54">
        <f t="shared" si="0"/>
        <v>5561044</v>
      </c>
      <c r="F24" s="42"/>
      <c r="G24" s="54"/>
      <c r="H24" s="53"/>
      <c r="I24" s="53"/>
    </row>
    <row r="25" spans="1:9" s="43" customFormat="1" ht="12.75">
      <c r="A25" s="84">
        <v>18</v>
      </c>
      <c r="B25" s="49" t="s">
        <v>311</v>
      </c>
      <c r="C25" s="54">
        <f>0+3863162+809838</f>
        <v>4673000</v>
      </c>
      <c r="D25" s="54">
        <v>0</v>
      </c>
      <c r="E25" s="54">
        <f t="shared" si="0"/>
        <v>4673000</v>
      </c>
      <c r="F25" s="42"/>
      <c r="G25" s="54"/>
      <c r="H25" s="53"/>
      <c r="I25" s="53"/>
    </row>
    <row r="26" spans="1:9" s="43" customFormat="1" ht="12.75">
      <c r="A26" s="84">
        <v>19</v>
      </c>
      <c r="B26" s="49" t="s">
        <v>726</v>
      </c>
      <c r="C26" s="54">
        <v>3000</v>
      </c>
      <c r="D26" s="54">
        <v>0</v>
      </c>
      <c r="E26" s="54">
        <f t="shared" si="0"/>
        <v>3000</v>
      </c>
      <c r="F26" s="42"/>
      <c r="G26" s="54"/>
      <c r="H26" s="53"/>
      <c r="I26" s="53"/>
    </row>
    <row r="27" spans="1:9" s="41" customFormat="1" ht="12.75">
      <c r="A27" s="81">
        <v>20</v>
      </c>
      <c r="B27" s="49" t="s">
        <v>727</v>
      </c>
      <c r="C27" s="54">
        <f>10801933+60128-10529284</f>
        <v>332777</v>
      </c>
      <c r="D27" s="54">
        <v>0</v>
      </c>
      <c r="E27" s="54">
        <f t="shared" si="0"/>
        <v>332777</v>
      </c>
      <c r="F27" s="42"/>
      <c r="G27" s="53"/>
      <c r="H27" s="53"/>
      <c r="I27" s="53"/>
    </row>
    <row r="28" spans="1:9" s="41" customFormat="1" ht="12.75">
      <c r="A28" s="84">
        <v>21</v>
      </c>
      <c r="B28" s="71" t="s">
        <v>32</v>
      </c>
      <c r="C28" s="52">
        <f>SUM(C29:C30)</f>
        <v>369571</v>
      </c>
      <c r="D28" s="52">
        <v>0</v>
      </c>
      <c r="E28" s="52">
        <f t="shared" si="0"/>
        <v>369571</v>
      </c>
      <c r="F28" s="42"/>
      <c r="G28" s="53"/>
      <c r="H28" s="53"/>
      <c r="I28" s="53"/>
    </row>
    <row r="29" spans="1:9" s="41" customFormat="1" ht="12.75">
      <c r="A29" s="84">
        <v>22</v>
      </c>
      <c r="B29" s="49" t="s">
        <v>33</v>
      </c>
      <c r="C29" s="54">
        <v>0</v>
      </c>
      <c r="D29" s="54">
        <v>0</v>
      </c>
      <c r="E29" s="54">
        <f t="shared" si="0"/>
        <v>0</v>
      </c>
      <c r="F29" s="42"/>
      <c r="G29" s="53"/>
      <c r="H29" s="53"/>
      <c r="I29" s="53"/>
    </row>
    <row r="30" spans="1:9" s="41" customFormat="1" ht="12.75">
      <c r="A30" s="81">
        <v>23</v>
      </c>
      <c r="B30" s="49" t="s">
        <v>34</v>
      </c>
      <c r="C30" s="54">
        <f>302525+67046</f>
        <v>369571</v>
      </c>
      <c r="D30" s="54">
        <v>0</v>
      </c>
      <c r="E30" s="54">
        <f t="shared" si="0"/>
        <v>369571</v>
      </c>
      <c r="F30" s="42"/>
      <c r="G30" s="53"/>
      <c r="H30" s="53"/>
      <c r="I30" s="53"/>
    </row>
    <row r="31" spans="1:9" s="41" customFormat="1" ht="12.75">
      <c r="A31" s="84">
        <v>24</v>
      </c>
      <c r="B31" s="49"/>
      <c r="C31" s="54"/>
      <c r="D31" s="54"/>
      <c r="E31" s="54"/>
      <c r="F31" s="42"/>
      <c r="G31" s="53"/>
      <c r="H31" s="53"/>
      <c r="I31" s="53"/>
    </row>
    <row r="32" spans="1:9" s="65" customFormat="1" ht="12.75">
      <c r="A32" s="84">
        <v>25</v>
      </c>
      <c r="B32" s="66" t="s">
        <v>452</v>
      </c>
      <c r="C32" s="63">
        <f>SUM(C41+C36+C33)</f>
        <v>0</v>
      </c>
      <c r="D32" s="63">
        <f>SUM(D41+D36+D33)</f>
        <v>619480113</v>
      </c>
      <c r="E32" s="63">
        <f>SUM(D32:D32)</f>
        <v>619480113</v>
      </c>
      <c r="F32" s="64" t="s">
        <v>345</v>
      </c>
      <c r="G32" s="63">
        <f>SUM(G33:G35)</f>
        <v>0</v>
      </c>
      <c r="H32" s="63">
        <f>SUM(H33:H35)</f>
        <v>904139131</v>
      </c>
      <c r="I32" s="63">
        <f aca="true" t="shared" si="2" ref="I32:I40">SUM(G32:H32)</f>
        <v>904139131</v>
      </c>
    </row>
    <row r="33" spans="1:9" s="41" customFormat="1" ht="12.75">
      <c r="A33" s="81">
        <v>26</v>
      </c>
      <c r="B33" s="71" t="s">
        <v>18</v>
      </c>
      <c r="C33" s="52">
        <f>SUM(C34:C35)</f>
        <v>0</v>
      </c>
      <c r="D33" s="52">
        <f>SUM(D34:D35)</f>
        <v>545798717</v>
      </c>
      <c r="E33" s="52">
        <f>SUM(D33:D33)</f>
        <v>545798717</v>
      </c>
      <c r="F33" s="72" t="s">
        <v>41</v>
      </c>
      <c r="G33" s="52">
        <v>0</v>
      </c>
      <c r="H33" s="52">
        <f>304800+264185263+12223750+525300+8644085+335750+76200+15576620+10986734+1229404-11201400+495250+151044+299888+1846997+8983129+103900+120000+2497100+1687190+2412553+30000+150000+235153+233830+73660+152273+151629+84541+195000+79900+123070+1920000+139700-139700+198285+106200000+807720+3055442+2893619+1269600+2316859-39190-243600+15+152400+387985+200000+197100+1595000+5715000+103900+192470000+830000+29000+5990+914+25400+1250000+6000000+768772+76969+35900-103900</f>
        <v>651111793</v>
      </c>
      <c r="I33" s="52">
        <f t="shared" si="2"/>
        <v>651111793</v>
      </c>
    </row>
    <row r="34" spans="1:9" s="41" customFormat="1" ht="12.75">
      <c r="A34" s="84">
        <v>27</v>
      </c>
      <c r="B34" s="49" t="s">
        <v>19</v>
      </c>
      <c r="C34" s="54">
        <v>0</v>
      </c>
      <c r="D34" s="54">
        <v>29947750</v>
      </c>
      <c r="E34" s="54">
        <f aca="true" t="shared" si="3" ref="E34:E43">SUM(D34:D34)</f>
        <v>29947750</v>
      </c>
      <c r="F34" s="72" t="s">
        <v>42</v>
      </c>
      <c r="G34" s="52">
        <v>0</v>
      </c>
      <c r="H34" s="52">
        <f>6310000+508000+17634204+389000+2606050+22279919-3810000+850900+3000000+5000000+6528562+1576197+700924+95000000+49430+29947750-387985-197100-545000-444500+47500000</f>
        <v>234496351</v>
      </c>
      <c r="I34" s="52">
        <f t="shared" si="2"/>
        <v>234496351</v>
      </c>
    </row>
    <row r="35" spans="1:9" s="41" customFormat="1" ht="12.75">
      <c r="A35" s="84">
        <v>28</v>
      </c>
      <c r="B35" s="49" t="s">
        <v>20</v>
      </c>
      <c r="C35" s="54">
        <v>0</v>
      </c>
      <c r="D35" s="54">
        <f>2500000+21694288+6019000+5000000+9889960+299888+1846997+15511691+2497100+1687190+841234+1920000+95000000+106200000+2893619+192470000+47500000+830000+1250000</f>
        <v>515850967</v>
      </c>
      <c r="E35" s="54">
        <f t="shared" si="3"/>
        <v>515850967</v>
      </c>
      <c r="F35" s="72" t="s">
        <v>43</v>
      </c>
      <c r="G35" s="52">
        <f>SUM(G36:G40)</f>
        <v>0</v>
      </c>
      <c r="H35" s="52">
        <f>SUM(H36:H40)</f>
        <v>18530987</v>
      </c>
      <c r="I35" s="52">
        <f t="shared" si="2"/>
        <v>18530987</v>
      </c>
    </row>
    <row r="36" spans="1:9" s="41" customFormat="1" ht="12.75">
      <c r="A36" s="81">
        <v>29</v>
      </c>
      <c r="B36" s="71" t="s">
        <v>27</v>
      </c>
      <c r="C36" s="52">
        <f>SUM(C37:C40)</f>
        <v>0</v>
      </c>
      <c r="D36" s="52">
        <f>SUM(D37:D40)</f>
        <v>40599929</v>
      </c>
      <c r="E36" s="52">
        <f t="shared" si="3"/>
        <v>40599929</v>
      </c>
      <c r="F36" s="51" t="s">
        <v>44</v>
      </c>
      <c r="G36" s="54">
        <v>0</v>
      </c>
      <c r="H36" s="54">
        <v>0</v>
      </c>
      <c r="I36" s="54">
        <f t="shared" si="2"/>
        <v>0</v>
      </c>
    </row>
    <row r="37" spans="1:9" s="41" customFormat="1" ht="12.75">
      <c r="A37" s="84">
        <v>30</v>
      </c>
      <c r="B37" s="49" t="s">
        <v>28</v>
      </c>
      <c r="C37" s="54">
        <v>0</v>
      </c>
      <c r="D37" s="54">
        <v>0</v>
      </c>
      <c r="E37" s="54">
        <f t="shared" si="3"/>
        <v>0</v>
      </c>
      <c r="F37" s="51" t="s">
        <v>45</v>
      </c>
      <c r="G37" s="54">
        <v>0</v>
      </c>
      <c r="H37" s="54">
        <v>0</v>
      </c>
      <c r="I37" s="54">
        <f t="shared" si="2"/>
        <v>0</v>
      </c>
    </row>
    <row r="38" spans="1:9" s="43" customFormat="1" ht="12.75">
      <c r="A38" s="84">
        <v>31</v>
      </c>
      <c r="B38" s="49" t="s">
        <v>29</v>
      </c>
      <c r="C38" s="54">
        <f>SUM(C39:C40)</f>
        <v>0</v>
      </c>
      <c r="D38" s="54">
        <f>62747330-3831623-848360+15172896+672563+3300476-30000000+1066203+500000-6753000+1032600+15000-1150000-1011276+3500000-3912880</f>
        <v>40499929</v>
      </c>
      <c r="E38" s="54">
        <f t="shared" si="3"/>
        <v>40499929</v>
      </c>
      <c r="F38" s="51" t="s">
        <v>46</v>
      </c>
      <c r="G38" s="54">
        <v>0</v>
      </c>
      <c r="H38" s="54">
        <v>0</v>
      </c>
      <c r="I38" s="54">
        <f t="shared" si="2"/>
        <v>0</v>
      </c>
    </row>
    <row r="39" spans="1:9" s="43" customFormat="1" ht="12.75">
      <c r="A39" s="81">
        <v>32</v>
      </c>
      <c r="B39" s="49" t="s">
        <v>30</v>
      </c>
      <c r="C39" s="54">
        <v>0</v>
      </c>
      <c r="D39" s="54">
        <f>0+100000</f>
        <v>100000</v>
      </c>
      <c r="E39" s="54">
        <f t="shared" si="3"/>
        <v>100000</v>
      </c>
      <c r="F39" s="51" t="s">
        <v>47</v>
      </c>
      <c r="G39" s="54">
        <v>0</v>
      </c>
      <c r="H39" s="54">
        <v>0</v>
      </c>
      <c r="I39" s="54">
        <f t="shared" si="2"/>
        <v>0</v>
      </c>
    </row>
    <row r="40" spans="1:9" s="45" customFormat="1" ht="13.5">
      <c r="A40" s="84">
        <v>33</v>
      </c>
      <c r="B40" s="49" t="s">
        <v>31</v>
      </c>
      <c r="C40" s="54">
        <v>0</v>
      </c>
      <c r="D40" s="54">
        <v>0</v>
      </c>
      <c r="E40" s="54">
        <f t="shared" si="3"/>
        <v>0</v>
      </c>
      <c r="F40" s="51" t="s">
        <v>48</v>
      </c>
      <c r="G40" s="54">
        <v>0</v>
      </c>
      <c r="H40" s="54">
        <f>1609020+18081467-1159500</f>
        <v>18530987</v>
      </c>
      <c r="I40" s="54">
        <f t="shared" si="2"/>
        <v>18530987</v>
      </c>
    </row>
    <row r="41" spans="1:9" s="45" customFormat="1" ht="13.5">
      <c r="A41" s="84">
        <v>34</v>
      </c>
      <c r="B41" s="71" t="s">
        <v>35</v>
      </c>
      <c r="C41" s="52">
        <f>SUM(C42:C43)</f>
        <v>0</v>
      </c>
      <c r="D41" s="52">
        <f>SUM(D42:D43)</f>
        <v>33081467</v>
      </c>
      <c r="E41" s="52">
        <f t="shared" si="3"/>
        <v>33081467</v>
      </c>
      <c r="F41" s="51"/>
      <c r="G41" s="54"/>
      <c r="H41" s="54"/>
      <c r="I41" s="54"/>
    </row>
    <row r="42" spans="1:9" s="45" customFormat="1" ht="13.5">
      <c r="A42" s="81">
        <v>35</v>
      </c>
      <c r="B42" s="49" t="s">
        <v>694</v>
      </c>
      <c r="C42" s="54">
        <v>0</v>
      </c>
      <c r="D42" s="54">
        <v>0</v>
      </c>
      <c r="E42" s="54">
        <f t="shared" si="3"/>
        <v>0</v>
      </c>
      <c r="F42" s="46"/>
      <c r="G42" s="54"/>
      <c r="H42" s="54"/>
      <c r="I42" s="54"/>
    </row>
    <row r="43" spans="1:9" s="45" customFormat="1" ht="13.5">
      <c r="A43" s="84">
        <v>36</v>
      </c>
      <c r="B43" s="49" t="s">
        <v>693</v>
      </c>
      <c r="C43" s="54">
        <v>0</v>
      </c>
      <c r="D43" s="54">
        <v>33081467</v>
      </c>
      <c r="E43" s="54">
        <f t="shared" si="3"/>
        <v>33081467</v>
      </c>
      <c r="F43" s="46"/>
      <c r="G43" s="54"/>
      <c r="H43" s="54"/>
      <c r="I43" s="54"/>
    </row>
    <row r="44" spans="1:9" s="47" customFormat="1" ht="6" customHeight="1">
      <c r="A44" s="1018"/>
      <c r="B44" s="1019"/>
      <c r="C44" s="1019"/>
      <c r="D44" s="1019"/>
      <c r="E44" s="1019"/>
      <c r="F44" s="1019"/>
      <c r="G44" s="1019"/>
      <c r="H44" s="1019"/>
      <c r="I44" s="1020"/>
    </row>
    <row r="45" spans="1:9" s="47" customFormat="1" ht="15">
      <c r="A45" s="84">
        <v>37</v>
      </c>
      <c r="B45" s="1021" t="s">
        <v>517</v>
      </c>
      <c r="C45" s="1022"/>
      <c r="D45" s="1022"/>
      <c r="E45" s="1022"/>
      <c r="F45" s="1022"/>
      <c r="G45" s="118">
        <f>C7-G7</f>
        <v>-102653892</v>
      </c>
      <c r="H45" s="118">
        <f>D7-H7</f>
        <v>-296065937</v>
      </c>
      <c r="I45" s="118">
        <f>SUM(G45:H45)</f>
        <v>-398719829</v>
      </c>
    </row>
    <row r="46" spans="1:9" s="47" customFormat="1" ht="6" customHeight="1">
      <c r="A46" s="1010"/>
      <c r="B46" s="1011"/>
      <c r="C46" s="1011"/>
      <c r="D46" s="1011"/>
      <c r="E46" s="1011"/>
      <c r="F46" s="1011"/>
      <c r="G46" s="1011"/>
      <c r="H46" s="1011"/>
      <c r="I46" s="1012"/>
    </row>
    <row r="47" spans="1:9" s="59" customFormat="1" ht="28.5">
      <c r="A47" s="84">
        <v>38</v>
      </c>
      <c r="B47" s="55" t="s">
        <v>346</v>
      </c>
      <c r="C47" s="57">
        <f>SUM(C48:C49)</f>
        <v>120421620</v>
      </c>
      <c r="D47" s="57">
        <f>SUM(D48:D49)</f>
        <v>296339445</v>
      </c>
      <c r="E47" s="57">
        <f aca="true" t="shared" si="4" ref="E47:E54">SUM(C47:D47)</f>
        <v>416761065</v>
      </c>
      <c r="F47" s="58"/>
      <c r="G47" s="57"/>
      <c r="H47" s="57"/>
      <c r="I47" s="57"/>
    </row>
    <row r="48" spans="1:9" s="68" customFormat="1" ht="13.5">
      <c r="A48" s="81">
        <v>39</v>
      </c>
      <c r="B48" s="69" t="s">
        <v>695</v>
      </c>
      <c r="C48" s="63">
        <f>22840902+626145+31099867+55632238+439819</f>
        <v>110638971</v>
      </c>
      <c r="D48" s="63">
        <f>297951773-8201400+2412553+4176519</f>
        <v>296339445</v>
      </c>
      <c r="E48" s="63">
        <f t="shared" si="4"/>
        <v>406978416</v>
      </c>
      <c r="F48" s="64"/>
      <c r="G48" s="63"/>
      <c r="H48" s="63"/>
      <c r="I48" s="63"/>
    </row>
    <row r="49" spans="1:9" s="68" customFormat="1" ht="13.5">
      <c r="A49" s="81">
        <v>40</v>
      </c>
      <c r="B49" s="69" t="s">
        <v>696</v>
      </c>
      <c r="C49" s="63">
        <v>9782649</v>
      </c>
      <c r="D49" s="63">
        <v>0</v>
      </c>
      <c r="E49" s="63">
        <f t="shared" si="4"/>
        <v>9782649</v>
      </c>
      <c r="F49" s="64"/>
      <c r="G49" s="63"/>
      <c r="H49" s="63"/>
      <c r="I49" s="63"/>
    </row>
    <row r="50" spans="1:9" s="805" customFormat="1" ht="28.5">
      <c r="A50" s="797">
        <v>41</v>
      </c>
      <c r="B50" s="55" t="s">
        <v>347</v>
      </c>
      <c r="C50" s="803">
        <f>SUM(C51:C53)</f>
        <v>0</v>
      </c>
      <c r="D50" s="803">
        <f>SUM(D51:D53)</f>
        <v>0</v>
      </c>
      <c r="E50" s="803">
        <f t="shared" si="4"/>
        <v>0</v>
      </c>
      <c r="F50" s="804" t="s">
        <v>348</v>
      </c>
      <c r="G50" s="803">
        <f>SUM(G51:G53)</f>
        <v>18041236</v>
      </c>
      <c r="H50" s="803">
        <f>SUM(H51:H53)</f>
        <v>0</v>
      </c>
      <c r="I50" s="803">
        <f>SUM(G50:H50)</f>
        <v>18041236</v>
      </c>
    </row>
    <row r="51" spans="1:9" s="68" customFormat="1" ht="13.5">
      <c r="A51" s="84">
        <v>42</v>
      </c>
      <c r="B51" s="67" t="s">
        <v>697</v>
      </c>
      <c r="C51" s="63">
        <v>0</v>
      </c>
      <c r="D51" s="63">
        <v>0</v>
      </c>
      <c r="E51" s="63">
        <f t="shared" si="4"/>
        <v>0</v>
      </c>
      <c r="F51" s="64" t="s">
        <v>699</v>
      </c>
      <c r="G51" s="63">
        <v>0</v>
      </c>
      <c r="H51" s="63">
        <v>0</v>
      </c>
      <c r="I51" s="63">
        <f>SUM(G51:H51)</f>
        <v>0</v>
      </c>
    </row>
    <row r="52" spans="1:9" s="70" customFormat="1" ht="12.75">
      <c r="A52" s="84">
        <v>43</v>
      </c>
      <c r="B52" s="67" t="s">
        <v>698</v>
      </c>
      <c r="C52" s="63">
        <v>0</v>
      </c>
      <c r="D52" s="63">
        <v>0</v>
      </c>
      <c r="E52" s="63">
        <f>SUM(C52:D52)</f>
        <v>0</v>
      </c>
      <c r="F52" s="64" t="s">
        <v>700</v>
      </c>
      <c r="G52" s="63">
        <v>0</v>
      </c>
      <c r="H52" s="63">
        <v>0</v>
      </c>
      <c r="I52" s="63">
        <f>SUM(G52:H52)</f>
        <v>0</v>
      </c>
    </row>
    <row r="53" spans="1:9" s="70" customFormat="1" ht="12.75">
      <c r="A53" s="84">
        <v>44</v>
      </c>
      <c r="B53" s="67" t="s">
        <v>691</v>
      </c>
      <c r="C53" s="63">
        <v>0</v>
      </c>
      <c r="D53" s="63">
        <v>0</v>
      </c>
      <c r="E53" s="63">
        <f>SUM(C53:D53)</f>
        <v>0</v>
      </c>
      <c r="F53" s="67" t="s">
        <v>692</v>
      </c>
      <c r="G53" s="63">
        <v>18041236</v>
      </c>
      <c r="H53" s="63">
        <v>0</v>
      </c>
      <c r="I53" s="63">
        <f>SUM(G53:H53)</f>
        <v>18041236</v>
      </c>
    </row>
    <row r="54" spans="1:9" s="61" customFormat="1" ht="15.75">
      <c r="A54" s="84">
        <v>45</v>
      </c>
      <c r="B54" s="60" t="s">
        <v>433</v>
      </c>
      <c r="C54" s="74">
        <f>SUM(C7,C47,C50)</f>
        <v>1421786724</v>
      </c>
      <c r="D54" s="74">
        <f>SUM(D7,D47,D50)</f>
        <v>915819558</v>
      </c>
      <c r="E54" s="74">
        <f t="shared" si="4"/>
        <v>2337606282</v>
      </c>
      <c r="F54" s="60" t="s">
        <v>356</v>
      </c>
      <c r="G54" s="74">
        <f>SUM(G7,G50)</f>
        <v>1422060232</v>
      </c>
      <c r="H54" s="74">
        <f>SUM(H7,H50)</f>
        <v>915546050</v>
      </c>
      <c r="I54" s="74">
        <f>SUM(G54:H54)</f>
        <v>2337606282</v>
      </c>
    </row>
    <row r="61" ht="15">
      <c r="B61" s="48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D70"/>
  <sheetViews>
    <sheetView zoomScale="95" zoomScaleNormal="95" zoomScalePageLayoutView="0" workbookViewId="0" topLeftCell="J1">
      <pane ySplit="7" topLeftCell="A59" activePane="bottomLeft" state="frozen"/>
      <selection pane="topLeft" activeCell="A1" sqref="A1"/>
      <selection pane="bottomLeft" activeCell="E2" sqref="E2:AA2"/>
    </sheetView>
  </sheetViews>
  <sheetFormatPr defaultColWidth="8.875" defaultRowHeight="12.75"/>
  <cols>
    <col min="1" max="1" width="1.37890625" style="468" hidden="1" customWidth="1"/>
    <col min="2" max="2" width="8.00390625" style="469" hidden="1" customWidth="1"/>
    <col min="3" max="3" width="8.00390625" style="469" customWidth="1"/>
    <col min="4" max="4" width="6.25390625" style="470" customWidth="1"/>
    <col min="5" max="5" width="30.375" style="468" customWidth="1"/>
    <col min="6" max="6" width="9.25390625" style="471" hidden="1" customWidth="1"/>
    <col min="7" max="7" width="11.375" style="468" bestFit="1" customWidth="1"/>
    <col min="8" max="8" width="11.125" style="468" customWidth="1"/>
    <col min="9" max="9" width="11.375" style="468" customWidth="1"/>
    <col min="10" max="11" width="10.25390625" style="468" customWidth="1"/>
    <col min="12" max="14" width="11.625" style="468" customWidth="1"/>
    <col min="15" max="15" width="9.875" style="468" customWidth="1"/>
    <col min="16" max="16" width="9.25390625" style="468" bestFit="1" customWidth="1"/>
    <col min="17" max="17" width="10.375" style="468" bestFit="1" customWidth="1"/>
    <col min="18" max="18" width="9.25390625" style="468" bestFit="1" customWidth="1"/>
    <col min="19" max="19" width="9.25390625" style="468" customWidth="1"/>
    <col min="20" max="20" width="10.00390625" style="468" customWidth="1"/>
    <col min="21" max="22" width="10.375" style="468" bestFit="1" customWidth="1"/>
    <col min="23" max="24" width="11.375" style="468" bestFit="1" customWidth="1"/>
    <col min="25" max="25" width="11.125" style="468" customWidth="1"/>
    <col min="26" max="26" width="10.625" style="468" customWidth="1"/>
    <col min="27" max="27" width="15.75390625" style="525" bestFit="1" customWidth="1"/>
    <col min="28" max="28" width="14.375" style="468" customWidth="1"/>
    <col min="29" max="29" width="9.875" style="468" bestFit="1" customWidth="1"/>
    <col min="30" max="16384" width="8.875" style="468" customWidth="1"/>
  </cols>
  <sheetData>
    <row r="1" spans="3:27" ht="15">
      <c r="C1" s="1030"/>
      <c r="O1" s="138"/>
      <c r="P1" s="138"/>
      <c r="Q1" s="138"/>
      <c r="R1" s="138"/>
      <c r="S1" s="138"/>
      <c r="T1" s="138"/>
      <c r="U1" s="138"/>
      <c r="V1" s="1031" t="s">
        <v>1213</v>
      </c>
      <c r="W1" s="1032"/>
      <c r="X1" s="1032"/>
      <c r="Y1" s="1032"/>
      <c r="Z1" s="1032"/>
      <c r="AA1" s="1032"/>
    </row>
    <row r="2" spans="1:27" ht="15.75">
      <c r="A2" s="472"/>
      <c r="B2" s="473"/>
      <c r="C2" s="1030"/>
      <c r="D2" s="473"/>
      <c r="E2" s="1033" t="s">
        <v>774</v>
      </c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3"/>
      <c r="Z2" s="1033"/>
      <c r="AA2" s="1033"/>
    </row>
    <row r="3" ht="12.75" thickBot="1">
      <c r="AA3" s="474"/>
    </row>
    <row r="4" spans="2:27" s="475" customFormat="1" ht="12.75" customHeight="1">
      <c r="B4" s="476"/>
      <c r="C4" s="476"/>
      <c r="D4" s="1034" t="s">
        <v>426</v>
      </c>
      <c r="E4" s="1037" t="s">
        <v>357</v>
      </c>
      <c r="F4" s="1040" t="s">
        <v>364</v>
      </c>
      <c r="G4" s="1023" t="s">
        <v>365</v>
      </c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5"/>
      <c r="AA4" s="1026" t="s">
        <v>366</v>
      </c>
    </row>
    <row r="5" spans="2:27" s="477" customFormat="1" ht="12" customHeight="1">
      <c r="B5" s="478"/>
      <c r="C5" s="478"/>
      <c r="D5" s="1035"/>
      <c r="E5" s="1038"/>
      <c r="F5" s="1041"/>
      <c r="G5" s="479" t="s">
        <v>1</v>
      </c>
      <c r="H5" s="479" t="s">
        <v>3</v>
      </c>
      <c r="I5" s="479" t="s">
        <v>5</v>
      </c>
      <c r="J5" s="479" t="s">
        <v>8</v>
      </c>
      <c r="K5" s="1043" t="s">
        <v>646</v>
      </c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5"/>
      <c r="W5" s="481" t="s">
        <v>129</v>
      </c>
      <c r="X5" s="481" t="s">
        <v>131</v>
      </c>
      <c r="Y5" s="479" t="s">
        <v>133</v>
      </c>
      <c r="Z5" s="479" t="s">
        <v>135</v>
      </c>
      <c r="AA5" s="1027"/>
    </row>
    <row r="6" spans="2:27" s="477" customFormat="1" ht="63.75" customHeight="1">
      <c r="B6" s="478"/>
      <c r="C6" s="478"/>
      <c r="D6" s="1035"/>
      <c r="E6" s="1039"/>
      <c r="F6" s="1042"/>
      <c r="G6" s="482" t="s">
        <v>355</v>
      </c>
      <c r="H6" s="482" t="s">
        <v>637</v>
      </c>
      <c r="I6" s="482" t="s">
        <v>359</v>
      </c>
      <c r="J6" s="482" t="s">
        <v>9</v>
      </c>
      <c r="K6" s="482" t="s">
        <v>152</v>
      </c>
      <c r="L6" s="482" t="s">
        <v>980</v>
      </c>
      <c r="M6" s="482" t="s">
        <v>128</v>
      </c>
      <c r="N6" s="482" t="s">
        <v>1111</v>
      </c>
      <c r="O6" s="482" t="s">
        <v>419</v>
      </c>
      <c r="P6" s="482" t="s">
        <v>431</v>
      </c>
      <c r="Q6" s="482" t="s">
        <v>982</v>
      </c>
      <c r="R6" s="482" t="s">
        <v>981</v>
      </c>
      <c r="S6" s="482" t="s">
        <v>456</v>
      </c>
      <c r="T6" s="482" t="s">
        <v>784</v>
      </c>
      <c r="U6" s="482" t="s">
        <v>983</v>
      </c>
      <c r="V6" s="482" t="s">
        <v>782</v>
      </c>
      <c r="W6" s="480" t="s">
        <v>353</v>
      </c>
      <c r="X6" s="480" t="s">
        <v>368</v>
      </c>
      <c r="Y6" s="482" t="s">
        <v>645</v>
      </c>
      <c r="Z6" s="482" t="s">
        <v>134</v>
      </c>
      <c r="AA6" s="1028"/>
    </row>
    <row r="7" spans="2:27" s="483" customFormat="1" ht="12">
      <c r="B7" s="484"/>
      <c r="C7" s="484"/>
      <c r="D7" s="1036"/>
      <c r="E7" s="485" t="s">
        <v>420</v>
      </c>
      <c r="F7" s="486" t="s">
        <v>421</v>
      </c>
      <c r="G7" s="487" t="s">
        <v>421</v>
      </c>
      <c r="H7" s="487" t="s">
        <v>422</v>
      </c>
      <c r="I7" s="488" t="s">
        <v>423</v>
      </c>
      <c r="J7" s="485" t="s">
        <v>424</v>
      </c>
      <c r="K7" s="485" t="s">
        <v>425</v>
      </c>
      <c r="L7" s="488" t="s">
        <v>427</v>
      </c>
      <c r="M7" s="488" t="s">
        <v>427</v>
      </c>
      <c r="N7" s="488"/>
      <c r="O7" s="488" t="s">
        <v>428</v>
      </c>
      <c r="P7" s="488" t="s">
        <v>381</v>
      </c>
      <c r="Q7" s="488"/>
      <c r="R7" s="488"/>
      <c r="S7" s="488" t="s">
        <v>382</v>
      </c>
      <c r="T7" s="487" t="s">
        <v>383</v>
      </c>
      <c r="U7" s="487" t="s">
        <v>384</v>
      </c>
      <c r="V7" s="487" t="s">
        <v>384</v>
      </c>
      <c r="W7" s="488" t="s">
        <v>385</v>
      </c>
      <c r="X7" s="488" t="s">
        <v>386</v>
      </c>
      <c r="Y7" s="489" t="s">
        <v>387</v>
      </c>
      <c r="Z7" s="490" t="s">
        <v>388</v>
      </c>
      <c r="AA7" s="491" t="s">
        <v>926</v>
      </c>
    </row>
    <row r="8" spans="1:27" s="499" customFormat="1" ht="24">
      <c r="A8" s="468"/>
      <c r="B8" s="469"/>
      <c r="C8" s="469" t="s">
        <v>60</v>
      </c>
      <c r="D8" s="492" t="s">
        <v>389</v>
      </c>
      <c r="E8" s="493" t="s">
        <v>61</v>
      </c>
      <c r="F8" s="494"/>
      <c r="G8" s="495">
        <f>29033148+30800</f>
        <v>29063948</v>
      </c>
      <c r="H8" s="495">
        <f>7533426+6006+1492000</f>
        <v>9031432</v>
      </c>
      <c r="I8" s="496">
        <f>14127980+63500+190500+243600+228600</f>
        <v>14854180</v>
      </c>
      <c r="J8" s="496">
        <v>0</v>
      </c>
      <c r="K8" s="496">
        <v>0</v>
      </c>
      <c r="L8" s="496">
        <f>1055350</f>
        <v>1055350</v>
      </c>
      <c r="M8" s="496">
        <f>1031200+100000</f>
        <v>1131200</v>
      </c>
      <c r="N8" s="496">
        <v>1032600</v>
      </c>
      <c r="O8" s="496">
        <v>0</v>
      </c>
      <c r="P8" s="496">
        <v>0</v>
      </c>
      <c r="Q8" s="496">
        <v>0</v>
      </c>
      <c r="R8" s="496">
        <v>0</v>
      </c>
      <c r="S8" s="496">
        <v>0</v>
      </c>
      <c r="T8" s="496">
        <v>0</v>
      </c>
      <c r="U8" s="496">
        <v>0</v>
      </c>
      <c r="V8" s="496">
        <v>0</v>
      </c>
      <c r="W8" s="495">
        <f>0+2316859-243600</f>
        <v>2073259</v>
      </c>
      <c r="X8" s="496">
        <v>0</v>
      </c>
      <c r="Y8" s="497">
        <v>0</v>
      </c>
      <c r="Z8" s="496">
        <v>0</v>
      </c>
      <c r="AA8" s="498">
        <f aca="true" t="shared" si="0" ref="AA8:AA64">SUM(G8:Z8)</f>
        <v>58241969</v>
      </c>
    </row>
    <row r="9" spans="1:27" s="499" customFormat="1" ht="24">
      <c r="A9" s="468"/>
      <c r="B9" s="469" t="s">
        <v>52</v>
      </c>
      <c r="C9" s="469" t="s">
        <v>55</v>
      </c>
      <c r="D9" s="500" t="s">
        <v>390</v>
      </c>
      <c r="E9" s="501" t="s">
        <v>56</v>
      </c>
      <c r="F9" s="502"/>
      <c r="G9" s="503">
        <v>0</v>
      </c>
      <c r="H9" s="503">
        <v>0</v>
      </c>
      <c r="I9" s="497">
        <f>26820278+68000+7679730+1417</f>
        <v>34569425</v>
      </c>
      <c r="J9" s="497">
        <v>0</v>
      </c>
      <c r="K9" s="497">
        <v>0</v>
      </c>
      <c r="L9" s="497">
        <v>0</v>
      </c>
      <c r="M9" s="497">
        <f>38436000+7100000</f>
        <v>45536000</v>
      </c>
      <c r="N9" s="497">
        <v>0</v>
      </c>
      <c r="O9" s="497">
        <v>0</v>
      </c>
      <c r="P9" s="497">
        <v>0</v>
      </c>
      <c r="Q9" s="497">
        <v>0</v>
      </c>
      <c r="R9" s="497">
        <v>0</v>
      </c>
      <c r="S9" s="497">
        <v>0</v>
      </c>
      <c r="T9" s="497">
        <v>0</v>
      </c>
      <c r="U9" s="497">
        <v>0</v>
      </c>
      <c r="V9" s="497">
        <v>0</v>
      </c>
      <c r="W9" s="503">
        <v>0</v>
      </c>
      <c r="X9" s="497">
        <f>2500000+3000000+5000000-387985-900000+900000-197100-545000-444500-2500000</f>
        <v>6425415</v>
      </c>
      <c r="Y9" s="497">
        <f>1609020-1159500</f>
        <v>449520</v>
      </c>
      <c r="Z9" s="497">
        <v>0</v>
      </c>
      <c r="AA9" s="498">
        <f t="shared" si="0"/>
        <v>86980360</v>
      </c>
    </row>
    <row r="10" spans="1:27" s="499" customFormat="1" ht="36">
      <c r="A10" s="468"/>
      <c r="B10" s="469"/>
      <c r="C10" s="469" t="s">
        <v>55</v>
      </c>
      <c r="D10" s="500" t="s">
        <v>391</v>
      </c>
      <c r="E10" s="501" t="s">
        <v>1152</v>
      </c>
      <c r="F10" s="502"/>
      <c r="G10" s="503">
        <v>0</v>
      </c>
      <c r="H10" s="503">
        <v>0</v>
      </c>
      <c r="I10" s="497">
        <v>0</v>
      </c>
      <c r="J10" s="497">
        <v>0</v>
      </c>
      <c r="K10" s="497">
        <v>0</v>
      </c>
      <c r="L10" s="497">
        <v>0</v>
      </c>
      <c r="M10" s="497">
        <v>0</v>
      </c>
      <c r="N10" s="497">
        <v>0</v>
      </c>
      <c r="O10" s="497">
        <v>0</v>
      </c>
      <c r="P10" s="497">
        <v>0</v>
      </c>
      <c r="Q10" s="497">
        <v>0</v>
      </c>
      <c r="R10" s="497">
        <v>0</v>
      </c>
      <c r="S10" s="497">
        <v>0</v>
      </c>
      <c r="T10" s="497">
        <v>0</v>
      </c>
      <c r="U10" s="497">
        <v>0</v>
      </c>
      <c r="V10" s="497">
        <v>0</v>
      </c>
      <c r="W10" s="503">
        <v>242642019</v>
      </c>
      <c r="X10" s="497">
        <v>0</v>
      </c>
      <c r="Y10" s="497">
        <v>0</v>
      </c>
      <c r="Z10" s="497">
        <v>0</v>
      </c>
      <c r="AA10" s="498">
        <f>SUM(G10:Z10)</f>
        <v>242642019</v>
      </c>
    </row>
    <row r="11" spans="1:27" s="499" customFormat="1" ht="36">
      <c r="A11" s="468"/>
      <c r="B11" s="469"/>
      <c r="C11" s="469" t="s">
        <v>55</v>
      </c>
      <c r="D11" s="500" t="s">
        <v>392</v>
      </c>
      <c r="E11" s="501" t="s">
        <v>1151</v>
      </c>
      <c r="F11" s="502"/>
      <c r="G11" s="503">
        <v>0</v>
      </c>
      <c r="H11" s="503">
        <v>0</v>
      </c>
      <c r="I11" s="497">
        <v>0</v>
      </c>
      <c r="J11" s="497">
        <v>0</v>
      </c>
      <c r="K11" s="497">
        <v>0</v>
      </c>
      <c r="L11" s="497">
        <v>0</v>
      </c>
      <c r="M11" s="497">
        <v>0</v>
      </c>
      <c r="N11" s="497">
        <v>0</v>
      </c>
      <c r="O11" s="497">
        <v>0</v>
      </c>
      <c r="P11" s="497">
        <v>0</v>
      </c>
      <c r="Q11" s="497">
        <v>0</v>
      </c>
      <c r="R11" s="497">
        <v>0</v>
      </c>
      <c r="S11" s="497">
        <v>0</v>
      </c>
      <c r="T11" s="497">
        <v>0</v>
      </c>
      <c r="U11" s="497">
        <v>0</v>
      </c>
      <c r="V11" s="497">
        <v>0</v>
      </c>
      <c r="W11" s="503">
        <v>17861888</v>
      </c>
      <c r="X11" s="497">
        <v>0</v>
      </c>
      <c r="Y11" s="497">
        <v>0</v>
      </c>
      <c r="Z11" s="497">
        <v>0</v>
      </c>
      <c r="AA11" s="498">
        <f t="shared" si="0"/>
        <v>17861888</v>
      </c>
    </row>
    <row r="12" spans="1:27" s="499" customFormat="1" ht="36">
      <c r="A12" s="468"/>
      <c r="B12" s="469" t="s">
        <v>53</v>
      </c>
      <c r="C12" s="469" t="s">
        <v>57</v>
      </c>
      <c r="D12" s="500" t="s">
        <v>393</v>
      </c>
      <c r="E12" s="501" t="s">
        <v>539</v>
      </c>
      <c r="F12" s="502"/>
      <c r="G12" s="503">
        <v>2158500</v>
      </c>
      <c r="H12" s="503">
        <v>424933</v>
      </c>
      <c r="I12" s="497">
        <f>55480</f>
        <v>55480</v>
      </c>
      <c r="J12" s="497">
        <v>0</v>
      </c>
      <c r="K12" s="497">
        <v>0</v>
      </c>
      <c r="L12" s="497">
        <v>0</v>
      </c>
      <c r="M12" s="497">
        <f>4592665</f>
        <v>4592665</v>
      </c>
      <c r="N12" s="497">
        <v>0</v>
      </c>
      <c r="O12" s="497">
        <v>0</v>
      </c>
      <c r="P12" s="497">
        <v>0</v>
      </c>
      <c r="Q12" s="497">
        <v>0</v>
      </c>
      <c r="R12" s="497">
        <v>0</v>
      </c>
      <c r="S12" s="497">
        <v>0</v>
      </c>
      <c r="T12" s="497">
        <v>0</v>
      </c>
      <c r="U12" s="497">
        <v>0</v>
      </c>
      <c r="V12" s="497">
        <v>0</v>
      </c>
      <c r="W12" s="503">
        <v>0</v>
      </c>
      <c r="X12" s="497">
        <v>0</v>
      </c>
      <c r="Y12" s="497">
        <v>0</v>
      </c>
      <c r="Z12" s="497">
        <v>0</v>
      </c>
      <c r="AA12" s="498">
        <f t="shared" si="0"/>
        <v>7231578</v>
      </c>
    </row>
    <row r="13" spans="1:27" s="499" customFormat="1" ht="24">
      <c r="A13" s="468"/>
      <c r="B13" s="469" t="s">
        <v>54</v>
      </c>
      <c r="C13" s="469" t="s">
        <v>62</v>
      </c>
      <c r="D13" s="500" t="s">
        <v>394</v>
      </c>
      <c r="E13" s="501" t="s">
        <v>373</v>
      </c>
      <c r="F13" s="502"/>
      <c r="G13" s="503">
        <f>514000+420000</f>
        <v>934000</v>
      </c>
      <c r="H13" s="503">
        <f>489933+80000</f>
        <v>569933</v>
      </c>
      <c r="I13" s="497">
        <f>6220254-5500000+1100000+1350000</f>
        <v>3170254</v>
      </c>
      <c r="J13" s="497">
        <v>0</v>
      </c>
      <c r="K13" s="497">
        <v>0</v>
      </c>
      <c r="L13" s="497">
        <v>0</v>
      </c>
      <c r="M13" s="497">
        <v>0</v>
      </c>
      <c r="N13" s="497">
        <v>0</v>
      </c>
      <c r="O13" s="497">
        <v>0</v>
      </c>
      <c r="P13" s="497">
        <v>0</v>
      </c>
      <c r="Q13" s="497">
        <v>0</v>
      </c>
      <c r="R13" s="497">
        <v>0</v>
      </c>
      <c r="S13" s="497">
        <v>0</v>
      </c>
      <c r="T13" s="497">
        <v>0</v>
      </c>
      <c r="U13" s="497">
        <v>0</v>
      </c>
      <c r="V13" s="497">
        <v>0</v>
      </c>
      <c r="W13" s="503">
        <v>0</v>
      </c>
      <c r="X13" s="497">
        <v>0</v>
      </c>
      <c r="Y13" s="497">
        <v>0</v>
      </c>
      <c r="Z13" s="497">
        <v>0</v>
      </c>
      <c r="AA13" s="498">
        <f t="shared" si="0"/>
        <v>4674187</v>
      </c>
    </row>
    <row r="14" spans="1:27" s="499" customFormat="1" ht="23.25" customHeight="1">
      <c r="A14" s="468"/>
      <c r="B14" s="469"/>
      <c r="C14" s="469" t="s">
        <v>861</v>
      </c>
      <c r="D14" s="500" t="s">
        <v>395</v>
      </c>
      <c r="E14" s="501" t="s">
        <v>775</v>
      </c>
      <c r="F14" s="502"/>
      <c r="G14" s="503">
        <v>0</v>
      </c>
      <c r="H14" s="503">
        <v>0</v>
      </c>
      <c r="I14" s="503">
        <v>0</v>
      </c>
      <c r="J14" s="503">
        <v>0</v>
      </c>
      <c r="K14" s="503">
        <f>34037935+66110+32640+20906574</f>
        <v>55043259</v>
      </c>
      <c r="L14" s="503">
        <v>0</v>
      </c>
      <c r="M14" s="503">
        <v>0</v>
      </c>
      <c r="N14" s="503">
        <v>0</v>
      </c>
      <c r="O14" s="503">
        <v>0</v>
      </c>
      <c r="P14" s="503">
        <v>0</v>
      </c>
      <c r="Q14" s="503">
        <v>0</v>
      </c>
      <c r="R14" s="503">
        <v>0</v>
      </c>
      <c r="S14" s="503">
        <v>0</v>
      </c>
      <c r="T14" s="503">
        <v>0</v>
      </c>
      <c r="U14" s="503">
        <v>0</v>
      </c>
      <c r="V14" s="503">
        <v>0</v>
      </c>
      <c r="W14" s="503">
        <v>0</v>
      </c>
      <c r="X14" s="497">
        <v>0</v>
      </c>
      <c r="Y14" s="497">
        <v>0</v>
      </c>
      <c r="Z14" s="497">
        <v>0</v>
      </c>
      <c r="AA14" s="498">
        <f t="shared" si="0"/>
        <v>55043259</v>
      </c>
    </row>
    <row r="15" spans="1:27" s="499" customFormat="1" ht="23.25" customHeight="1">
      <c r="A15" s="468"/>
      <c r="B15" s="469"/>
      <c r="C15" s="469" t="s">
        <v>633</v>
      </c>
      <c r="D15" s="500" t="s">
        <v>396</v>
      </c>
      <c r="E15" s="501" t="s">
        <v>634</v>
      </c>
      <c r="F15" s="502"/>
      <c r="G15" s="503">
        <v>0</v>
      </c>
      <c r="H15" s="503">
        <v>0</v>
      </c>
      <c r="I15" s="503">
        <f>1157503+936+141447+1283275-1150000</f>
        <v>1433161</v>
      </c>
      <c r="J15" s="503">
        <v>0</v>
      </c>
      <c r="K15" s="503">
        <v>0</v>
      </c>
      <c r="L15" s="503">
        <v>0</v>
      </c>
      <c r="M15" s="503">
        <v>0</v>
      </c>
      <c r="N15" s="503">
        <v>0</v>
      </c>
      <c r="O15" s="503">
        <v>0</v>
      </c>
      <c r="P15" s="503">
        <v>0</v>
      </c>
      <c r="Q15" s="503">
        <v>0</v>
      </c>
      <c r="R15" s="503">
        <v>0</v>
      </c>
      <c r="S15" s="503">
        <v>0</v>
      </c>
      <c r="T15" s="503">
        <v>0</v>
      </c>
      <c r="U15" s="503">
        <v>0</v>
      </c>
      <c r="V15" s="503">
        <v>0</v>
      </c>
      <c r="W15" s="503">
        <v>0</v>
      </c>
      <c r="X15" s="497">
        <v>0</v>
      </c>
      <c r="Y15" s="497">
        <v>0</v>
      </c>
      <c r="Z15" s="497">
        <v>18041236</v>
      </c>
      <c r="AA15" s="498">
        <f t="shared" si="0"/>
        <v>19474397</v>
      </c>
    </row>
    <row r="16" spans="1:27" s="499" customFormat="1" ht="24">
      <c r="A16" s="468">
        <v>20215</v>
      </c>
      <c r="B16" s="469" t="s">
        <v>55</v>
      </c>
      <c r="C16" s="469" t="s">
        <v>65</v>
      </c>
      <c r="D16" s="500" t="s">
        <v>397</v>
      </c>
      <c r="E16" s="501" t="s">
        <v>66</v>
      </c>
      <c r="F16" s="502"/>
      <c r="G16" s="503">
        <f>34895474+2200</f>
        <v>34897674</v>
      </c>
      <c r="H16" s="503">
        <f>6862023+429</f>
        <v>6862452</v>
      </c>
      <c r="I16" s="497">
        <f>8729294-120000-73660-29000</f>
        <v>8506634</v>
      </c>
      <c r="J16" s="497">
        <v>0</v>
      </c>
      <c r="K16" s="497">
        <v>0</v>
      </c>
      <c r="L16" s="497">
        <v>0</v>
      </c>
      <c r="M16" s="497">
        <v>0</v>
      </c>
      <c r="N16" s="497">
        <v>0</v>
      </c>
      <c r="O16" s="497">
        <v>0</v>
      </c>
      <c r="P16" s="497">
        <v>0</v>
      </c>
      <c r="Q16" s="497">
        <v>0</v>
      </c>
      <c r="R16" s="497">
        <v>0</v>
      </c>
      <c r="S16" s="497">
        <v>0</v>
      </c>
      <c r="T16" s="497">
        <v>0</v>
      </c>
      <c r="U16" s="497">
        <v>0</v>
      </c>
      <c r="V16" s="497">
        <v>0</v>
      </c>
      <c r="W16" s="503">
        <f>120000+73660+29000</f>
        <v>222660</v>
      </c>
      <c r="X16" s="497">
        <v>508000</v>
      </c>
      <c r="Y16" s="497">
        <v>0</v>
      </c>
      <c r="Z16" s="497">
        <v>0</v>
      </c>
      <c r="AA16" s="498">
        <f t="shared" si="0"/>
        <v>50997420</v>
      </c>
    </row>
    <row r="17" spans="1:27" s="499" customFormat="1" ht="24">
      <c r="A17" s="468"/>
      <c r="B17" s="469"/>
      <c r="C17" s="469" t="s">
        <v>785</v>
      </c>
      <c r="D17" s="500" t="s">
        <v>398</v>
      </c>
      <c r="E17" s="501" t="s">
        <v>776</v>
      </c>
      <c r="F17" s="502"/>
      <c r="G17" s="503">
        <v>0</v>
      </c>
      <c r="H17" s="503">
        <v>0</v>
      </c>
      <c r="I17" s="503">
        <v>0</v>
      </c>
      <c r="J17" s="503">
        <v>0</v>
      </c>
      <c r="K17" s="503">
        <v>0</v>
      </c>
      <c r="L17" s="503">
        <v>0</v>
      </c>
      <c r="M17" s="503">
        <v>0</v>
      </c>
      <c r="N17" s="503">
        <v>0</v>
      </c>
      <c r="O17" s="503">
        <v>0</v>
      </c>
      <c r="P17" s="503">
        <v>0</v>
      </c>
      <c r="Q17" s="503">
        <v>0</v>
      </c>
      <c r="R17" s="503">
        <v>0</v>
      </c>
      <c r="S17" s="503">
        <v>0</v>
      </c>
      <c r="T17" s="503">
        <v>0</v>
      </c>
      <c r="U17" s="503">
        <v>0</v>
      </c>
      <c r="V17" s="503">
        <v>0</v>
      </c>
      <c r="W17" s="503">
        <v>0</v>
      </c>
      <c r="X17" s="497">
        <v>0</v>
      </c>
      <c r="Y17" s="503">
        <v>0</v>
      </c>
      <c r="Z17" s="497">
        <v>0</v>
      </c>
      <c r="AA17" s="498">
        <f t="shared" si="0"/>
        <v>0</v>
      </c>
    </row>
    <row r="18" spans="1:27" s="499" customFormat="1" ht="24">
      <c r="A18" s="468"/>
      <c r="B18" s="469"/>
      <c r="C18" s="469" t="s">
        <v>786</v>
      </c>
      <c r="D18" s="500" t="s">
        <v>399</v>
      </c>
      <c r="E18" s="501" t="s">
        <v>778</v>
      </c>
      <c r="F18" s="502"/>
      <c r="G18" s="503">
        <f>10871880+28103985</f>
        <v>38975865</v>
      </c>
      <c r="H18" s="503">
        <f>1105308+2740077</f>
        <v>3845385</v>
      </c>
      <c r="I18" s="503">
        <f>8057715+246024-2601</f>
        <v>8301138</v>
      </c>
      <c r="J18" s="503">
        <v>0</v>
      </c>
      <c r="K18" s="503">
        <v>0</v>
      </c>
      <c r="L18" s="503">
        <v>0</v>
      </c>
      <c r="M18" s="503">
        <v>0</v>
      </c>
      <c r="N18" s="503">
        <v>0</v>
      </c>
      <c r="O18" s="503">
        <v>0</v>
      </c>
      <c r="P18" s="503">
        <v>0</v>
      </c>
      <c r="Q18" s="503">
        <v>0</v>
      </c>
      <c r="R18" s="503">
        <v>0</v>
      </c>
      <c r="S18" s="503">
        <v>0</v>
      </c>
      <c r="T18" s="503">
        <v>0</v>
      </c>
      <c r="U18" s="503">
        <v>0</v>
      </c>
      <c r="V18" s="503">
        <v>0</v>
      </c>
      <c r="W18" s="503">
        <f>1846997+914</f>
        <v>1847911</v>
      </c>
      <c r="X18" s="497">
        <v>0</v>
      </c>
      <c r="Y18" s="503">
        <v>0</v>
      </c>
      <c r="Z18" s="497">
        <v>0</v>
      </c>
      <c r="AA18" s="498">
        <f t="shared" si="0"/>
        <v>52970299</v>
      </c>
    </row>
    <row r="19" spans="1:27" s="499" customFormat="1" ht="24">
      <c r="A19" s="468"/>
      <c r="B19" s="469"/>
      <c r="C19" s="469" t="s">
        <v>787</v>
      </c>
      <c r="D19" s="500" t="s">
        <v>400</v>
      </c>
      <c r="E19" s="501" t="s">
        <v>779</v>
      </c>
      <c r="F19" s="502"/>
      <c r="G19" s="503">
        <f>21446460+40610080+9375932</f>
        <v>71432472</v>
      </c>
      <c r="H19" s="503">
        <f>2180390+3959404+914153</f>
        <v>7053947</v>
      </c>
      <c r="I19" s="503">
        <f>2045415+426539+823080-23713</f>
        <v>3271321</v>
      </c>
      <c r="J19" s="503">
        <v>0</v>
      </c>
      <c r="K19" s="503">
        <v>0</v>
      </c>
      <c r="L19" s="503">
        <v>0</v>
      </c>
      <c r="M19" s="503">
        <v>0</v>
      </c>
      <c r="N19" s="503">
        <v>0</v>
      </c>
      <c r="O19" s="503">
        <v>0</v>
      </c>
      <c r="P19" s="503">
        <v>0</v>
      </c>
      <c r="Q19" s="503">
        <v>0</v>
      </c>
      <c r="R19" s="503">
        <v>0</v>
      </c>
      <c r="S19" s="503">
        <v>0</v>
      </c>
      <c r="T19" s="503">
        <v>0</v>
      </c>
      <c r="U19" s="503">
        <v>0</v>
      </c>
      <c r="V19" s="503">
        <v>0</v>
      </c>
      <c r="W19" s="503">
        <f>299888+25400</f>
        <v>325288</v>
      </c>
      <c r="X19" s="497">
        <v>0</v>
      </c>
      <c r="Y19" s="503">
        <v>0</v>
      </c>
      <c r="Z19" s="497">
        <v>0</v>
      </c>
      <c r="AA19" s="498">
        <f t="shared" si="0"/>
        <v>82083028</v>
      </c>
    </row>
    <row r="20" spans="1:27" s="499" customFormat="1" ht="22.5" customHeight="1">
      <c r="A20" s="468"/>
      <c r="B20" s="469"/>
      <c r="C20" s="469" t="s">
        <v>636</v>
      </c>
      <c r="D20" s="500" t="s">
        <v>401</v>
      </c>
      <c r="E20" s="501" t="s">
        <v>635</v>
      </c>
      <c r="F20" s="502"/>
      <c r="G20" s="503">
        <v>0</v>
      </c>
      <c r="H20" s="503">
        <v>0</v>
      </c>
      <c r="I20" s="503">
        <v>0</v>
      </c>
      <c r="J20" s="503">
        <v>0</v>
      </c>
      <c r="K20" s="503">
        <v>0</v>
      </c>
      <c r="L20" s="503">
        <v>0</v>
      </c>
      <c r="M20" s="503">
        <v>0</v>
      </c>
      <c r="N20" s="503">
        <v>0</v>
      </c>
      <c r="O20" s="503">
        <v>0</v>
      </c>
      <c r="P20" s="503">
        <v>0</v>
      </c>
      <c r="Q20" s="503">
        <v>0</v>
      </c>
      <c r="R20" s="503">
        <v>0</v>
      </c>
      <c r="S20" s="503">
        <v>0</v>
      </c>
      <c r="T20" s="503">
        <v>0</v>
      </c>
      <c r="U20" s="503">
        <v>0</v>
      </c>
      <c r="V20" s="503">
        <v>0</v>
      </c>
      <c r="W20" s="503">
        <v>12223750</v>
      </c>
      <c r="X20" s="497">
        <v>0</v>
      </c>
      <c r="Y20" s="503">
        <v>0</v>
      </c>
      <c r="Z20" s="497">
        <v>0</v>
      </c>
      <c r="AA20" s="498">
        <f t="shared" si="0"/>
        <v>12223750</v>
      </c>
    </row>
    <row r="21" spans="2:27" ht="24">
      <c r="B21" s="469" t="s">
        <v>60</v>
      </c>
      <c r="C21" s="469" t="s">
        <v>53</v>
      </c>
      <c r="D21" s="500" t="s">
        <v>402</v>
      </c>
      <c r="E21" s="501" t="s">
        <v>540</v>
      </c>
      <c r="F21" s="502"/>
      <c r="G21" s="503">
        <v>0</v>
      </c>
      <c r="H21" s="503">
        <v>0</v>
      </c>
      <c r="I21" s="497">
        <v>14850000</v>
      </c>
      <c r="J21" s="497">
        <v>0</v>
      </c>
      <c r="K21" s="497">
        <v>0</v>
      </c>
      <c r="L21" s="497">
        <v>0</v>
      </c>
      <c r="M21" s="497">
        <v>868</v>
      </c>
      <c r="N21" s="497">
        <v>0</v>
      </c>
      <c r="O21" s="497">
        <v>0</v>
      </c>
      <c r="P21" s="497">
        <v>0</v>
      </c>
      <c r="Q21" s="497">
        <v>0</v>
      </c>
      <c r="R21" s="497">
        <v>0</v>
      </c>
      <c r="S21" s="497">
        <v>0</v>
      </c>
      <c r="T21" s="497">
        <v>0</v>
      </c>
      <c r="U21" s="497">
        <v>0</v>
      </c>
      <c r="V21" s="497">
        <v>0</v>
      </c>
      <c r="W21" s="497">
        <f>525300+30000+387985</f>
        <v>943285</v>
      </c>
      <c r="X21" s="497">
        <v>17634204</v>
      </c>
      <c r="Y21" s="497">
        <v>0</v>
      </c>
      <c r="Z21" s="497">
        <v>0</v>
      </c>
      <c r="AA21" s="498">
        <f t="shared" si="0"/>
        <v>33428357</v>
      </c>
    </row>
    <row r="22" spans="2:27" ht="24">
      <c r="B22" s="469" t="s">
        <v>62</v>
      </c>
      <c r="C22" s="469" t="s">
        <v>67</v>
      </c>
      <c r="D22" s="500" t="s">
        <v>403</v>
      </c>
      <c r="E22" s="501" t="s">
        <v>68</v>
      </c>
      <c r="F22" s="502"/>
      <c r="G22" s="503">
        <v>0</v>
      </c>
      <c r="H22" s="503">
        <v>0</v>
      </c>
      <c r="I22" s="497">
        <v>1270000</v>
      </c>
      <c r="J22" s="497">
        <v>0</v>
      </c>
      <c r="K22" s="497">
        <v>0</v>
      </c>
      <c r="L22" s="497">
        <v>0</v>
      </c>
      <c r="M22" s="497">
        <v>0</v>
      </c>
      <c r="N22" s="497">
        <v>0</v>
      </c>
      <c r="O22" s="497">
        <v>0</v>
      </c>
      <c r="P22" s="497">
        <v>0</v>
      </c>
      <c r="Q22" s="497">
        <v>0</v>
      </c>
      <c r="R22" s="497">
        <v>0</v>
      </c>
      <c r="S22" s="497">
        <v>0</v>
      </c>
      <c r="T22" s="497">
        <v>0</v>
      </c>
      <c r="U22" s="497">
        <v>0</v>
      </c>
      <c r="V22" s="497">
        <v>0</v>
      </c>
      <c r="W22" s="497">
        <f>8644085+106200000</f>
        <v>114844085</v>
      </c>
      <c r="X22" s="497">
        <v>0</v>
      </c>
      <c r="Y22" s="497">
        <v>0</v>
      </c>
      <c r="Z22" s="497">
        <v>0</v>
      </c>
      <c r="AA22" s="498">
        <f t="shared" si="0"/>
        <v>116114085</v>
      </c>
    </row>
    <row r="23" spans="3:27" ht="48">
      <c r="C23" s="469" t="s">
        <v>1142</v>
      </c>
      <c r="D23" s="500" t="s">
        <v>404</v>
      </c>
      <c r="E23" s="501" t="s">
        <v>1153</v>
      </c>
      <c r="F23" s="504"/>
      <c r="G23" s="503">
        <v>0</v>
      </c>
      <c r="H23" s="503">
        <v>0</v>
      </c>
      <c r="I23" s="497">
        <v>0</v>
      </c>
      <c r="J23" s="497">
        <v>0</v>
      </c>
      <c r="K23" s="497">
        <v>0</v>
      </c>
      <c r="L23" s="497">
        <v>0</v>
      </c>
      <c r="M23" s="497">
        <v>0</v>
      </c>
      <c r="N23" s="497">
        <v>0</v>
      </c>
      <c r="O23" s="497">
        <v>0</v>
      </c>
      <c r="P23" s="497">
        <v>0</v>
      </c>
      <c r="Q23" s="497">
        <v>0</v>
      </c>
      <c r="R23" s="497">
        <v>0</v>
      </c>
      <c r="S23" s="497">
        <v>0</v>
      </c>
      <c r="T23" s="497">
        <v>0</v>
      </c>
      <c r="U23" s="497">
        <v>0</v>
      </c>
      <c r="V23" s="497">
        <v>0</v>
      </c>
      <c r="W23" s="497">
        <f>3832400+192470000</f>
        <v>196302400</v>
      </c>
      <c r="X23" s="497">
        <v>0</v>
      </c>
      <c r="Y23" s="497">
        <v>0</v>
      </c>
      <c r="Z23" s="497">
        <v>0</v>
      </c>
      <c r="AA23" s="498">
        <f t="shared" si="0"/>
        <v>196302400</v>
      </c>
    </row>
    <row r="24" spans="1:27" ht="16.5" customHeight="1">
      <c r="A24" s="468">
        <v>751791</v>
      </c>
      <c r="B24" s="469" t="s">
        <v>63</v>
      </c>
      <c r="C24" s="469" t="s">
        <v>984</v>
      </c>
      <c r="D24" s="500" t="s">
        <v>405</v>
      </c>
      <c r="E24" s="501" t="s">
        <v>985</v>
      </c>
      <c r="F24" s="504"/>
      <c r="G24" s="497">
        <v>0</v>
      </c>
      <c r="H24" s="503">
        <v>0</v>
      </c>
      <c r="I24" s="497">
        <v>0</v>
      </c>
      <c r="J24" s="497">
        <v>0</v>
      </c>
      <c r="K24" s="497">
        <v>0</v>
      </c>
      <c r="L24" s="497">
        <v>0</v>
      </c>
      <c r="M24" s="497">
        <v>7265000</v>
      </c>
      <c r="N24" s="497">
        <v>0</v>
      </c>
      <c r="O24" s="497">
        <v>0</v>
      </c>
      <c r="P24" s="497">
        <v>0</v>
      </c>
      <c r="Q24" s="497"/>
      <c r="R24" s="497"/>
      <c r="S24" s="497">
        <v>0</v>
      </c>
      <c r="T24" s="497">
        <v>0</v>
      </c>
      <c r="U24" s="497">
        <v>0</v>
      </c>
      <c r="V24" s="497">
        <v>0</v>
      </c>
      <c r="W24" s="497">
        <v>0</v>
      </c>
      <c r="X24" s="497">
        <v>0</v>
      </c>
      <c r="Y24" s="497">
        <v>0</v>
      </c>
      <c r="Z24" s="497">
        <v>0</v>
      </c>
      <c r="AA24" s="498">
        <f>SUM(G24:Z24)</f>
        <v>7265000</v>
      </c>
    </row>
    <row r="25" spans="1:27" ht="24">
      <c r="A25" s="468">
        <v>751791</v>
      </c>
      <c r="B25" s="469" t="s">
        <v>63</v>
      </c>
      <c r="C25" s="469" t="s">
        <v>49</v>
      </c>
      <c r="D25" s="500" t="s">
        <v>406</v>
      </c>
      <c r="E25" s="501" t="s">
        <v>50</v>
      </c>
      <c r="F25" s="504"/>
      <c r="G25" s="497">
        <v>0</v>
      </c>
      <c r="H25" s="503">
        <v>0</v>
      </c>
      <c r="I25" s="497">
        <v>1736016</v>
      </c>
      <c r="J25" s="497">
        <v>0</v>
      </c>
      <c r="K25" s="497">
        <v>0</v>
      </c>
      <c r="L25" s="497">
        <v>0</v>
      </c>
      <c r="M25" s="497">
        <f>300000</f>
        <v>300000</v>
      </c>
      <c r="N25" s="497">
        <v>0</v>
      </c>
      <c r="O25" s="497">
        <v>0</v>
      </c>
      <c r="P25" s="497">
        <v>0</v>
      </c>
      <c r="Q25" s="497"/>
      <c r="R25" s="497"/>
      <c r="S25" s="497">
        <v>0</v>
      </c>
      <c r="T25" s="497">
        <v>0</v>
      </c>
      <c r="U25" s="497">
        <v>0</v>
      </c>
      <c r="V25" s="497">
        <v>0</v>
      </c>
      <c r="W25" s="497">
        <v>0</v>
      </c>
      <c r="X25" s="497">
        <v>0</v>
      </c>
      <c r="Y25" s="497">
        <v>0</v>
      </c>
      <c r="Z25" s="497">
        <v>0</v>
      </c>
      <c r="AA25" s="498">
        <f t="shared" si="0"/>
        <v>2036016</v>
      </c>
    </row>
    <row r="26" spans="1:27" ht="24">
      <c r="A26" s="468">
        <v>751834</v>
      </c>
      <c r="B26" s="469" t="s">
        <v>64</v>
      </c>
      <c r="C26" s="469" t="s">
        <v>51</v>
      </c>
      <c r="D26" s="500" t="s">
        <v>407</v>
      </c>
      <c r="E26" s="501" t="s">
        <v>371</v>
      </c>
      <c r="F26" s="502"/>
      <c r="G26" s="503">
        <v>0</v>
      </c>
      <c r="H26" s="503">
        <v>0</v>
      </c>
      <c r="I26" s="497">
        <f>11239754-848360+3300476</f>
        <v>13691870</v>
      </c>
      <c r="J26" s="497">
        <v>0</v>
      </c>
      <c r="K26" s="497">
        <v>0</v>
      </c>
      <c r="L26" s="497">
        <v>0</v>
      </c>
      <c r="M26" s="497">
        <v>0</v>
      </c>
      <c r="N26" s="497">
        <v>0</v>
      </c>
      <c r="O26" s="497">
        <v>0</v>
      </c>
      <c r="P26" s="497">
        <v>0</v>
      </c>
      <c r="Q26" s="497"/>
      <c r="R26" s="497"/>
      <c r="S26" s="497">
        <v>0</v>
      </c>
      <c r="T26" s="497">
        <v>0</v>
      </c>
      <c r="U26" s="497">
        <v>0</v>
      </c>
      <c r="V26" s="497">
        <v>0</v>
      </c>
      <c r="W26" s="497">
        <v>0</v>
      </c>
      <c r="X26" s="497">
        <v>0</v>
      </c>
      <c r="Y26" s="497">
        <v>0</v>
      </c>
      <c r="Z26" s="497">
        <v>0</v>
      </c>
      <c r="AA26" s="498">
        <f t="shared" si="0"/>
        <v>13691870</v>
      </c>
    </row>
    <row r="27" spans="3:27" ht="24" customHeight="1">
      <c r="C27" s="469" t="s">
        <v>52</v>
      </c>
      <c r="D27" s="500" t="s">
        <v>408</v>
      </c>
      <c r="E27" s="501" t="s">
        <v>979</v>
      </c>
      <c r="F27" s="502"/>
      <c r="G27" s="503">
        <v>0</v>
      </c>
      <c r="H27" s="497">
        <v>0</v>
      </c>
      <c r="I27" s="497">
        <v>15000000</v>
      </c>
      <c r="J27" s="497">
        <v>0</v>
      </c>
      <c r="K27" s="497">
        <v>0</v>
      </c>
      <c r="L27" s="497">
        <v>0</v>
      </c>
      <c r="M27" s="497">
        <v>0</v>
      </c>
      <c r="N27" s="497">
        <v>0</v>
      </c>
      <c r="O27" s="497">
        <v>0</v>
      </c>
      <c r="P27" s="497">
        <v>0</v>
      </c>
      <c r="Q27" s="497"/>
      <c r="R27" s="497"/>
      <c r="S27" s="497">
        <v>0</v>
      </c>
      <c r="T27" s="497">
        <v>0</v>
      </c>
      <c r="U27" s="497">
        <v>0</v>
      </c>
      <c r="V27" s="497">
        <v>0</v>
      </c>
      <c r="W27" s="503">
        <v>0</v>
      </c>
      <c r="X27" s="497">
        <v>0</v>
      </c>
      <c r="Y27" s="497">
        <v>18081467</v>
      </c>
      <c r="Z27" s="497">
        <v>0</v>
      </c>
      <c r="AA27" s="498">
        <f>SUM(G27:Z27)</f>
        <v>33081467</v>
      </c>
    </row>
    <row r="28" spans="3:27" ht="39" customHeight="1">
      <c r="C28" s="469" t="s">
        <v>1144</v>
      </c>
      <c r="D28" s="500" t="s">
        <v>409</v>
      </c>
      <c r="E28" s="501" t="s">
        <v>1149</v>
      </c>
      <c r="F28" s="502"/>
      <c r="G28" s="503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503"/>
      <c r="X28" s="497">
        <f>2500000+47500000</f>
        <v>50000000</v>
      </c>
      <c r="Y28" s="497"/>
      <c r="Z28" s="497"/>
      <c r="AA28" s="498">
        <f>SUM(G28:Z28)</f>
        <v>50000000</v>
      </c>
    </row>
    <row r="29" spans="3:27" ht="38.25" customHeight="1">
      <c r="C29" s="469" t="s">
        <v>1143</v>
      </c>
      <c r="D29" s="500" t="s">
        <v>410</v>
      </c>
      <c r="E29" s="501" t="s">
        <v>1150</v>
      </c>
      <c r="F29" s="502"/>
      <c r="G29" s="503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503"/>
      <c r="X29" s="497">
        <v>97606050</v>
      </c>
      <c r="Y29" s="497"/>
      <c r="Z29" s="497"/>
      <c r="AA29" s="498">
        <f>SUM(G29:Z29)</f>
        <v>97606050</v>
      </c>
    </row>
    <row r="30" spans="3:27" ht="24" customHeight="1">
      <c r="C30" s="469" t="s">
        <v>780</v>
      </c>
      <c r="D30" s="500" t="s">
        <v>485</v>
      </c>
      <c r="E30" s="501" t="s">
        <v>781</v>
      </c>
      <c r="F30" s="502"/>
      <c r="G30" s="503">
        <v>0</v>
      </c>
      <c r="H30" s="497">
        <v>0</v>
      </c>
      <c r="I30" s="497">
        <v>0</v>
      </c>
      <c r="J30" s="497">
        <v>0</v>
      </c>
      <c r="K30" s="497">
        <v>0</v>
      </c>
      <c r="L30" s="497">
        <v>0</v>
      </c>
      <c r="M30" s="497">
        <v>0</v>
      </c>
      <c r="N30" s="497">
        <v>0</v>
      </c>
      <c r="O30" s="497">
        <v>0</v>
      </c>
      <c r="P30" s="497">
        <v>0</v>
      </c>
      <c r="Q30" s="497"/>
      <c r="R30" s="497"/>
      <c r="S30" s="497">
        <v>0</v>
      </c>
      <c r="T30" s="497">
        <v>0</v>
      </c>
      <c r="U30" s="497">
        <v>0</v>
      </c>
      <c r="V30" s="497">
        <v>0</v>
      </c>
      <c r="W30" s="503">
        <v>0</v>
      </c>
      <c r="X30" s="497">
        <v>389000</v>
      </c>
      <c r="Y30" s="497">
        <v>0</v>
      </c>
      <c r="Z30" s="497">
        <v>0</v>
      </c>
      <c r="AA30" s="498">
        <f t="shared" si="0"/>
        <v>389000</v>
      </c>
    </row>
    <row r="31" spans="1:27" ht="24" customHeight="1">
      <c r="A31" s="468">
        <v>751966</v>
      </c>
      <c r="B31" s="469" t="s">
        <v>65</v>
      </c>
      <c r="C31" s="469" t="s">
        <v>63</v>
      </c>
      <c r="D31" s="500" t="s">
        <v>486</v>
      </c>
      <c r="E31" s="501" t="s">
        <v>374</v>
      </c>
      <c r="F31" s="502"/>
      <c r="G31" s="503">
        <v>0</v>
      </c>
      <c r="H31" s="497">
        <v>0</v>
      </c>
      <c r="I31" s="497">
        <v>23139400</v>
      </c>
      <c r="J31" s="497">
        <v>0</v>
      </c>
      <c r="K31" s="497">
        <v>0</v>
      </c>
      <c r="L31" s="497">
        <v>0</v>
      </c>
      <c r="M31" s="497">
        <v>0</v>
      </c>
      <c r="N31" s="497">
        <v>0</v>
      </c>
      <c r="O31" s="497">
        <v>0</v>
      </c>
      <c r="P31" s="497">
        <v>0</v>
      </c>
      <c r="Q31" s="497"/>
      <c r="R31" s="497"/>
      <c r="S31" s="497">
        <v>0</v>
      </c>
      <c r="T31" s="497">
        <v>0</v>
      </c>
      <c r="U31" s="497">
        <v>0</v>
      </c>
      <c r="V31" s="497">
        <v>0</v>
      </c>
      <c r="W31" s="503">
        <v>0</v>
      </c>
      <c r="X31" s="497">
        <v>0</v>
      </c>
      <c r="Y31" s="497">
        <v>0</v>
      </c>
      <c r="Z31" s="497">
        <v>0</v>
      </c>
      <c r="AA31" s="498">
        <f t="shared" si="0"/>
        <v>23139400</v>
      </c>
    </row>
    <row r="32" spans="1:27" ht="24" customHeight="1">
      <c r="A32" s="468">
        <v>751999</v>
      </c>
      <c r="B32" s="469" t="s">
        <v>67</v>
      </c>
      <c r="C32" s="469" t="s">
        <v>59</v>
      </c>
      <c r="D32" s="500" t="s">
        <v>487</v>
      </c>
      <c r="E32" s="501" t="s">
        <v>541</v>
      </c>
      <c r="F32" s="502"/>
      <c r="G32" s="503">
        <v>0</v>
      </c>
      <c r="H32" s="503">
        <v>0</v>
      </c>
      <c r="I32" s="497">
        <f>254000+1100000+400000-100000</f>
        <v>1654000</v>
      </c>
      <c r="J32" s="497">
        <v>0</v>
      </c>
      <c r="K32" s="497">
        <v>0</v>
      </c>
      <c r="L32" s="497">
        <v>0</v>
      </c>
      <c r="M32" s="497">
        <f>25828000-1100000+3692132</f>
        <v>28420132</v>
      </c>
      <c r="N32" s="497">
        <v>0</v>
      </c>
      <c r="O32" s="497">
        <v>0</v>
      </c>
      <c r="P32" s="497">
        <v>0</v>
      </c>
      <c r="Q32" s="497"/>
      <c r="R32" s="497"/>
      <c r="S32" s="497">
        <v>0</v>
      </c>
      <c r="T32" s="497">
        <v>0</v>
      </c>
      <c r="U32" s="497">
        <v>0</v>
      </c>
      <c r="V32" s="497">
        <v>0</v>
      </c>
      <c r="W32" s="503">
        <v>0</v>
      </c>
      <c r="X32" s="497">
        <f>2606050+95000000-97606050</f>
        <v>0</v>
      </c>
      <c r="Y32" s="497">
        <v>0</v>
      </c>
      <c r="Z32" s="497">
        <v>0</v>
      </c>
      <c r="AA32" s="498">
        <f t="shared" si="0"/>
        <v>30074132</v>
      </c>
    </row>
    <row r="33" spans="2:28" ht="24">
      <c r="B33" s="469" t="s">
        <v>69</v>
      </c>
      <c r="C33" s="469" t="s">
        <v>64</v>
      </c>
      <c r="D33" s="500" t="s">
        <v>455</v>
      </c>
      <c r="E33" s="501" t="s">
        <v>542</v>
      </c>
      <c r="F33" s="502"/>
      <c r="G33" s="503">
        <v>25000</v>
      </c>
      <c r="H33" s="503">
        <v>4388</v>
      </c>
      <c r="I33" s="497">
        <f>19910394+4650000-200000-5715000+90000+146050+550000+500000-152400-300000-200000-5715000+444500</f>
        <v>14008544</v>
      </c>
      <c r="J33" s="497">
        <v>0</v>
      </c>
      <c r="K33" s="497">
        <v>0</v>
      </c>
      <c r="L33" s="497">
        <v>0</v>
      </c>
      <c r="M33" s="497">
        <f>17049000-4650000+2800000</f>
        <v>15199000</v>
      </c>
      <c r="N33" s="497">
        <v>0</v>
      </c>
      <c r="O33" s="497">
        <v>0</v>
      </c>
      <c r="P33" s="497">
        <v>0</v>
      </c>
      <c r="Q33" s="497"/>
      <c r="R33" s="497"/>
      <c r="S33" s="497">
        <v>0</v>
      </c>
      <c r="T33" s="497">
        <v>0</v>
      </c>
      <c r="U33" s="497">
        <v>0</v>
      </c>
      <c r="V33" s="497">
        <v>0</v>
      </c>
      <c r="W33" s="503">
        <f>335750+495250+152400+200000+1595000+5715000</f>
        <v>8493400</v>
      </c>
      <c r="X33" s="497">
        <v>0</v>
      </c>
      <c r="Y33" s="497">
        <v>0</v>
      </c>
      <c r="Z33" s="497">
        <v>0</v>
      </c>
      <c r="AA33" s="498">
        <f t="shared" si="0"/>
        <v>37730332</v>
      </c>
      <c r="AB33" s="505"/>
    </row>
    <row r="34" spans="2:28" ht="24" customHeight="1">
      <c r="B34" s="469" t="s">
        <v>70</v>
      </c>
      <c r="C34" s="469" t="s">
        <v>70</v>
      </c>
      <c r="D34" s="1029" t="s">
        <v>1158</v>
      </c>
      <c r="E34" s="501" t="s">
        <v>376</v>
      </c>
      <c r="F34" s="506"/>
      <c r="G34" s="497">
        <v>0</v>
      </c>
      <c r="H34" s="497">
        <v>0</v>
      </c>
      <c r="I34" s="497">
        <v>360000</v>
      </c>
      <c r="J34" s="497">
        <v>0</v>
      </c>
      <c r="K34" s="497">
        <v>0</v>
      </c>
      <c r="L34" s="497">
        <v>0</v>
      </c>
      <c r="M34" s="497">
        <v>0</v>
      </c>
      <c r="N34" s="497">
        <v>0</v>
      </c>
      <c r="O34" s="497">
        <v>0</v>
      </c>
      <c r="P34" s="497">
        <v>0</v>
      </c>
      <c r="Q34" s="497"/>
      <c r="R34" s="497"/>
      <c r="S34" s="497">
        <v>0</v>
      </c>
      <c r="T34" s="497">
        <v>0</v>
      </c>
      <c r="U34" s="497">
        <v>0</v>
      </c>
      <c r="V34" s="497">
        <v>0</v>
      </c>
      <c r="W34" s="497">
        <v>0</v>
      </c>
      <c r="X34" s="497">
        <v>0</v>
      </c>
      <c r="Y34" s="497">
        <v>0</v>
      </c>
      <c r="Z34" s="497">
        <v>0</v>
      </c>
      <c r="AA34" s="498">
        <f t="shared" si="0"/>
        <v>360000</v>
      </c>
      <c r="AB34" s="505"/>
    </row>
    <row r="35" spans="2:29" ht="24" customHeight="1">
      <c r="B35" s="469" t="s">
        <v>71</v>
      </c>
      <c r="C35" s="469" t="s">
        <v>71</v>
      </c>
      <c r="D35" s="1029"/>
      <c r="E35" s="501" t="s">
        <v>377</v>
      </c>
      <c r="F35" s="506"/>
      <c r="G35" s="497">
        <v>2846984</v>
      </c>
      <c r="H35" s="497">
        <v>573827</v>
      </c>
      <c r="I35" s="497">
        <f>18217394+601200-233830</f>
        <v>18584764</v>
      </c>
      <c r="J35" s="497">
        <v>0</v>
      </c>
      <c r="K35" s="497">
        <v>0</v>
      </c>
      <c r="L35" s="497">
        <v>28922</v>
      </c>
      <c r="M35" s="497">
        <v>0</v>
      </c>
      <c r="N35" s="497">
        <v>0</v>
      </c>
      <c r="O35" s="497">
        <v>0</v>
      </c>
      <c r="P35" s="497">
        <v>0</v>
      </c>
      <c r="Q35" s="497"/>
      <c r="R35" s="497"/>
      <c r="S35" s="497">
        <v>0</v>
      </c>
      <c r="T35" s="497">
        <v>0</v>
      </c>
      <c r="U35" s="497">
        <v>0</v>
      </c>
      <c r="V35" s="497">
        <v>0</v>
      </c>
      <c r="W35" s="497">
        <f>76200+233830</f>
        <v>310030</v>
      </c>
      <c r="X35" s="497">
        <v>0</v>
      </c>
      <c r="Y35" s="497">
        <v>0</v>
      </c>
      <c r="Z35" s="497">
        <v>0</v>
      </c>
      <c r="AA35" s="498">
        <f t="shared" si="0"/>
        <v>22344527</v>
      </c>
      <c r="AC35" s="468" t="s">
        <v>746</v>
      </c>
    </row>
    <row r="36" spans="1:29" ht="24" customHeight="1">
      <c r="A36" s="468">
        <v>851286</v>
      </c>
      <c r="B36" s="469" t="s">
        <v>72</v>
      </c>
      <c r="C36" s="469" t="s">
        <v>72</v>
      </c>
      <c r="D36" s="1029"/>
      <c r="E36" s="501" t="s">
        <v>378</v>
      </c>
      <c r="F36" s="506"/>
      <c r="G36" s="497">
        <v>0</v>
      </c>
      <c r="H36" s="497">
        <v>0</v>
      </c>
      <c r="I36" s="497">
        <v>120000</v>
      </c>
      <c r="J36" s="497">
        <v>0</v>
      </c>
      <c r="K36" s="497">
        <v>0</v>
      </c>
      <c r="L36" s="497">
        <v>0</v>
      </c>
      <c r="M36" s="497">
        <v>0</v>
      </c>
      <c r="N36" s="497">
        <v>0</v>
      </c>
      <c r="O36" s="497">
        <v>0</v>
      </c>
      <c r="P36" s="497">
        <v>0</v>
      </c>
      <c r="Q36" s="497"/>
      <c r="R36" s="497"/>
      <c r="S36" s="497">
        <v>0</v>
      </c>
      <c r="T36" s="497">
        <v>0</v>
      </c>
      <c r="U36" s="497">
        <v>0</v>
      </c>
      <c r="V36" s="497">
        <v>0</v>
      </c>
      <c r="W36" s="497">
        <v>0</v>
      </c>
      <c r="X36" s="497">
        <v>0</v>
      </c>
      <c r="Y36" s="497">
        <v>0</v>
      </c>
      <c r="Z36" s="497">
        <v>0</v>
      </c>
      <c r="AA36" s="498">
        <f t="shared" si="0"/>
        <v>120000</v>
      </c>
      <c r="AC36" s="505">
        <f>SUM(AA34:AA37)</f>
        <v>45892718</v>
      </c>
    </row>
    <row r="37" spans="1:27" s="499" customFormat="1" ht="27" customHeight="1">
      <c r="A37" s="468">
        <v>851297</v>
      </c>
      <c r="B37" s="469" t="s">
        <v>73</v>
      </c>
      <c r="C37" s="469" t="s">
        <v>73</v>
      </c>
      <c r="D37" s="1029"/>
      <c r="E37" s="501" t="s">
        <v>430</v>
      </c>
      <c r="F37" s="506"/>
      <c r="G37" s="497">
        <v>16985805</v>
      </c>
      <c r="H37" s="497">
        <v>3345516</v>
      </c>
      <c r="I37" s="497">
        <f>2736870-5990</f>
        <v>2730880</v>
      </c>
      <c r="J37" s="497">
        <v>0</v>
      </c>
      <c r="K37" s="497">
        <v>0</v>
      </c>
      <c r="L37" s="497">
        <v>0</v>
      </c>
      <c r="M37" s="497">
        <v>0</v>
      </c>
      <c r="N37" s="497">
        <v>0</v>
      </c>
      <c r="O37" s="497">
        <v>0</v>
      </c>
      <c r="P37" s="497">
        <v>0</v>
      </c>
      <c r="Q37" s="497"/>
      <c r="R37" s="497"/>
      <c r="S37" s="497">
        <v>0</v>
      </c>
      <c r="T37" s="497">
        <v>0</v>
      </c>
      <c r="U37" s="497">
        <v>0</v>
      </c>
      <c r="V37" s="497">
        <v>0</v>
      </c>
      <c r="W37" s="497">
        <v>5990</v>
      </c>
      <c r="X37" s="497">
        <v>0</v>
      </c>
      <c r="Y37" s="497">
        <v>0</v>
      </c>
      <c r="Z37" s="497">
        <v>0</v>
      </c>
      <c r="AA37" s="498">
        <f t="shared" si="0"/>
        <v>23068191</v>
      </c>
    </row>
    <row r="38" spans="1:27" s="499" customFormat="1" ht="24" customHeight="1">
      <c r="A38" s="468">
        <v>853322</v>
      </c>
      <c r="B38" s="469" t="s">
        <v>74</v>
      </c>
      <c r="C38" s="469" t="s">
        <v>82</v>
      </c>
      <c r="D38" s="500" t="s">
        <v>411</v>
      </c>
      <c r="E38" s="501" t="s">
        <v>83</v>
      </c>
      <c r="F38" s="507"/>
      <c r="G38" s="497">
        <v>0</v>
      </c>
      <c r="H38" s="497">
        <v>0</v>
      </c>
      <c r="I38" s="497">
        <v>0</v>
      </c>
      <c r="J38" s="497">
        <v>0</v>
      </c>
      <c r="K38" s="497">
        <v>0</v>
      </c>
      <c r="L38" s="497">
        <v>0</v>
      </c>
      <c r="M38" s="497">
        <f>16441000+4638836</f>
        <v>21079836</v>
      </c>
      <c r="N38" s="497">
        <v>0</v>
      </c>
      <c r="O38" s="497">
        <v>0</v>
      </c>
      <c r="P38" s="497">
        <v>0</v>
      </c>
      <c r="Q38" s="497"/>
      <c r="R38" s="497"/>
      <c r="S38" s="497">
        <v>0</v>
      </c>
      <c r="T38" s="497">
        <v>0</v>
      </c>
      <c r="U38" s="497">
        <v>0</v>
      </c>
      <c r="V38" s="497">
        <v>0</v>
      </c>
      <c r="W38" s="497">
        <f>15576620-11201400+150000+235153+197100</f>
        <v>4957473</v>
      </c>
      <c r="X38" s="497">
        <v>0</v>
      </c>
      <c r="Y38" s="497">
        <v>0</v>
      </c>
      <c r="Z38" s="497">
        <v>0</v>
      </c>
      <c r="AA38" s="498">
        <f t="shared" si="0"/>
        <v>26037309</v>
      </c>
    </row>
    <row r="39" spans="1:27" s="499" customFormat="1" ht="24" customHeight="1">
      <c r="A39" s="468"/>
      <c r="B39" s="469"/>
      <c r="C39" s="469" t="s">
        <v>54</v>
      </c>
      <c r="D39" s="500" t="s">
        <v>412</v>
      </c>
      <c r="E39" s="501" t="s">
        <v>1155</v>
      </c>
      <c r="F39" s="507"/>
      <c r="G39" s="497"/>
      <c r="H39" s="497"/>
      <c r="I39" s="497"/>
      <c r="J39" s="497"/>
      <c r="K39" s="497"/>
      <c r="L39" s="497">
        <v>15000</v>
      </c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8">
        <f t="shared" si="0"/>
        <v>15000</v>
      </c>
    </row>
    <row r="40" spans="1:27" s="499" customFormat="1" ht="24">
      <c r="A40" s="468"/>
      <c r="B40" s="469" t="s">
        <v>75</v>
      </c>
      <c r="C40" s="469" t="s">
        <v>538</v>
      </c>
      <c r="D40" s="500" t="s">
        <v>413</v>
      </c>
      <c r="E40" s="508" t="s">
        <v>612</v>
      </c>
      <c r="F40" s="507"/>
      <c r="G40" s="497">
        <v>80000</v>
      </c>
      <c r="H40" s="497">
        <v>41361</v>
      </c>
      <c r="I40" s="497">
        <f>1917850-235153</f>
        <v>1682697</v>
      </c>
      <c r="J40" s="497">
        <v>0</v>
      </c>
      <c r="K40" s="497">
        <v>0</v>
      </c>
      <c r="L40" s="497">
        <v>0</v>
      </c>
      <c r="M40" s="497">
        <v>0</v>
      </c>
      <c r="N40" s="497">
        <v>0</v>
      </c>
      <c r="O40" s="497">
        <v>0</v>
      </c>
      <c r="P40" s="497">
        <v>0</v>
      </c>
      <c r="Q40" s="497"/>
      <c r="R40" s="497"/>
      <c r="S40" s="497">
        <v>0</v>
      </c>
      <c r="T40" s="497">
        <v>0</v>
      </c>
      <c r="U40" s="497">
        <v>0</v>
      </c>
      <c r="V40" s="497">
        <v>0</v>
      </c>
      <c r="W40" s="497">
        <v>0</v>
      </c>
      <c r="X40" s="497">
        <f>22279919+850900</f>
        <v>23130819</v>
      </c>
      <c r="Y40" s="497">
        <v>0</v>
      </c>
      <c r="Z40" s="497">
        <v>0</v>
      </c>
      <c r="AA40" s="498">
        <f t="shared" si="0"/>
        <v>24934877</v>
      </c>
    </row>
    <row r="41" spans="1:27" s="499" customFormat="1" ht="24">
      <c r="A41" s="468"/>
      <c r="B41" s="469" t="s">
        <v>75</v>
      </c>
      <c r="C41" s="469" t="s">
        <v>986</v>
      </c>
      <c r="D41" s="500" t="s">
        <v>489</v>
      </c>
      <c r="E41" s="508" t="s">
        <v>543</v>
      </c>
      <c r="F41" s="507"/>
      <c r="G41" s="497">
        <v>0</v>
      </c>
      <c r="H41" s="497">
        <v>0</v>
      </c>
      <c r="I41" s="497">
        <f>95585+527827</f>
        <v>623412</v>
      </c>
      <c r="J41" s="497">
        <v>0</v>
      </c>
      <c r="K41" s="497">
        <v>0</v>
      </c>
      <c r="L41" s="497">
        <v>0</v>
      </c>
      <c r="M41" s="497">
        <v>0</v>
      </c>
      <c r="N41" s="497">
        <v>0</v>
      </c>
      <c r="O41" s="497">
        <v>0</v>
      </c>
      <c r="P41" s="497">
        <v>0</v>
      </c>
      <c r="Q41" s="497"/>
      <c r="R41" s="497"/>
      <c r="S41" s="497">
        <v>0</v>
      </c>
      <c r="T41" s="497">
        <v>0</v>
      </c>
      <c r="U41" s="497">
        <v>0</v>
      </c>
      <c r="V41" s="497">
        <v>0</v>
      </c>
      <c r="W41" s="497">
        <v>0</v>
      </c>
      <c r="X41" s="497">
        <v>0</v>
      </c>
      <c r="Y41" s="497">
        <v>0</v>
      </c>
      <c r="Z41" s="497">
        <v>0</v>
      </c>
      <c r="AA41" s="498">
        <f aca="true" t="shared" si="1" ref="AA41:AA46">SUM(G41:Z41)</f>
        <v>623412</v>
      </c>
    </row>
    <row r="42" spans="1:27" s="499" customFormat="1" ht="15.75" customHeight="1">
      <c r="A42" s="468"/>
      <c r="B42" s="469"/>
      <c r="C42" s="469" t="s">
        <v>80</v>
      </c>
      <c r="D42" s="500" t="s">
        <v>414</v>
      </c>
      <c r="E42" s="902" t="s">
        <v>379</v>
      </c>
      <c r="F42" s="507"/>
      <c r="G42" s="497">
        <v>1768202</v>
      </c>
      <c r="H42" s="497">
        <v>348675</v>
      </c>
      <c r="I42" s="497">
        <v>0</v>
      </c>
      <c r="J42" s="497">
        <v>0</v>
      </c>
      <c r="K42" s="497">
        <v>0</v>
      </c>
      <c r="L42" s="497">
        <v>0</v>
      </c>
      <c r="M42" s="497">
        <v>0</v>
      </c>
      <c r="N42" s="497">
        <v>0</v>
      </c>
      <c r="O42" s="497">
        <v>0</v>
      </c>
      <c r="P42" s="497">
        <v>0</v>
      </c>
      <c r="Q42" s="497">
        <v>0</v>
      </c>
      <c r="R42" s="497">
        <v>0</v>
      </c>
      <c r="S42" s="497">
        <v>0</v>
      </c>
      <c r="T42" s="497">
        <v>0</v>
      </c>
      <c r="U42" s="497">
        <v>0</v>
      </c>
      <c r="V42" s="497">
        <v>0</v>
      </c>
      <c r="W42" s="497">
        <v>807720</v>
      </c>
      <c r="X42" s="497">
        <v>0</v>
      </c>
      <c r="Y42" s="497">
        <v>0</v>
      </c>
      <c r="Z42" s="497">
        <v>0</v>
      </c>
      <c r="AA42" s="498">
        <f t="shared" si="1"/>
        <v>2924597</v>
      </c>
    </row>
    <row r="43" spans="1:27" s="499" customFormat="1" ht="16.5" customHeight="1">
      <c r="A43" s="468"/>
      <c r="B43" s="469"/>
      <c r="C43" s="469" t="s">
        <v>1141</v>
      </c>
      <c r="D43" s="500" t="s">
        <v>429</v>
      </c>
      <c r="E43" s="902" t="s">
        <v>85</v>
      </c>
      <c r="F43" s="507"/>
      <c r="G43" s="497">
        <v>0</v>
      </c>
      <c r="H43" s="497">
        <v>0</v>
      </c>
      <c r="I43" s="497">
        <v>12859</v>
      </c>
      <c r="J43" s="497">
        <v>0</v>
      </c>
      <c r="K43" s="497">
        <v>0</v>
      </c>
      <c r="L43" s="497">
        <v>0</v>
      </c>
      <c r="M43" s="497">
        <v>0</v>
      </c>
      <c r="N43" s="497">
        <v>0</v>
      </c>
      <c r="O43" s="497">
        <v>0</v>
      </c>
      <c r="P43" s="497">
        <v>0</v>
      </c>
      <c r="Q43" s="497">
        <v>0</v>
      </c>
      <c r="R43" s="497">
        <v>0</v>
      </c>
      <c r="S43" s="497">
        <v>0</v>
      </c>
      <c r="T43" s="497">
        <v>0</v>
      </c>
      <c r="U43" s="497">
        <v>0</v>
      </c>
      <c r="V43" s="497">
        <v>0</v>
      </c>
      <c r="W43" s="497">
        <v>0</v>
      </c>
      <c r="X43" s="497">
        <v>0</v>
      </c>
      <c r="Y43" s="497">
        <v>0</v>
      </c>
      <c r="Z43" s="497">
        <v>0</v>
      </c>
      <c r="AA43" s="498">
        <f t="shared" si="1"/>
        <v>12859</v>
      </c>
    </row>
    <row r="44" spans="1:27" s="499" customFormat="1" ht="36">
      <c r="A44" s="468"/>
      <c r="B44" s="469"/>
      <c r="C44" s="469" t="s">
        <v>884</v>
      </c>
      <c r="D44" s="500" t="s">
        <v>490</v>
      </c>
      <c r="E44" s="226" t="s">
        <v>1154</v>
      </c>
      <c r="F44" s="507"/>
      <c r="G44" s="497">
        <v>8400000</v>
      </c>
      <c r="H44" s="497">
        <v>1656000</v>
      </c>
      <c r="I44" s="497">
        <v>10749062</v>
      </c>
      <c r="J44" s="497">
        <v>0</v>
      </c>
      <c r="K44" s="497">
        <v>0</v>
      </c>
      <c r="L44" s="497">
        <v>0</v>
      </c>
      <c r="M44" s="497">
        <v>0</v>
      </c>
      <c r="N44" s="497">
        <v>0</v>
      </c>
      <c r="O44" s="497">
        <v>0</v>
      </c>
      <c r="P44" s="497">
        <v>0</v>
      </c>
      <c r="Q44" s="497"/>
      <c r="R44" s="497"/>
      <c r="S44" s="497">
        <v>0</v>
      </c>
      <c r="T44" s="497">
        <v>0</v>
      </c>
      <c r="U44" s="497">
        <v>0</v>
      </c>
      <c r="V44" s="497">
        <v>0</v>
      </c>
      <c r="W44" s="497">
        <v>830000</v>
      </c>
      <c r="X44" s="497">
        <v>0</v>
      </c>
      <c r="Y44" s="497">
        <v>0</v>
      </c>
      <c r="Z44" s="497">
        <v>0</v>
      </c>
      <c r="AA44" s="498">
        <f t="shared" si="1"/>
        <v>21635062</v>
      </c>
    </row>
    <row r="45" spans="1:27" s="499" customFormat="1" ht="36">
      <c r="A45" s="468"/>
      <c r="B45" s="469"/>
      <c r="C45" s="469" t="s">
        <v>1112</v>
      </c>
      <c r="D45" s="500" t="s">
        <v>491</v>
      </c>
      <c r="E45" s="226" t="s">
        <v>1113</v>
      </c>
      <c r="F45" s="507"/>
      <c r="G45" s="497">
        <v>4454365</v>
      </c>
      <c r="H45" s="497">
        <v>867408</v>
      </c>
      <c r="I45" s="497">
        <f>5771921+66142</f>
        <v>5838063</v>
      </c>
      <c r="J45" s="497">
        <v>0</v>
      </c>
      <c r="K45" s="497">
        <v>0</v>
      </c>
      <c r="L45" s="497">
        <v>0</v>
      </c>
      <c r="M45" s="497">
        <v>0</v>
      </c>
      <c r="N45" s="497">
        <v>0</v>
      </c>
      <c r="O45" s="497">
        <v>0</v>
      </c>
      <c r="P45" s="497">
        <v>0</v>
      </c>
      <c r="Q45" s="497">
        <v>0</v>
      </c>
      <c r="R45" s="497">
        <v>0</v>
      </c>
      <c r="S45" s="497">
        <v>0</v>
      </c>
      <c r="T45" s="497">
        <v>0</v>
      </c>
      <c r="U45" s="497">
        <v>0</v>
      </c>
      <c r="V45" s="497">
        <v>0</v>
      </c>
      <c r="W45" s="497">
        <f>3055442+103900</f>
        <v>3159342</v>
      </c>
      <c r="X45" s="497">
        <v>0</v>
      </c>
      <c r="Y45" s="497">
        <v>0</v>
      </c>
      <c r="Z45" s="497">
        <v>0</v>
      </c>
      <c r="AA45" s="498">
        <f t="shared" si="1"/>
        <v>14319178</v>
      </c>
    </row>
    <row r="46" spans="2:29" ht="24">
      <c r="B46" s="469" t="s">
        <v>77</v>
      </c>
      <c r="C46" s="469" t="s">
        <v>69</v>
      </c>
      <c r="D46" s="500" t="s">
        <v>870</v>
      </c>
      <c r="E46" s="501" t="s">
        <v>978</v>
      </c>
      <c r="F46" s="506"/>
      <c r="G46" s="497">
        <v>0</v>
      </c>
      <c r="H46" s="497">
        <v>0</v>
      </c>
      <c r="I46" s="497">
        <v>46939</v>
      </c>
      <c r="J46" s="497">
        <v>0</v>
      </c>
      <c r="K46" s="509">
        <v>0</v>
      </c>
      <c r="L46" s="509">
        <v>0</v>
      </c>
      <c r="M46" s="509">
        <v>0</v>
      </c>
      <c r="N46" s="497">
        <v>0</v>
      </c>
      <c r="O46" s="497">
        <v>0</v>
      </c>
      <c r="P46" s="497">
        <v>0</v>
      </c>
      <c r="Q46" s="497"/>
      <c r="R46" s="497"/>
      <c r="S46" s="497">
        <v>0</v>
      </c>
      <c r="T46" s="497">
        <v>0</v>
      </c>
      <c r="U46" s="497">
        <v>0</v>
      </c>
      <c r="V46" s="497">
        <v>0</v>
      </c>
      <c r="W46" s="497">
        <v>0</v>
      </c>
      <c r="X46" s="497">
        <f>1576197+29947750</f>
        <v>31523947</v>
      </c>
      <c r="Y46" s="497">
        <v>0</v>
      </c>
      <c r="Z46" s="497">
        <v>0</v>
      </c>
      <c r="AA46" s="498">
        <f t="shared" si="1"/>
        <v>31570886</v>
      </c>
      <c r="AC46" s="505">
        <f>SUM(AA46:AA46)</f>
        <v>31570886</v>
      </c>
    </row>
    <row r="47" spans="2:29" ht="24">
      <c r="B47" s="469" t="s">
        <v>77</v>
      </c>
      <c r="C47" s="469" t="s">
        <v>607</v>
      </c>
      <c r="D47" s="500" t="s">
        <v>871</v>
      </c>
      <c r="E47" s="501" t="s">
        <v>608</v>
      </c>
      <c r="F47" s="506"/>
      <c r="G47" s="497">
        <v>0</v>
      </c>
      <c r="H47" s="497">
        <v>0</v>
      </c>
      <c r="I47" s="497">
        <v>0</v>
      </c>
      <c r="J47" s="497">
        <v>0</v>
      </c>
      <c r="K47" s="509">
        <v>0</v>
      </c>
      <c r="L47" s="509">
        <v>0</v>
      </c>
      <c r="M47" s="509">
        <f>4592665-4592665</f>
        <v>0</v>
      </c>
      <c r="N47" s="497">
        <v>0</v>
      </c>
      <c r="O47" s="497">
        <v>0</v>
      </c>
      <c r="P47" s="497">
        <v>0</v>
      </c>
      <c r="Q47" s="497"/>
      <c r="R47" s="497"/>
      <c r="S47" s="497">
        <v>0</v>
      </c>
      <c r="T47" s="497">
        <v>0</v>
      </c>
      <c r="U47" s="497">
        <v>0</v>
      </c>
      <c r="V47" s="497">
        <v>0</v>
      </c>
      <c r="W47" s="497">
        <v>0</v>
      </c>
      <c r="X47" s="497">
        <v>0</v>
      </c>
      <c r="Y47" s="497">
        <v>0</v>
      </c>
      <c r="Z47" s="497">
        <v>0</v>
      </c>
      <c r="AA47" s="498">
        <f t="shared" si="0"/>
        <v>0</v>
      </c>
      <c r="AC47" s="505">
        <f>SUM(AA47:AA47)</f>
        <v>0</v>
      </c>
    </row>
    <row r="48" spans="3:27" ht="36" customHeight="1">
      <c r="C48" s="469" t="s">
        <v>1145</v>
      </c>
      <c r="D48" s="510" t="s">
        <v>877</v>
      </c>
      <c r="E48" s="501" t="s">
        <v>1157</v>
      </c>
      <c r="F48" s="506"/>
      <c r="G48" s="497">
        <v>12762600</v>
      </c>
      <c r="H48" s="497">
        <v>2999211</v>
      </c>
      <c r="I48" s="497">
        <v>15053577</v>
      </c>
      <c r="J48" s="497">
        <v>0</v>
      </c>
      <c r="K48" s="497">
        <v>0</v>
      </c>
      <c r="L48" s="497">
        <v>0</v>
      </c>
      <c r="M48" s="497">
        <v>1564044</v>
      </c>
      <c r="N48" s="497">
        <v>0</v>
      </c>
      <c r="O48" s="497">
        <v>0</v>
      </c>
      <c r="P48" s="497">
        <v>0</v>
      </c>
      <c r="Q48" s="497">
        <v>0</v>
      </c>
      <c r="R48" s="497">
        <v>0</v>
      </c>
      <c r="S48" s="497">
        <v>0</v>
      </c>
      <c r="T48" s="497">
        <v>0</v>
      </c>
      <c r="U48" s="497">
        <v>0</v>
      </c>
      <c r="V48" s="497">
        <v>0</v>
      </c>
      <c r="W48" s="497">
        <v>0</v>
      </c>
      <c r="X48" s="497">
        <v>0</v>
      </c>
      <c r="Y48" s="497">
        <v>0</v>
      </c>
      <c r="Z48" s="497">
        <v>0</v>
      </c>
      <c r="AA48" s="498">
        <f t="shared" si="0"/>
        <v>32379432</v>
      </c>
    </row>
    <row r="49" spans="3:27" ht="24">
      <c r="C49" s="469" t="s">
        <v>641</v>
      </c>
      <c r="D49" s="510" t="s">
        <v>878</v>
      </c>
      <c r="E49" s="501" t="s">
        <v>642</v>
      </c>
      <c r="F49" s="506"/>
      <c r="G49" s="497">
        <v>2168500</v>
      </c>
      <c r="H49" s="497">
        <v>426883</v>
      </c>
      <c r="I49" s="497">
        <f>54297921-15</f>
        <v>54297906</v>
      </c>
      <c r="J49" s="497">
        <v>0</v>
      </c>
      <c r="K49" s="497">
        <v>0</v>
      </c>
      <c r="L49" s="497">
        <v>0</v>
      </c>
      <c r="M49" s="497">
        <v>0</v>
      </c>
      <c r="N49" s="497">
        <v>0</v>
      </c>
      <c r="O49" s="497">
        <v>0</v>
      </c>
      <c r="P49" s="497">
        <v>0</v>
      </c>
      <c r="Q49" s="497"/>
      <c r="R49" s="497"/>
      <c r="S49" s="497">
        <v>0</v>
      </c>
      <c r="T49" s="497">
        <v>0</v>
      </c>
      <c r="U49" s="497">
        <v>0</v>
      </c>
      <c r="V49" s="497">
        <v>0</v>
      </c>
      <c r="W49" s="497">
        <f>10986734+15</f>
        <v>10986749</v>
      </c>
      <c r="X49" s="497">
        <v>0</v>
      </c>
      <c r="Y49" s="497">
        <v>0</v>
      </c>
      <c r="Z49" s="497">
        <v>0</v>
      </c>
      <c r="AA49" s="498">
        <f t="shared" si="0"/>
        <v>67880038</v>
      </c>
    </row>
    <row r="50" spans="3:27" ht="24">
      <c r="C50" s="469" t="s">
        <v>609</v>
      </c>
      <c r="D50" s="510" t="s">
        <v>889</v>
      </c>
      <c r="E50" s="501" t="s">
        <v>610</v>
      </c>
      <c r="F50" s="506"/>
      <c r="G50" s="497">
        <v>0</v>
      </c>
      <c r="H50" s="497">
        <v>0</v>
      </c>
      <c r="I50" s="497">
        <v>117194</v>
      </c>
      <c r="J50" s="497">
        <v>0</v>
      </c>
      <c r="K50" s="509">
        <v>0</v>
      </c>
      <c r="L50" s="509">
        <v>0</v>
      </c>
      <c r="M50" s="509">
        <v>0</v>
      </c>
      <c r="N50" s="497">
        <v>0</v>
      </c>
      <c r="O50" s="497">
        <v>0</v>
      </c>
      <c r="P50" s="497">
        <v>0</v>
      </c>
      <c r="Q50" s="497"/>
      <c r="R50" s="497"/>
      <c r="S50" s="497">
        <v>0</v>
      </c>
      <c r="T50" s="497">
        <v>0</v>
      </c>
      <c r="U50" s="497">
        <v>0</v>
      </c>
      <c r="V50" s="497">
        <v>0</v>
      </c>
      <c r="W50" s="497">
        <v>0</v>
      </c>
      <c r="X50" s="497">
        <v>0</v>
      </c>
      <c r="Y50" s="497">
        <v>0</v>
      </c>
      <c r="Z50" s="497">
        <v>0</v>
      </c>
      <c r="AA50" s="498">
        <f t="shared" si="0"/>
        <v>117194</v>
      </c>
    </row>
    <row r="51" spans="2:27" ht="24" customHeight="1">
      <c r="B51" s="469" t="s">
        <v>78</v>
      </c>
      <c r="C51" s="469" t="s">
        <v>638</v>
      </c>
      <c r="D51" s="510" t="s">
        <v>987</v>
      </c>
      <c r="E51" s="501" t="s">
        <v>639</v>
      </c>
      <c r="F51" s="506"/>
      <c r="G51" s="497">
        <v>0</v>
      </c>
      <c r="H51" s="497">
        <v>0</v>
      </c>
      <c r="I51" s="497">
        <f>17800000-2600000-228600-1054591-857250</f>
        <v>13059559</v>
      </c>
      <c r="J51" s="497">
        <v>0</v>
      </c>
      <c r="K51" s="497">
        <v>0</v>
      </c>
      <c r="L51" s="497">
        <v>0</v>
      </c>
      <c r="M51" s="497">
        <f>21971000+5275000-3663000</f>
        <v>23583000</v>
      </c>
      <c r="N51" s="497">
        <v>0</v>
      </c>
      <c r="O51" s="497">
        <v>0</v>
      </c>
      <c r="P51" s="497">
        <v>0</v>
      </c>
      <c r="Q51" s="497"/>
      <c r="R51" s="497"/>
      <c r="S51" s="497">
        <v>0</v>
      </c>
      <c r="T51" s="497">
        <v>0</v>
      </c>
      <c r="U51" s="497">
        <v>0</v>
      </c>
      <c r="V51" s="497">
        <v>0</v>
      </c>
      <c r="W51" s="497">
        <v>0</v>
      </c>
      <c r="X51" s="497">
        <v>0</v>
      </c>
      <c r="Y51" s="497">
        <v>0</v>
      </c>
      <c r="Z51" s="497">
        <v>0</v>
      </c>
      <c r="AA51" s="498">
        <f t="shared" si="0"/>
        <v>36642559</v>
      </c>
    </row>
    <row r="52" spans="3:27" ht="18" customHeight="1">
      <c r="C52" s="469" t="s">
        <v>862</v>
      </c>
      <c r="D52" s="510" t="s">
        <v>988</v>
      </c>
      <c r="E52" s="501" t="s">
        <v>863</v>
      </c>
      <c r="F52" s="506"/>
      <c r="G52" s="497">
        <v>0</v>
      </c>
      <c r="H52" s="497">
        <v>0</v>
      </c>
      <c r="I52" s="497">
        <v>0</v>
      </c>
      <c r="J52" s="497">
        <v>0</v>
      </c>
      <c r="K52" s="497">
        <v>0</v>
      </c>
      <c r="L52" s="497">
        <v>0</v>
      </c>
      <c r="M52" s="497">
        <f>4562000+3015000-760000</f>
        <v>6817000</v>
      </c>
      <c r="N52" s="497">
        <v>0</v>
      </c>
      <c r="O52" s="497">
        <v>0</v>
      </c>
      <c r="P52" s="497">
        <v>0</v>
      </c>
      <c r="Q52" s="497"/>
      <c r="R52" s="497"/>
      <c r="S52" s="497">
        <v>0</v>
      </c>
      <c r="T52" s="497">
        <v>0</v>
      </c>
      <c r="U52" s="497">
        <v>0</v>
      </c>
      <c r="V52" s="497">
        <v>0</v>
      </c>
      <c r="W52" s="497">
        <v>0</v>
      </c>
      <c r="X52" s="497">
        <v>0</v>
      </c>
      <c r="Y52" s="497">
        <v>0</v>
      </c>
      <c r="Z52" s="497">
        <v>0</v>
      </c>
      <c r="AA52" s="498">
        <f t="shared" si="0"/>
        <v>6817000</v>
      </c>
    </row>
    <row r="53" spans="3:27" ht="36">
      <c r="C53" s="469" t="s">
        <v>1014</v>
      </c>
      <c r="D53" s="510" t="s">
        <v>1016</v>
      </c>
      <c r="E53" s="501" t="s">
        <v>1015</v>
      </c>
      <c r="F53" s="506"/>
      <c r="G53" s="497">
        <v>0</v>
      </c>
      <c r="H53" s="497">
        <v>0</v>
      </c>
      <c r="I53" s="497">
        <v>0</v>
      </c>
      <c r="J53" s="497">
        <v>0</v>
      </c>
      <c r="K53" s="497">
        <v>0</v>
      </c>
      <c r="L53" s="497">
        <v>0</v>
      </c>
      <c r="M53" s="497">
        <v>0</v>
      </c>
      <c r="N53" s="497">
        <v>0</v>
      </c>
      <c r="O53" s="497">
        <v>0</v>
      </c>
      <c r="P53" s="497">
        <v>0</v>
      </c>
      <c r="Q53" s="497">
        <v>0</v>
      </c>
      <c r="R53" s="497">
        <v>0</v>
      </c>
      <c r="S53" s="497">
        <v>0</v>
      </c>
      <c r="T53" s="497">
        <v>0</v>
      </c>
      <c r="U53" s="497">
        <v>0</v>
      </c>
      <c r="V53" s="497">
        <v>0</v>
      </c>
      <c r="W53" s="497">
        <v>1920000</v>
      </c>
      <c r="X53" s="497">
        <v>0</v>
      </c>
      <c r="Y53" s="497">
        <v>0</v>
      </c>
      <c r="Z53" s="497">
        <v>0</v>
      </c>
      <c r="AA53" s="498">
        <f t="shared" si="0"/>
        <v>1920000</v>
      </c>
    </row>
    <row r="54" spans="3:27" ht="24">
      <c r="C54" s="469" t="s">
        <v>643</v>
      </c>
      <c r="D54" s="510" t="s">
        <v>1018</v>
      </c>
      <c r="E54" s="501" t="s">
        <v>644</v>
      </c>
      <c r="F54" s="506"/>
      <c r="G54" s="497">
        <v>0</v>
      </c>
      <c r="H54" s="497">
        <v>0</v>
      </c>
      <c r="I54" s="497">
        <f>2114700-36480</f>
        <v>2078220</v>
      </c>
      <c r="J54" s="497">
        <v>0</v>
      </c>
      <c r="K54" s="497">
        <v>0</v>
      </c>
      <c r="L54" s="497">
        <v>0</v>
      </c>
      <c r="M54" s="497">
        <v>0</v>
      </c>
      <c r="N54" s="497">
        <v>0</v>
      </c>
      <c r="O54" s="497">
        <v>0</v>
      </c>
      <c r="P54" s="497">
        <v>0</v>
      </c>
      <c r="Q54" s="497"/>
      <c r="R54" s="497"/>
      <c r="S54" s="497">
        <v>0</v>
      </c>
      <c r="T54" s="497">
        <v>0</v>
      </c>
      <c r="U54" s="497">
        <v>0</v>
      </c>
      <c r="V54" s="497">
        <v>0</v>
      </c>
      <c r="W54" s="497">
        <v>0</v>
      </c>
      <c r="X54" s="497">
        <v>0</v>
      </c>
      <c r="Y54" s="497">
        <v>0</v>
      </c>
      <c r="Z54" s="497">
        <v>0</v>
      </c>
      <c r="AA54" s="498">
        <f t="shared" si="0"/>
        <v>2078220</v>
      </c>
    </row>
    <row r="55" spans="3:29" ht="42" customHeight="1">
      <c r="C55" s="469" t="s">
        <v>78</v>
      </c>
      <c r="D55" s="510" t="s">
        <v>1019</v>
      </c>
      <c r="E55" s="254" t="s">
        <v>1156</v>
      </c>
      <c r="F55" s="506"/>
      <c r="G55" s="497">
        <f>27145152</f>
        <v>27145152</v>
      </c>
      <c r="H55" s="497">
        <f>6999328</f>
        <v>6999328</v>
      </c>
      <c r="I55" s="497">
        <f>26209434-2893619-1250000</f>
        <v>22065815</v>
      </c>
      <c r="J55" s="497">
        <v>0</v>
      </c>
      <c r="K55" s="497">
        <v>0</v>
      </c>
      <c r="L55" s="497">
        <v>0</v>
      </c>
      <c r="M55" s="497">
        <v>0</v>
      </c>
      <c r="N55" s="497">
        <v>0</v>
      </c>
      <c r="O55" s="497">
        <v>0</v>
      </c>
      <c r="P55" s="497">
        <v>0</v>
      </c>
      <c r="Q55" s="497"/>
      <c r="R55" s="497"/>
      <c r="S55" s="497">
        <v>0</v>
      </c>
      <c r="T55" s="497">
        <v>0</v>
      </c>
      <c r="U55" s="497">
        <v>0</v>
      </c>
      <c r="V55" s="497">
        <v>0</v>
      </c>
      <c r="W55" s="497">
        <f>2893619+1250000</f>
        <v>4143619</v>
      </c>
      <c r="X55" s="497">
        <v>0</v>
      </c>
      <c r="Y55" s="497">
        <v>0</v>
      </c>
      <c r="Z55" s="497">
        <v>0</v>
      </c>
      <c r="AA55" s="498">
        <f t="shared" si="0"/>
        <v>60353914</v>
      </c>
      <c r="AC55" s="505">
        <f>SUM(AA55:AA55)</f>
        <v>60353914</v>
      </c>
    </row>
    <row r="56" spans="3:29" ht="24" customHeight="1">
      <c r="C56" s="469" t="s">
        <v>864</v>
      </c>
      <c r="D56" s="510" t="s">
        <v>1114</v>
      </c>
      <c r="E56" s="501" t="s">
        <v>865</v>
      </c>
      <c r="F56" s="506"/>
      <c r="G56" s="497">
        <v>0</v>
      </c>
      <c r="H56" s="497">
        <v>0</v>
      </c>
      <c r="I56" s="497">
        <v>0</v>
      </c>
      <c r="J56" s="497">
        <v>0</v>
      </c>
      <c r="K56" s="497">
        <v>0</v>
      </c>
      <c r="L56" s="497">
        <v>0</v>
      </c>
      <c r="M56" s="497">
        <f>3712000+922000-618000</f>
        <v>4016000</v>
      </c>
      <c r="N56" s="497">
        <v>0</v>
      </c>
      <c r="O56" s="497">
        <v>0</v>
      </c>
      <c r="P56" s="497">
        <v>0</v>
      </c>
      <c r="Q56" s="497"/>
      <c r="R56" s="497"/>
      <c r="S56" s="497">
        <v>0</v>
      </c>
      <c r="T56" s="497">
        <v>0</v>
      </c>
      <c r="U56" s="497">
        <v>0</v>
      </c>
      <c r="V56" s="497">
        <v>0</v>
      </c>
      <c r="W56" s="497">
        <v>0</v>
      </c>
      <c r="X56" s="497">
        <v>0</v>
      </c>
      <c r="Y56" s="497">
        <v>0</v>
      </c>
      <c r="Z56" s="497">
        <v>0</v>
      </c>
      <c r="AA56" s="498">
        <f t="shared" si="0"/>
        <v>4016000</v>
      </c>
      <c r="AC56" s="505"/>
    </row>
    <row r="57" spans="3:29" ht="24" customHeight="1">
      <c r="C57" s="469" t="s">
        <v>866</v>
      </c>
      <c r="D57" s="510" t="s">
        <v>1115</v>
      </c>
      <c r="E57" s="501" t="s">
        <v>867</v>
      </c>
      <c r="F57" s="506"/>
      <c r="G57" s="497">
        <v>0</v>
      </c>
      <c r="H57" s="497">
        <v>0</v>
      </c>
      <c r="I57" s="497">
        <v>0</v>
      </c>
      <c r="J57" s="497">
        <v>0</v>
      </c>
      <c r="K57" s="497">
        <v>0</v>
      </c>
      <c r="L57" s="497">
        <v>0</v>
      </c>
      <c r="M57" s="497">
        <f>4717000+1397000-787000</f>
        <v>5327000</v>
      </c>
      <c r="N57" s="497">
        <v>0</v>
      </c>
      <c r="O57" s="497">
        <v>0</v>
      </c>
      <c r="P57" s="497">
        <v>0</v>
      </c>
      <c r="Q57" s="497"/>
      <c r="R57" s="497"/>
      <c r="S57" s="497">
        <v>0</v>
      </c>
      <c r="T57" s="497">
        <v>0</v>
      </c>
      <c r="U57" s="497">
        <v>0</v>
      </c>
      <c r="V57" s="497">
        <v>0</v>
      </c>
      <c r="W57" s="497">
        <v>0</v>
      </c>
      <c r="X57" s="497">
        <v>0</v>
      </c>
      <c r="Y57" s="497">
        <v>0</v>
      </c>
      <c r="Z57" s="497">
        <v>0</v>
      </c>
      <c r="AA57" s="498">
        <f t="shared" si="0"/>
        <v>5327000</v>
      </c>
      <c r="AC57" s="505"/>
    </row>
    <row r="58" spans="2:27" ht="18.75" customHeight="1">
      <c r="B58" s="469" t="s">
        <v>80</v>
      </c>
      <c r="C58" s="469" t="s">
        <v>76</v>
      </c>
      <c r="D58" s="510" t="s">
        <v>1159</v>
      </c>
      <c r="E58" s="501" t="s">
        <v>451</v>
      </c>
      <c r="F58" s="506"/>
      <c r="G58" s="497">
        <v>0</v>
      </c>
      <c r="H58" s="497">
        <v>0</v>
      </c>
      <c r="I58" s="497">
        <f>2400000+200000+857250</f>
        <v>3457250</v>
      </c>
      <c r="J58" s="497">
        <v>0</v>
      </c>
      <c r="K58" s="497">
        <v>0</v>
      </c>
      <c r="L58" s="497">
        <v>0</v>
      </c>
      <c r="M58" s="497">
        <f>1838000+2261329-306000</f>
        <v>3793329</v>
      </c>
      <c r="N58" s="497">
        <v>0</v>
      </c>
      <c r="O58" s="497">
        <v>0</v>
      </c>
      <c r="P58" s="497">
        <v>0</v>
      </c>
      <c r="Q58" s="497"/>
      <c r="R58" s="497"/>
      <c r="S58" s="497">
        <v>0</v>
      </c>
      <c r="T58" s="497">
        <v>0</v>
      </c>
      <c r="U58" s="497">
        <v>0</v>
      </c>
      <c r="V58" s="497">
        <v>0</v>
      </c>
      <c r="W58" s="497">
        <v>0</v>
      </c>
      <c r="X58" s="497">
        <v>0</v>
      </c>
      <c r="Y58" s="497">
        <v>0</v>
      </c>
      <c r="Z58" s="497">
        <v>0</v>
      </c>
      <c r="AA58" s="498">
        <f t="shared" si="0"/>
        <v>7250579</v>
      </c>
    </row>
    <row r="59" spans="2:27" ht="17.25" customHeight="1">
      <c r="B59" s="469" t="s">
        <v>80</v>
      </c>
      <c r="C59" s="469" t="s">
        <v>868</v>
      </c>
      <c r="D59" s="510" t="s">
        <v>1160</v>
      </c>
      <c r="E59" s="501" t="s">
        <v>869</v>
      </c>
      <c r="F59" s="506"/>
      <c r="G59" s="497">
        <v>0</v>
      </c>
      <c r="H59" s="497">
        <v>0</v>
      </c>
      <c r="I59" s="497">
        <v>0</v>
      </c>
      <c r="J59" s="497">
        <v>0</v>
      </c>
      <c r="K59" s="497">
        <v>0</v>
      </c>
      <c r="L59" s="497">
        <v>0</v>
      </c>
      <c r="M59" s="497">
        <f>3719000+1625335-619000</f>
        <v>4725335</v>
      </c>
      <c r="N59" s="497">
        <v>0</v>
      </c>
      <c r="O59" s="497">
        <v>0</v>
      </c>
      <c r="P59" s="497">
        <v>0</v>
      </c>
      <c r="Q59" s="497"/>
      <c r="R59" s="497"/>
      <c r="S59" s="497">
        <v>0</v>
      </c>
      <c r="T59" s="497">
        <v>0</v>
      </c>
      <c r="U59" s="497">
        <v>0</v>
      </c>
      <c r="V59" s="497">
        <v>0</v>
      </c>
      <c r="W59" s="497">
        <v>0</v>
      </c>
      <c r="X59" s="497">
        <v>0</v>
      </c>
      <c r="Y59" s="497">
        <v>0</v>
      </c>
      <c r="Z59" s="497">
        <v>0</v>
      </c>
      <c r="AA59" s="498">
        <f t="shared" si="0"/>
        <v>4725335</v>
      </c>
    </row>
    <row r="60" spans="2:27" ht="24">
      <c r="B60" s="469" t="s">
        <v>82</v>
      </c>
      <c r="C60" s="469" t="s">
        <v>79</v>
      </c>
      <c r="D60" s="510" t="s">
        <v>1161</v>
      </c>
      <c r="E60" s="501" t="s">
        <v>640</v>
      </c>
      <c r="F60" s="506"/>
      <c r="G60" s="497">
        <v>0</v>
      </c>
      <c r="H60" s="497">
        <v>0</v>
      </c>
      <c r="I60" s="497">
        <v>0</v>
      </c>
      <c r="J60" s="497">
        <v>2942222</v>
      </c>
      <c r="K60" s="497">
        <v>0</v>
      </c>
      <c r="L60" s="497">
        <v>0</v>
      </c>
      <c r="M60" s="497">
        <f>0+15000</f>
        <v>15000</v>
      </c>
      <c r="N60" s="497">
        <v>0</v>
      </c>
      <c r="O60" s="497">
        <v>0</v>
      </c>
      <c r="P60" s="497">
        <v>0</v>
      </c>
      <c r="Q60" s="497"/>
      <c r="R60" s="497"/>
      <c r="S60" s="497">
        <v>0</v>
      </c>
      <c r="T60" s="497">
        <v>0</v>
      </c>
      <c r="U60" s="497">
        <v>0</v>
      </c>
      <c r="V60" s="497">
        <v>0</v>
      </c>
      <c r="W60" s="497">
        <v>0</v>
      </c>
      <c r="X60" s="497">
        <v>0</v>
      </c>
      <c r="Y60" s="511">
        <v>0</v>
      </c>
      <c r="Z60" s="497">
        <v>0</v>
      </c>
      <c r="AA60" s="498">
        <f t="shared" si="0"/>
        <v>2957222</v>
      </c>
    </row>
    <row r="61" spans="3:27" ht="36" customHeight="1">
      <c r="C61" s="469" t="s">
        <v>1146</v>
      </c>
      <c r="D61" s="510" t="s">
        <v>1162</v>
      </c>
      <c r="E61" s="501" t="s">
        <v>1148</v>
      </c>
      <c r="F61" s="512"/>
      <c r="G61" s="513">
        <f>27815502-720000</f>
        <v>27095502</v>
      </c>
      <c r="H61" s="511">
        <f>6738701-140400</f>
        <v>6598301</v>
      </c>
      <c r="I61" s="511">
        <f>65394106-6000000</f>
        <v>59394106</v>
      </c>
      <c r="J61" s="511">
        <v>0</v>
      </c>
      <c r="K61" s="511">
        <v>0</v>
      </c>
      <c r="L61" s="511">
        <v>0</v>
      </c>
      <c r="M61" s="511">
        <v>0</v>
      </c>
      <c r="N61" s="511">
        <v>0</v>
      </c>
      <c r="O61" s="511">
        <v>0</v>
      </c>
      <c r="P61" s="511">
        <v>0</v>
      </c>
      <c r="Q61" s="511">
        <v>0</v>
      </c>
      <c r="R61" s="511">
        <v>0</v>
      </c>
      <c r="S61" s="511">
        <v>0</v>
      </c>
      <c r="T61" s="511">
        <v>0</v>
      </c>
      <c r="U61" s="511">
        <v>0</v>
      </c>
      <c r="V61" s="511">
        <v>0</v>
      </c>
      <c r="W61" s="511">
        <f>8983129+6000000</f>
        <v>14983129</v>
      </c>
      <c r="X61" s="511">
        <v>6528562</v>
      </c>
      <c r="Y61" s="513">
        <v>0</v>
      </c>
      <c r="Z61" s="511">
        <v>0</v>
      </c>
      <c r="AA61" s="498">
        <f t="shared" si="0"/>
        <v>114599600</v>
      </c>
    </row>
    <row r="62" spans="3:27" ht="36" customHeight="1">
      <c r="C62" s="469" t="s">
        <v>1146</v>
      </c>
      <c r="D62" s="510" t="s">
        <v>1163</v>
      </c>
      <c r="E62" s="501" t="s">
        <v>1147</v>
      </c>
      <c r="F62" s="512"/>
      <c r="G62" s="513">
        <v>3600833</v>
      </c>
      <c r="H62" s="511">
        <v>834330</v>
      </c>
      <c r="I62" s="511">
        <v>13337603</v>
      </c>
      <c r="J62" s="511">
        <v>0</v>
      </c>
      <c r="K62" s="511">
        <v>0</v>
      </c>
      <c r="L62" s="511">
        <v>0</v>
      </c>
      <c r="M62" s="511">
        <v>0</v>
      </c>
      <c r="N62" s="511">
        <v>0</v>
      </c>
      <c r="O62" s="511">
        <v>0</v>
      </c>
      <c r="P62" s="511">
        <v>0</v>
      </c>
      <c r="Q62" s="511">
        <v>0</v>
      </c>
      <c r="R62" s="511">
        <v>0</v>
      </c>
      <c r="S62" s="511">
        <v>0</v>
      </c>
      <c r="T62" s="511">
        <v>0</v>
      </c>
      <c r="U62" s="511">
        <v>0</v>
      </c>
      <c r="V62" s="511">
        <v>0</v>
      </c>
      <c r="W62" s="511">
        <v>2497100</v>
      </c>
      <c r="X62" s="511">
        <v>0</v>
      </c>
      <c r="Y62" s="513">
        <v>0</v>
      </c>
      <c r="Z62" s="511">
        <v>0</v>
      </c>
      <c r="AA62" s="498">
        <f t="shared" si="0"/>
        <v>20269866</v>
      </c>
    </row>
    <row r="63" spans="4:27" ht="24">
      <c r="D63" s="510" t="s">
        <v>1164</v>
      </c>
      <c r="E63" s="501" t="s">
        <v>375</v>
      </c>
      <c r="F63" s="512"/>
      <c r="G63" s="513">
        <v>0</v>
      </c>
      <c r="H63" s="511">
        <v>0</v>
      </c>
      <c r="I63" s="511">
        <v>0</v>
      </c>
      <c r="J63" s="511">
        <v>0</v>
      </c>
      <c r="K63" s="511">
        <v>0</v>
      </c>
      <c r="L63" s="511">
        <v>0</v>
      </c>
      <c r="M63" s="511">
        <v>0</v>
      </c>
      <c r="N63" s="511">
        <v>0</v>
      </c>
      <c r="O63" s="511">
        <v>1000000</v>
      </c>
      <c r="P63" s="511">
        <f>495000+553029</f>
        <v>1048029</v>
      </c>
      <c r="Q63" s="511">
        <f>59808757-7679730-553029-602617-1492000-8045171-7935168-4176519-28922-20906574-217072-8171955</f>
        <v>0</v>
      </c>
      <c r="R63" s="511">
        <f>9782649-6323709-100000-3358940</f>
        <v>0</v>
      </c>
      <c r="S63" s="511">
        <f>1000000-63500-68000-30000-90000-146050-190500-150000-261950</f>
        <v>0</v>
      </c>
      <c r="T63" s="511">
        <f>23433000-20000000-1576197-1055350-288050-513403</f>
        <v>0</v>
      </c>
      <c r="U63" s="511">
        <f>4176519</f>
        <v>4176519</v>
      </c>
      <c r="V63" s="511">
        <f>5000000-1269600+3500000</f>
        <v>7230400</v>
      </c>
      <c r="W63" s="511">
        <v>0</v>
      </c>
      <c r="X63" s="511">
        <v>0</v>
      </c>
      <c r="Y63" s="513">
        <v>0</v>
      </c>
      <c r="Z63" s="511">
        <v>0</v>
      </c>
      <c r="AA63" s="498">
        <f t="shared" si="0"/>
        <v>13454948</v>
      </c>
    </row>
    <row r="64" spans="3:27" ht="24">
      <c r="C64" s="469" t="s">
        <v>783</v>
      </c>
      <c r="D64" s="510" t="s">
        <v>1165</v>
      </c>
      <c r="E64" s="515" t="s">
        <v>611</v>
      </c>
      <c r="F64" s="512"/>
      <c r="G64" s="513">
        <v>0</v>
      </c>
      <c r="H64" s="513">
        <v>0</v>
      </c>
      <c r="I64" s="513">
        <v>7848600</v>
      </c>
      <c r="J64" s="513">
        <v>0</v>
      </c>
      <c r="K64" s="513">
        <v>0</v>
      </c>
      <c r="L64" s="513">
        <v>0</v>
      </c>
      <c r="M64" s="513">
        <v>0</v>
      </c>
      <c r="N64" s="513">
        <v>0</v>
      </c>
      <c r="O64" s="513">
        <v>0</v>
      </c>
      <c r="P64" s="513">
        <v>0</v>
      </c>
      <c r="Q64" s="513"/>
      <c r="R64" s="513"/>
      <c r="S64" s="513">
        <v>0</v>
      </c>
      <c r="T64" s="513">
        <v>0</v>
      </c>
      <c r="U64" s="513">
        <v>0</v>
      </c>
      <c r="V64" s="513">
        <v>0</v>
      </c>
      <c r="W64" s="513">
        <v>0</v>
      </c>
      <c r="X64" s="513">
        <v>0</v>
      </c>
      <c r="Y64" s="513">
        <v>0</v>
      </c>
      <c r="Z64" s="513">
        <v>0</v>
      </c>
      <c r="AA64" s="498">
        <f t="shared" si="0"/>
        <v>7848600</v>
      </c>
    </row>
    <row r="65" spans="1:30" s="516" customFormat="1" ht="24" customHeight="1" thickBot="1">
      <c r="A65" s="516">
        <v>999997</v>
      </c>
      <c r="B65" s="514"/>
      <c r="D65" s="517" t="s">
        <v>1166</v>
      </c>
      <c r="E65" s="518" t="s">
        <v>361</v>
      </c>
      <c r="F65" s="519">
        <f>SUM(F8:F60)</f>
        <v>0</v>
      </c>
      <c r="G65" s="520">
        <f aca="true" t="shared" si="2" ref="G65:AA65">SUM(G8:G64)</f>
        <v>284795402</v>
      </c>
      <c r="H65" s="520">
        <f t="shared" si="2"/>
        <v>52483310</v>
      </c>
      <c r="I65" s="520">
        <f t="shared" si="2"/>
        <v>390969929</v>
      </c>
      <c r="J65" s="520">
        <f t="shared" si="2"/>
        <v>2942222</v>
      </c>
      <c r="K65" s="520">
        <f t="shared" si="2"/>
        <v>55043259</v>
      </c>
      <c r="L65" s="520">
        <f t="shared" si="2"/>
        <v>1099272</v>
      </c>
      <c r="M65" s="520">
        <f t="shared" si="2"/>
        <v>173365409</v>
      </c>
      <c r="N65" s="520">
        <f t="shared" si="2"/>
        <v>1032600</v>
      </c>
      <c r="O65" s="520">
        <f t="shared" si="2"/>
        <v>1000000</v>
      </c>
      <c r="P65" s="520">
        <f t="shared" si="2"/>
        <v>1048029</v>
      </c>
      <c r="Q65" s="520">
        <f t="shared" si="2"/>
        <v>0</v>
      </c>
      <c r="R65" s="520">
        <f t="shared" si="2"/>
        <v>0</v>
      </c>
      <c r="S65" s="520">
        <f t="shared" si="2"/>
        <v>0</v>
      </c>
      <c r="T65" s="520">
        <f t="shared" si="2"/>
        <v>0</v>
      </c>
      <c r="U65" s="520">
        <f t="shared" si="2"/>
        <v>4176519</v>
      </c>
      <c r="V65" s="520">
        <f t="shared" si="2"/>
        <v>7230400</v>
      </c>
      <c r="W65" s="520">
        <f t="shared" si="2"/>
        <v>642381097</v>
      </c>
      <c r="X65" s="520">
        <f t="shared" si="2"/>
        <v>233745997</v>
      </c>
      <c r="Y65" s="520">
        <f t="shared" si="2"/>
        <v>18530987</v>
      </c>
      <c r="Z65" s="520">
        <f t="shared" si="2"/>
        <v>18041236</v>
      </c>
      <c r="AA65" s="521">
        <f t="shared" si="2"/>
        <v>1887885668</v>
      </c>
      <c r="AB65" s="522">
        <f>SUM(G65:Z65)</f>
        <v>1887885668</v>
      </c>
      <c r="AC65" s="523"/>
      <c r="AD65" s="523"/>
    </row>
    <row r="66" ht="12.75">
      <c r="E66" s="524"/>
    </row>
    <row r="70" ht="12">
      <c r="F70" s="526"/>
    </row>
  </sheetData>
  <sheetProtection/>
  <mergeCells count="10">
    <mergeCell ref="G4:Z4"/>
    <mergeCell ref="AA4:AA6"/>
    <mergeCell ref="D34:D37"/>
    <mergeCell ref="C1:C2"/>
    <mergeCell ref="V1:AA1"/>
    <mergeCell ref="E2:AA2"/>
    <mergeCell ref="D4:D7"/>
    <mergeCell ref="E4:E6"/>
    <mergeCell ref="F4:F6"/>
    <mergeCell ref="K5:V5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5" r:id="rId1"/>
  <rowBreaks count="1" manualBreakCount="1">
    <brk id="35" min="3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37"/>
  <sheetViews>
    <sheetView zoomScalePageLayoutView="0" workbookViewId="0" topLeftCell="A1">
      <selection activeCell="I3" sqref="I3"/>
    </sheetView>
  </sheetViews>
  <sheetFormatPr defaultColWidth="8.875" defaultRowHeight="12.75"/>
  <cols>
    <col min="1" max="1" width="7.625" style="470" customWidth="1"/>
    <col min="2" max="2" width="38.00390625" style="468" customWidth="1"/>
    <col min="3" max="8" width="13.125" style="468" customWidth="1"/>
    <col min="9" max="9" width="16.75390625" style="525" customWidth="1"/>
    <col min="10" max="10" width="14.375" style="468" customWidth="1"/>
    <col min="11" max="11" width="9.875" style="468" bestFit="1" customWidth="1"/>
    <col min="12" max="16384" width="8.875" style="468" customWidth="1"/>
  </cols>
  <sheetData>
    <row r="1" spans="7:9" ht="15">
      <c r="G1" s="1032"/>
      <c r="H1" s="1032"/>
      <c r="I1" s="1032"/>
    </row>
    <row r="2" spans="5:12" ht="15">
      <c r="E2" s="582"/>
      <c r="F2" s="582"/>
      <c r="G2" s="582"/>
      <c r="H2" s="583"/>
      <c r="I2" s="582" t="s">
        <v>1214</v>
      </c>
      <c r="J2" s="583"/>
      <c r="K2" s="583"/>
      <c r="L2" s="583"/>
    </row>
    <row r="3" spans="5:12" ht="15">
      <c r="E3" s="582"/>
      <c r="F3" s="582"/>
      <c r="G3" s="582"/>
      <c r="H3" s="583"/>
      <c r="I3" s="582"/>
      <c r="J3" s="583"/>
      <c r="K3" s="583"/>
      <c r="L3" s="583"/>
    </row>
    <row r="4" spans="1:9" s="710" customFormat="1" ht="39" customHeight="1">
      <c r="A4" s="1046" t="s">
        <v>847</v>
      </c>
      <c r="B4" s="1046"/>
      <c r="C4" s="1046"/>
      <c r="D4" s="1046"/>
      <c r="E4" s="1046"/>
      <c r="F4" s="1046"/>
      <c r="G4" s="1046"/>
      <c r="H4" s="1046"/>
      <c r="I4" s="1046"/>
    </row>
    <row r="5" ht="12">
      <c r="I5" s="711"/>
    </row>
    <row r="6" ht="12">
      <c r="I6" s="711"/>
    </row>
    <row r="7" ht="12.75" thickBot="1">
      <c r="I7" s="474"/>
    </row>
    <row r="8" spans="1:9" s="475" customFormat="1" ht="12.75" customHeight="1">
      <c r="A8" s="1034" t="s">
        <v>426</v>
      </c>
      <c r="B8" s="1037" t="s">
        <v>357</v>
      </c>
      <c r="C8" s="1023" t="s">
        <v>365</v>
      </c>
      <c r="D8" s="1024"/>
      <c r="E8" s="1024"/>
      <c r="F8" s="1024"/>
      <c r="G8" s="1024"/>
      <c r="H8" s="1024"/>
      <c r="I8" s="1026" t="s">
        <v>366</v>
      </c>
    </row>
    <row r="9" spans="1:9" s="477" customFormat="1" ht="12" customHeight="1">
      <c r="A9" s="1035"/>
      <c r="B9" s="1038"/>
      <c r="C9" s="479" t="s">
        <v>1</v>
      </c>
      <c r="D9" s="479" t="s">
        <v>3</v>
      </c>
      <c r="E9" s="479" t="s">
        <v>5</v>
      </c>
      <c r="F9" s="481" t="s">
        <v>8</v>
      </c>
      <c r="G9" s="481" t="s">
        <v>129</v>
      </c>
      <c r="H9" s="481" t="s">
        <v>131</v>
      </c>
      <c r="I9" s="1027"/>
    </row>
    <row r="10" spans="1:9" s="477" customFormat="1" ht="63.75" customHeight="1">
      <c r="A10" s="1035"/>
      <c r="B10" s="1039"/>
      <c r="C10" s="482" t="s">
        <v>355</v>
      </c>
      <c r="D10" s="482" t="s">
        <v>637</v>
      </c>
      <c r="E10" s="482" t="s">
        <v>359</v>
      </c>
      <c r="F10" s="480" t="s">
        <v>9</v>
      </c>
      <c r="G10" s="480" t="s">
        <v>353</v>
      </c>
      <c r="H10" s="480" t="s">
        <v>368</v>
      </c>
      <c r="I10" s="1028"/>
    </row>
    <row r="11" spans="1:9" s="590" customFormat="1" ht="12.75" thickBot="1">
      <c r="A11" s="1035"/>
      <c r="B11" s="591" t="s">
        <v>420</v>
      </c>
      <c r="C11" s="592" t="s">
        <v>421</v>
      </c>
      <c r="D11" s="592" t="s">
        <v>422</v>
      </c>
      <c r="E11" s="593" t="s">
        <v>423</v>
      </c>
      <c r="F11" s="593" t="s">
        <v>424</v>
      </c>
      <c r="G11" s="593" t="s">
        <v>425</v>
      </c>
      <c r="H11" s="594" t="s">
        <v>427</v>
      </c>
      <c r="I11" s="594" t="s">
        <v>428</v>
      </c>
    </row>
    <row r="12" spans="1:9" s="499" customFormat="1" ht="36" customHeight="1">
      <c r="A12" s="1053" t="s">
        <v>367</v>
      </c>
      <c r="B12" s="1054"/>
      <c r="C12" s="1054"/>
      <c r="D12" s="1054"/>
      <c r="E12" s="1054"/>
      <c r="F12" s="1054"/>
      <c r="G12" s="1054"/>
      <c r="H12" s="1054"/>
      <c r="I12" s="1055"/>
    </row>
    <row r="13" spans="1:9" s="596" customFormat="1" ht="34.5" customHeight="1">
      <c r="A13" s="597" t="s">
        <v>389</v>
      </c>
      <c r="B13" s="598" t="s">
        <v>852</v>
      </c>
      <c r="C13" s="600">
        <f>83641200+385000+1083000</f>
        <v>85109200</v>
      </c>
      <c r="D13" s="600">
        <f>15658358+75075+211188</f>
        <v>15944621</v>
      </c>
      <c r="E13" s="600">
        <f>20108238+439819</f>
        <v>20548057</v>
      </c>
      <c r="F13" s="600">
        <v>0</v>
      </c>
      <c r="G13" s="600">
        <f>1229404-139700+1269600</f>
        <v>2359304</v>
      </c>
      <c r="H13" s="600">
        <v>0</v>
      </c>
      <c r="I13" s="601">
        <f>SUM(C13:H13)</f>
        <v>123961182</v>
      </c>
    </row>
    <row r="14" spans="1:9" s="596" customFormat="1" ht="30.75" customHeight="1">
      <c r="A14" s="597" t="s">
        <v>390</v>
      </c>
      <c r="B14" s="598" t="s">
        <v>848</v>
      </c>
      <c r="C14" s="600">
        <v>0</v>
      </c>
      <c r="D14" s="600">
        <v>0</v>
      </c>
      <c r="E14" s="600">
        <v>0</v>
      </c>
      <c r="F14" s="600">
        <v>6018160</v>
      </c>
      <c r="G14" s="600">
        <v>0</v>
      </c>
      <c r="H14" s="600">
        <v>0</v>
      </c>
      <c r="I14" s="601">
        <f>SUM(C14:H14)</f>
        <v>6018160</v>
      </c>
    </row>
    <row r="15" spans="1:9" s="596" customFormat="1" ht="30.75" customHeight="1">
      <c r="A15" s="602" t="s">
        <v>391</v>
      </c>
      <c r="B15" s="603" t="s">
        <v>885</v>
      </c>
      <c r="C15" s="604">
        <f>1420400+6373+34746</f>
        <v>1461519</v>
      </c>
      <c r="D15" s="604">
        <f>293205-8607</f>
        <v>284598</v>
      </c>
      <c r="E15" s="604">
        <f>256193+2370+2234</f>
        <v>260797</v>
      </c>
      <c r="F15" s="604">
        <v>0</v>
      </c>
      <c r="G15" s="604">
        <f>139700</f>
        <v>139700</v>
      </c>
      <c r="H15" s="604">
        <v>0</v>
      </c>
      <c r="I15" s="601">
        <f>SUM(C15:H15)</f>
        <v>2146614</v>
      </c>
    </row>
    <row r="16" spans="1:12" s="605" customFormat="1" ht="24" customHeight="1" thickBot="1">
      <c r="A16" s="612" t="s">
        <v>392</v>
      </c>
      <c r="B16" s="613" t="s">
        <v>361</v>
      </c>
      <c r="C16" s="614">
        <f aca="true" t="shared" si="0" ref="C16:H16">SUM(C13:C15)</f>
        <v>86570719</v>
      </c>
      <c r="D16" s="614">
        <f t="shared" si="0"/>
        <v>16229219</v>
      </c>
      <c r="E16" s="614">
        <f t="shared" si="0"/>
        <v>20808854</v>
      </c>
      <c r="F16" s="614">
        <f t="shared" si="0"/>
        <v>6018160</v>
      </c>
      <c r="G16" s="614">
        <f t="shared" si="0"/>
        <v>2499004</v>
      </c>
      <c r="H16" s="614">
        <f t="shared" si="0"/>
        <v>0</v>
      </c>
      <c r="I16" s="615">
        <f>SUM(I10:I15)</f>
        <v>132125956</v>
      </c>
      <c r="J16" s="610">
        <f>SUM(C16:H16)</f>
        <v>132125956</v>
      </c>
      <c r="K16" s="611"/>
      <c r="L16" s="611"/>
    </row>
    <row r="17" spans="1:9" s="595" customFormat="1" ht="36.75" customHeight="1">
      <c r="A17" s="1047" t="s">
        <v>768</v>
      </c>
      <c r="B17" s="1048"/>
      <c r="C17" s="1048"/>
      <c r="D17" s="1048"/>
      <c r="E17" s="1048"/>
      <c r="F17" s="1048"/>
      <c r="G17" s="1048"/>
      <c r="H17" s="1048"/>
      <c r="I17" s="1049"/>
    </row>
    <row r="18" spans="1:9" s="596" customFormat="1" ht="23.25" customHeight="1">
      <c r="A18" s="597" t="s">
        <v>389</v>
      </c>
      <c r="B18" s="598" t="s">
        <v>788</v>
      </c>
      <c r="C18" s="599">
        <v>0</v>
      </c>
      <c r="D18" s="599">
        <v>0</v>
      </c>
      <c r="E18" s="599">
        <f>30823296-846880</f>
        <v>29976416</v>
      </c>
      <c r="F18" s="600">
        <v>0</v>
      </c>
      <c r="G18" s="599">
        <v>0</v>
      </c>
      <c r="H18" s="600">
        <v>0</v>
      </c>
      <c r="I18" s="601">
        <f aca="true" t="shared" si="1" ref="I18:I30">SUM(C18:H18)</f>
        <v>29976416</v>
      </c>
    </row>
    <row r="19" spans="1:9" s="596" customFormat="1" ht="23.25" customHeight="1">
      <c r="A19" s="597" t="s">
        <v>390</v>
      </c>
      <c r="B19" s="598" t="s">
        <v>789</v>
      </c>
      <c r="C19" s="599">
        <f>94274236-7297240-336000+433600</f>
        <v>87074596</v>
      </c>
      <c r="D19" s="599">
        <f>21189574-1422962-65520+84552</f>
        <v>19785644</v>
      </c>
      <c r="E19" s="599">
        <f>12894538-96000-170000-84541-195000-79900-198285-76969</f>
        <v>11993843</v>
      </c>
      <c r="F19" s="600">
        <v>0</v>
      </c>
      <c r="G19" s="599">
        <f>139700+84541+79900+76969</f>
        <v>381110</v>
      </c>
      <c r="H19" s="600">
        <v>0</v>
      </c>
      <c r="I19" s="601">
        <f t="shared" si="1"/>
        <v>119235193</v>
      </c>
    </row>
    <row r="20" spans="1:9" s="596" customFormat="1" ht="23.25" customHeight="1">
      <c r="A20" s="597" t="s">
        <v>391</v>
      </c>
      <c r="B20" s="598" t="s">
        <v>790</v>
      </c>
      <c r="C20" s="599">
        <f>10997572-2801679</f>
        <v>8195893</v>
      </c>
      <c r="D20" s="599">
        <f>2155423-541561</f>
        <v>1613862</v>
      </c>
      <c r="E20" s="599">
        <f>296100-201728</f>
        <v>94372</v>
      </c>
      <c r="F20" s="600">
        <v>0</v>
      </c>
      <c r="G20" s="599">
        <v>0</v>
      </c>
      <c r="H20" s="600">
        <v>0</v>
      </c>
      <c r="I20" s="601">
        <f t="shared" si="1"/>
        <v>9904127</v>
      </c>
    </row>
    <row r="21" spans="1:9" s="596" customFormat="1" ht="23.25" customHeight="1">
      <c r="A21" s="597" t="s">
        <v>392</v>
      </c>
      <c r="B21" s="598" t="s">
        <v>1130</v>
      </c>
      <c r="C21" s="599">
        <v>621002</v>
      </c>
      <c r="D21" s="599">
        <v>121098</v>
      </c>
      <c r="E21" s="599">
        <v>0</v>
      </c>
      <c r="F21" s="600">
        <v>0</v>
      </c>
      <c r="G21" s="599">
        <v>0</v>
      </c>
      <c r="H21" s="600">
        <v>0</v>
      </c>
      <c r="I21" s="601">
        <f t="shared" si="1"/>
        <v>742100</v>
      </c>
    </row>
    <row r="22" spans="1:9" s="596" customFormat="1" ht="23.25" customHeight="1">
      <c r="A22" s="597" t="s">
        <v>393</v>
      </c>
      <c r="B22" s="598" t="s">
        <v>544</v>
      </c>
      <c r="C22" s="599">
        <v>4613500</v>
      </c>
      <c r="D22" s="599">
        <v>910195</v>
      </c>
      <c r="E22" s="599">
        <f>721417+3+17240-10240</f>
        <v>728420</v>
      </c>
      <c r="F22" s="600">
        <v>0</v>
      </c>
      <c r="G22" s="867">
        <f>123070+198285-39190</f>
        <v>282165</v>
      </c>
      <c r="H22" s="600">
        <f>700924+49430</f>
        <v>750354</v>
      </c>
      <c r="I22" s="601">
        <f t="shared" si="1"/>
        <v>7284634</v>
      </c>
    </row>
    <row r="23" spans="1:9" s="596" customFormat="1" ht="23.25" customHeight="1">
      <c r="A23" s="597" t="s">
        <v>394</v>
      </c>
      <c r="B23" s="598" t="s">
        <v>584</v>
      </c>
      <c r="C23" s="599">
        <f>15997239+757761</f>
        <v>16755000</v>
      </c>
      <c r="D23" s="599">
        <f>3155478+147763</f>
        <v>3303241</v>
      </c>
      <c r="E23" s="599">
        <f>4844076-152273+150000</f>
        <v>4841803</v>
      </c>
      <c r="F23" s="600">
        <v>0</v>
      </c>
      <c r="G23" s="599">
        <f>88900+152273+768772</f>
        <v>1009945</v>
      </c>
      <c r="H23" s="600">
        <v>0</v>
      </c>
      <c r="I23" s="601">
        <f t="shared" si="1"/>
        <v>25909989</v>
      </c>
    </row>
    <row r="24" spans="1:9" s="596" customFormat="1" ht="23.25" customHeight="1">
      <c r="A24" s="597" t="s">
        <v>395</v>
      </c>
      <c r="B24" s="598" t="s">
        <v>706</v>
      </c>
      <c r="C24" s="599">
        <f>13019321</f>
        <v>13019321</v>
      </c>
      <c r="D24" s="599">
        <f>2547963</f>
        <v>2547963</v>
      </c>
      <c r="E24" s="599">
        <f>2803888-151629</f>
        <v>2652259</v>
      </c>
      <c r="F24" s="600">
        <v>0</v>
      </c>
      <c r="G24" s="599">
        <f>76200+151629</f>
        <v>227829</v>
      </c>
      <c r="H24" s="600">
        <v>0</v>
      </c>
      <c r="I24" s="601">
        <f t="shared" si="1"/>
        <v>18447372</v>
      </c>
    </row>
    <row r="25" spans="1:9" s="596" customFormat="1" ht="42.75">
      <c r="A25" s="597" t="s">
        <v>396</v>
      </c>
      <c r="B25" s="598" t="s">
        <v>1190</v>
      </c>
      <c r="C25" s="599">
        <v>720000</v>
      </c>
      <c r="D25" s="599">
        <v>140400</v>
      </c>
      <c r="E25" s="599">
        <v>0</v>
      </c>
      <c r="F25" s="600">
        <v>0</v>
      </c>
      <c r="G25" s="599">
        <v>0</v>
      </c>
      <c r="H25" s="600">
        <v>0</v>
      </c>
      <c r="I25" s="601">
        <f t="shared" si="1"/>
        <v>860400</v>
      </c>
    </row>
    <row r="26" spans="1:9" s="596" customFormat="1" ht="23.25" customHeight="1">
      <c r="A26" s="597" t="s">
        <v>397</v>
      </c>
      <c r="B26" s="598" t="s">
        <v>707</v>
      </c>
      <c r="C26" s="599">
        <f>8646048+66000</f>
        <v>8712048</v>
      </c>
      <c r="D26" s="599">
        <f>1701132+12870</f>
        <v>1714002</v>
      </c>
      <c r="E26" s="599">
        <f>1159551-35900</f>
        <v>1123651</v>
      </c>
      <c r="F26" s="600">
        <v>0</v>
      </c>
      <c r="G26" s="599">
        <f>195000+35900</f>
        <v>230900</v>
      </c>
      <c r="H26" s="600">
        <v>0</v>
      </c>
      <c r="I26" s="601">
        <f t="shared" si="1"/>
        <v>11780601</v>
      </c>
    </row>
    <row r="27" spans="1:9" s="596" customFormat="1" ht="23.25" customHeight="1">
      <c r="A27" s="602" t="s">
        <v>398</v>
      </c>
      <c r="B27" s="598" t="s">
        <v>791</v>
      </c>
      <c r="C27" s="600">
        <v>0</v>
      </c>
      <c r="D27" s="600">
        <v>0</v>
      </c>
      <c r="E27" s="600">
        <v>2665263</v>
      </c>
      <c r="F27" s="600">
        <v>0</v>
      </c>
      <c r="G27" s="600">
        <v>0</v>
      </c>
      <c r="H27" s="600">
        <v>0</v>
      </c>
      <c r="I27" s="601">
        <f t="shared" si="1"/>
        <v>2665263</v>
      </c>
    </row>
    <row r="28" spans="1:9" s="596" customFormat="1" ht="23.25" customHeight="1">
      <c r="A28" s="602" t="s">
        <v>399</v>
      </c>
      <c r="B28" s="598" t="s">
        <v>1167</v>
      </c>
      <c r="C28" s="600">
        <v>40000</v>
      </c>
      <c r="D28" s="600">
        <v>7020</v>
      </c>
      <c r="E28" s="600">
        <v>22980</v>
      </c>
      <c r="F28" s="600">
        <v>0</v>
      </c>
      <c r="G28" s="600">
        <v>0</v>
      </c>
      <c r="H28" s="600">
        <v>0</v>
      </c>
      <c r="I28" s="601">
        <f t="shared" si="1"/>
        <v>70000</v>
      </c>
    </row>
    <row r="29" spans="1:9" s="596" customFormat="1" ht="57">
      <c r="A29" s="602" t="s">
        <v>400</v>
      </c>
      <c r="B29" s="598" t="s">
        <v>887</v>
      </c>
      <c r="C29" s="600">
        <v>21649000</v>
      </c>
      <c r="D29" s="600">
        <v>5088000</v>
      </c>
      <c r="E29" s="600">
        <v>16670259</v>
      </c>
      <c r="F29" s="600">
        <v>0</v>
      </c>
      <c r="G29" s="600">
        <v>1687190</v>
      </c>
      <c r="H29" s="600">
        <v>0</v>
      </c>
      <c r="I29" s="601">
        <f t="shared" si="1"/>
        <v>45094449</v>
      </c>
    </row>
    <row r="30" spans="1:9" s="596" customFormat="1" ht="32.25" customHeight="1" thickBot="1">
      <c r="A30" s="602" t="s">
        <v>401</v>
      </c>
      <c r="B30" s="603" t="s">
        <v>886</v>
      </c>
      <c r="C30" s="872">
        <v>9187815</v>
      </c>
      <c r="D30" s="872">
        <v>2040168</v>
      </c>
      <c r="E30" s="872">
        <v>19871884</v>
      </c>
      <c r="F30" s="872">
        <v>0</v>
      </c>
      <c r="G30" s="872">
        <v>2412553</v>
      </c>
      <c r="H30" s="872">
        <v>0</v>
      </c>
      <c r="I30" s="873">
        <f t="shared" si="1"/>
        <v>33512420</v>
      </c>
    </row>
    <row r="31" spans="1:12" s="605" customFormat="1" ht="24" customHeight="1" thickBot="1">
      <c r="A31" s="606" t="s">
        <v>402</v>
      </c>
      <c r="B31" s="607" t="s">
        <v>361</v>
      </c>
      <c r="C31" s="608">
        <f aca="true" t="shared" si="2" ref="C31:I31">SUM(C18:C30)</f>
        <v>170588175</v>
      </c>
      <c r="D31" s="608">
        <f t="shared" si="2"/>
        <v>37271593</v>
      </c>
      <c r="E31" s="608">
        <f t="shared" si="2"/>
        <v>90641150</v>
      </c>
      <c r="F31" s="608">
        <f t="shared" si="2"/>
        <v>0</v>
      </c>
      <c r="G31" s="608">
        <f t="shared" si="2"/>
        <v>6231692</v>
      </c>
      <c r="H31" s="608">
        <f t="shared" si="2"/>
        <v>750354</v>
      </c>
      <c r="I31" s="609">
        <f t="shared" si="2"/>
        <v>305482964</v>
      </c>
      <c r="J31" s="610">
        <f>SUM(C31:H31)</f>
        <v>305482964</v>
      </c>
      <c r="K31" s="611"/>
      <c r="L31" s="611"/>
    </row>
    <row r="32" spans="1:9" s="499" customFormat="1" ht="39" customHeight="1">
      <c r="A32" s="1050" t="s">
        <v>853</v>
      </c>
      <c r="B32" s="1051"/>
      <c r="C32" s="1051"/>
      <c r="D32" s="1051"/>
      <c r="E32" s="1051"/>
      <c r="F32" s="1051"/>
      <c r="G32" s="1051"/>
      <c r="H32" s="1051"/>
      <c r="I32" s="1052"/>
    </row>
    <row r="33" spans="1:9" s="596" customFormat="1" ht="31.5" customHeight="1">
      <c r="A33" s="597" t="s">
        <v>389</v>
      </c>
      <c r="B33" s="598" t="s">
        <v>543</v>
      </c>
      <c r="C33" s="600">
        <v>0</v>
      </c>
      <c r="D33" s="600">
        <v>0</v>
      </c>
      <c r="E33" s="600">
        <f>1100000-527827</f>
        <v>572173</v>
      </c>
      <c r="F33" s="600">
        <v>0</v>
      </c>
      <c r="G33" s="600">
        <v>0</v>
      </c>
      <c r="H33" s="600">
        <v>0</v>
      </c>
      <c r="I33" s="601">
        <f>SUM(C33:H33)</f>
        <v>572173</v>
      </c>
    </row>
    <row r="34" spans="1:9" s="596" customFormat="1" ht="23.25" customHeight="1">
      <c r="A34" s="597" t="s">
        <v>390</v>
      </c>
      <c r="B34" s="598" t="s">
        <v>379</v>
      </c>
      <c r="C34" s="600">
        <f>2428400-1768202</f>
        <v>660198</v>
      </c>
      <c r="D34" s="600">
        <f>478841-348675</f>
        <v>130166</v>
      </c>
      <c r="E34" s="600">
        <f>3400630-574597-2793033</f>
        <v>33000</v>
      </c>
      <c r="F34" s="600">
        <v>0</v>
      </c>
      <c r="G34" s="600">
        <v>0</v>
      </c>
      <c r="H34" s="600">
        <v>0</v>
      </c>
      <c r="I34" s="601">
        <f>SUM(C34:H34)</f>
        <v>823364</v>
      </c>
    </row>
    <row r="35" spans="1:9" s="596" customFormat="1" ht="23.25" customHeight="1">
      <c r="A35" s="597" t="s">
        <v>391</v>
      </c>
      <c r="B35" s="598" t="s">
        <v>85</v>
      </c>
      <c r="C35" s="600">
        <v>0</v>
      </c>
      <c r="D35" s="600">
        <v>0</v>
      </c>
      <c r="E35" s="600">
        <f>49530-10359</f>
        <v>39171</v>
      </c>
      <c r="F35" s="600">
        <v>0</v>
      </c>
      <c r="G35" s="600">
        <v>0</v>
      </c>
      <c r="H35" s="600">
        <v>0</v>
      </c>
      <c r="I35" s="601">
        <f>SUM(C35:H35)</f>
        <v>39171</v>
      </c>
    </row>
    <row r="36" spans="1:9" s="596" customFormat="1" ht="33" customHeight="1">
      <c r="A36" s="597" t="s">
        <v>392</v>
      </c>
      <c r="B36" s="598" t="s">
        <v>792</v>
      </c>
      <c r="C36" s="600">
        <f>7343000-4454365</f>
        <v>2888635</v>
      </c>
      <c r="D36" s="600">
        <f>1437188-867408</f>
        <v>569780</v>
      </c>
      <c r="E36" s="600">
        <f>13986001-3000000-103900-700000-2981388+17858</f>
        <v>7218571</v>
      </c>
      <c r="F36" s="600">
        <v>0</v>
      </c>
      <c r="G36" s="600">
        <f>103900-103900</f>
        <v>0</v>
      </c>
      <c r="H36" s="600">
        <v>0</v>
      </c>
      <c r="I36" s="601">
        <f>SUM(C36:H36)</f>
        <v>10676986</v>
      </c>
    </row>
    <row r="37" spans="1:12" s="605" customFormat="1" ht="24" customHeight="1" thickBot="1">
      <c r="A37" s="612" t="s">
        <v>393</v>
      </c>
      <c r="B37" s="613" t="s">
        <v>361</v>
      </c>
      <c r="C37" s="614">
        <f aca="true" t="shared" si="3" ref="C37:I37">SUM(C32:C36)</f>
        <v>3548833</v>
      </c>
      <c r="D37" s="614">
        <f t="shared" si="3"/>
        <v>699946</v>
      </c>
      <c r="E37" s="614">
        <f t="shared" si="3"/>
        <v>7862915</v>
      </c>
      <c r="F37" s="614">
        <f>SUM(F32:F36)</f>
        <v>0</v>
      </c>
      <c r="G37" s="614">
        <f t="shared" si="3"/>
        <v>0</v>
      </c>
      <c r="H37" s="614">
        <f t="shared" si="3"/>
        <v>0</v>
      </c>
      <c r="I37" s="615">
        <f t="shared" si="3"/>
        <v>12111694</v>
      </c>
      <c r="J37" s="610">
        <f>SUM(C37:H37)</f>
        <v>12111694</v>
      </c>
      <c r="K37" s="611"/>
      <c r="L37" s="611"/>
    </row>
  </sheetData>
  <sheetProtection/>
  <mergeCells count="9">
    <mergeCell ref="A4:I4"/>
    <mergeCell ref="A17:I17"/>
    <mergeCell ref="A32:I32"/>
    <mergeCell ref="G1:I1"/>
    <mergeCell ref="A8:A11"/>
    <mergeCell ref="B8:B10"/>
    <mergeCell ref="C8:H8"/>
    <mergeCell ref="I8:I10"/>
    <mergeCell ref="A12:I12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70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01"/>
  <sheetViews>
    <sheetView workbookViewId="0" topLeftCell="G1">
      <selection activeCell="G2" sqref="G2"/>
    </sheetView>
  </sheetViews>
  <sheetFormatPr defaultColWidth="9.00390625" defaultRowHeight="12.75"/>
  <cols>
    <col min="1" max="1" width="7.75390625" style="134" customWidth="1"/>
    <col min="2" max="2" width="31.75390625" style="134" customWidth="1"/>
    <col min="3" max="3" width="14.375" style="134" customWidth="1"/>
    <col min="4" max="5" width="13.75390625" style="134" bestFit="1" customWidth="1"/>
    <col min="6" max="6" width="16.25390625" style="134" bestFit="1" customWidth="1"/>
    <col min="7" max="8" width="14.375" style="134" bestFit="1" customWidth="1"/>
    <col min="9" max="9" width="16.25390625" style="134" bestFit="1" customWidth="1"/>
    <col min="10" max="11" width="12.875" style="134" customWidth="1"/>
    <col min="12" max="12" width="15.00390625" style="134" customWidth="1"/>
    <col min="13" max="13" width="17.00390625" style="134" bestFit="1" customWidth="1"/>
    <col min="14" max="15" width="9.125" style="134" customWidth="1"/>
    <col min="16" max="16" width="12.875" style="134" bestFit="1" customWidth="1"/>
    <col min="17" max="16384" width="9.125" style="134" customWidth="1"/>
  </cols>
  <sheetData>
    <row r="1" spans="1:21" ht="15">
      <c r="A1" s="201"/>
      <c r="B1" s="202"/>
      <c r="C1" s="203"/>
      <c r="D1" s="203"/>
      <c r="E1" s="203"/>
      <c r="F1" s="203"/>
      <c r="G1" s="1079" t="s">
        <v>1215</v>
      </c>
      <c r="H1" s="1079"/>
      <c r="I1" s="1080"/>
      <c r="J1" s="1080"/>
      <c r="K1" s="1080"/>
      <c r="L1" s="1080"/>
      <c r="M1" s="1080"/>
      <c r="N1" s="202"/>
      <c r="O1" s="202"/>
      <c r="P1" s="202"/>
      <c r="Q1" s="202"/>
      <c r="R1" s="204"/>
      <c r="S1" s="204"/>
      <c r="T1" s="204"/>
      <c r="U1" s="202"/>
    </row>
    <row r="2" spans="1:21" ht="12.75">
      <c r="A2" s="201"/>
      <c r="B2" s="202"/>
      <c r="C2" s="203"/>
      <c r="D2" s="203"/>
      <c r="E2" s="203"/>
      <c r="F2" s="203"/>
      <c r="G2" s="205"/>
      <c r="H2" s="205"/>
      <c r="I2" s="206"/>
      <c r="J2" s="206"/>
      <c r="K2" s="206"/>
      <c r="L2" s="206"/>
      <c r="M2" s="206"/>
      <c r="N2" s="202"/>
      <c r="O2" s="202"/>
      <c r="P2" s="202"/>
      <c r="Q2" s="202"/>
      <c r="R2" s="204"/>
      <c r="S2" s="204"/>
      <c r="T2" s="204"/>
      <c r="U2" s="202"/>
    </row>
    <row r="3" spans="1:27" ht="15.75" customHeight="1">
      <c r="A3" s="1084" t="s">
        <v>793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27" ht="13.5" thickBot="1">
      <c r="A4" s="1084"/>
      <c r="B4" s="1084"/>
      <c r="C4" s="1084"/>
      <c r="D4" s="1084"/>
      <c r="E4" s="1084"/>
      <c r="F4" s="1084"/>
      <c r="G4" s="1084"/>
      <c r="H4" s="1084"/>
      <c r="I4" s="1084"/>
      <c r="J4" s="1084"/>
      <c r="K4" s="1084"/>
      <c r="L4" s="1084"/>
      <c r="M4" s="1084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</row>
    <row r="5" spans="1:27" ht="16.5" thickBot="1">
      <c r="A5" s="1074" t="s">
        <v>426</v>
      </c>
      <c r="B5" s="1071" t="s">
        <v>357</v>
      </c>
      <c r="C5" s="1077" t="s">
        <v>480</v>
      </c>
      <c r="D5" s="1077"/>
      <c r="E5" s="1077"/>
      <c r="F5" s="1077"/>
      <c r="G5" s="1077"/>
      <c r="H5" s="1077"/>
      <c r="I5" s="1077"/>
      <c r="J5" s="1077"/>
      <c r="K5" s="1077"/>
      <c r="L5" s="1077"/>
      <c r="M5" s="1078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9"/>
    </row>
    <row r="6" spans="1:13" ht="12.75" customHeight="1">
      <c r="A6" s="1075"/>
      <c r="B6" s="1072"/>
      <c r="C6" s="1085" t="s">
        <v>481</v>
      </c>
      <c r="D6" s="1062" t="s">
        <v>482</v>
      </c>
      <c r="E6" s="1063"/>
      <c r="F6" s="1064"/>
      <c r="G6" s="1062" t="s">
        <v>483</v>
      </c>
      <c r="H6" s="1063"/>
      <c r="I6" s="1064"/>
      <c r="J6" s="1062" t="s">
        <v>484</v>
      </c>
      <c r="K6" s="1063"/>
      <c r="L6" s="1064"/>
      <c r="M6" s="1081" t="s">
        <v>366</v>
      </c>
    </row>
    <row r="7" spans="1:13" ht="12.75" customHeight="1">
      <c r="A7" s="1075"/>
      <c r="B7" s="1072"/>
      <c r="C7" s="1086"/>
      <c r="D7" s="1065"/>
      <c r="E7" s="1066"/>
      <c r="F7" s="1067"/>
      <c r="G7" s="1065"/>
      <c r="H7" s="1066"/>
      <c r="I7" s="1067"/>
      <c r="J7" s="1065"/>
      <c r="K7" s="1066"/>
      <c r="L7" s="1067"/>
      <c r="M7" s="1082"/>
    </row>
    <row r="8" spans="1:13" ht="24" customHeight="1" thickBot="1">
      <c r="A8" s="1076"/>
      <c r="B8" s="1073"/>
      <c r="C8" s="1087"/>
      <c r="D8" s="210" t="s">
        <v>86</v>
      </c>
      <c r="E8" s="211" t="s">
        <v>87</v>
      </c>
      <c r="F8" s="212" t="s">
        <v>88</v>
      </c>
      <c r="G8" s="213" t="s">
        <v>86</v>
      </c>
      <c r="H8" s="211" t="s">
        <v>87</v>
      </c>
      <c r="I8" s="212" t="s">
        <v>88</v>
      </c>
      <c r="J8" s="213" t="s">
        <v>86</v>
      </c>
      <c r="K8" s="211" t="s">
        <v>87</v>
      </c>
      <c r="L8" s="212" t="s">
        <v>88</v>
      </c>
      <c r="M8" s="1083"/>
    </row>
    <row r="9" spans="1:13" ht="29.25" customHeight="1">
      <c r="A9" s="214" t="s">
        <v>389</v>
      </c>
      <c r="B9" s="215" t="s">
        <v>61</v>
      </c>
      <c r="C9" s="216" t="s">
        <v>723</v>
      </c>
      <c r="D9" s="217">
        <f>50694554+1031200+30800+6006+63500+190500+1055350+1492000+100000+1032600+243600+228600</f>
        <v>56168710</v>
      </c>
      <c r="E9" s="218">
        <f>2316859-243600</f>
        <v>2073259</v>
      </c>
      <c r="F9" s="219">
        <f aca="true" t="shared" si="0" ref="F9:F66">SUM(D9:E9)</f>
        <v>58241969</v>
      </c>
      <c r="G9" s="220"/>
      <c r="H9" s="617"/>
      <c r="I9" s="219">
        <f aca="true" t="shared" si="1" ref="I9:I66">SUM(G9:H9)</f>
        <v>0</v>
      </c>
      <c r="J9" s="221"/>
      <c r="K9" s="222"/>
      <c r="L9" s="219">
        <f aca="true" t="shared" si="2" ref="L9:L54">SUM(J9:K9)</f>
        <v>0</v>
      </c>
      <c r="M9" s="223">
        <f aca="true" t="shared" si="3" ref="M9:M66">SUM(F9+I9+L9)</f>
        <v>58241969</v>
      </c>
    </row>
    <row r="10" spans="1:13" ht="29.25" customHeight="1">
      <c r="A10" s="224" t="s">
        <v>390</v>
      </c>
      <c r="B10" s="226" t="s">
        <v>56</v>
      </c>
      <c r="C10" s="225" t="s">
        <v>709</v>
      </c>
      <c r="D10" s="217">
        <f>65256278+68000+7679730+1417+7100000</f>
        <v>80105425</v>
      </c>
      <c r="E10" s="218">
        <f>2949520+3000000+5000000-387985+900000-900000-197100-545000-444500-2500000</f>
        <v>6874935</v>
      </c>
      <c r="F10" s="219">
        <f t="shared" si="0"/>
        <v>86980360</v>
      </c>
      <c r="G10" s="622"/>
      <c r="H10" s="218">
        <f>1159500-1159500</f>
        <v>0</v>
      </c>
      <c r="I10" s="219">
        <f t="shared" si="1"/>
        <v>0</v>
      </c>
      <c r="J10" s="221"/>
      <c r="K10" s="222"/>
      <c r="L10" s="219">
        <f t="shared" si="2"/>
        <v>0</v>
      </c>
      <c r="M10" s="223">
        <f t="shared" si="3"/>
        <v>86980360</v>
      </c>
    </row>
    <row r="11" spans="1:13" ht="38.25" customHeight="1">
      <c r="A11" s="224" t="s">
        <v>391</v>
      </c>
      <c r="B11" s="226" t="s">
        <v>1152</v>
      </c>
      <c r="C11" s="225"/>
      <c r="D11" s="217"/>
      <c r="E11" s="218"/>
      <c r="F11" s="219">
        <f t="shared" si="0"/>
        <v>0</v>
      </c>
      <c r="G11" s="622"/>
      <c r="H11" s="218">
        <f>242642019</f>
        <v>242642019</v>
      </c>
      <c r="I11" s="219">
        <f t="shared" si="1"/>
        <v>242642019</v>
      </c>
      <c r="J11" s="221"/>
      <c r="K11" s="222"/>
      <c r="L11" s="219">
        <f t="shared" si="2"/>
        <v>0</v>
      </c>
      <c r="M11" s="223">
        <f t="shared" si="3"/>
        <v>242642019</v>
      </c>
    </row>
    <row r="12" spans="1:13" ht="37.5" customHeight="1">
      <c r="A12" s="224" t="s">
        <v>392</v>
      </c>
      <c r="B12" s="226" t="s">
        <v>1151</v>
      </c>
      <c r="C12" s="225"/>
      <c r="D12" s="217"/>
      <c r="E12" s="218"/>
      <c r="F12" s="219">
        <f t="shared" si="0"/>
        <v>0</v>
      </c>
      <c r="G12" s="622"/>
      <c r="H12" s="218">
        <v>17861888</v>
      </c>
      <c r="I12" s="219">
        <f t="shared" si="1"/>
        <v>17861888</v>
      </c>
      <c r="J12" s="221"/>
      <c r="K12" s="222"/>
      <c r="L12" s="219">
        <f t="shared" si="2"/>
        <v>0</v>
      </c>
      <c r="M12" s="223">
        <f t="shared" si="3"/>
        <v>17861888</v>
      </c>
    </row>
    <row r="13" spans="1:13" ht="29.25" customHeight="1">
      <c r="A13" s="224" t="s">
        <v>393</v>
      </c>
      <c r="B13" s="226" t="s">
        <v>58</v>
      </c>
      <c r="C13" s="225" t="s">
        <v>796</v>
      </c>
      <c r="D13" s="217">
        <v>2638913</v>
      </c>
      <c r="E13" s="617"/>
      <c r="F13" s="219">
        <f t="shared" si="0"/>
        <v>2638913</v>
      </c>
      <c r="G13" s="220">
        <v>4592665</v>
      </c>
      <c r="H13" s="617"/>
      <c r="I13" s="219">
        <f t="shared" si="1"/>
        <v>4592665</v>
      </c>
      <c r="J13" s="221"/>
      <c r="K13" s="222"/>
      <c r="L13" s="219">
        <f t="shared" si="2"/>
        <v>0</v>
      </c>
      <c r="M13" s="223">
        <f t="shared" si="3"/>
        <v>7231578</v>
      </c>
    </row>
    <row r="14" spans="1:13" ht="29.25" customHeight="1">
      <c r="A14" s="224" t="s">
        <v>394</v>
      </c>
      <c r="B14" s="226" t="s">
        <v>373</v>
      </c>
      <c r="C14" s="227"/>
      <c r="D14" s="616"/>
      <c r="E14" s="617"/>
      <c r="F14" s="219">
        <f t="shared" si="0"/>
        <v>0</v>
      </c>
      <c r="G14" s="220">
        <f>7224187-5500000+1100000+420000+80000+1350000</f>
        <v>4674187</v>
      </c>
      <c r="H14" s="617"/>
      <c r="I14" s="219">
        <f t="shared" si="1"/>
        <v>4674187</v>
      </c>
      <c r="J14" s="221"/>
      <c r="K14" s="222"/>
      <c r="L14" s="219">
        <f t="shared" si="2"/>
        <v>0</v>
      </c>
      <c r="M14" s="223">
        <f t="shared" si="3"/>
        <v>4674187</v>
      </c>
    </row>
    <row r="15" spans="1:13" ht="29.25" customHeight="1">
      <c r="A15" s="224" t="s">
        <v>395</v>
      </c>
      <c r="B15" s="226" t="s">
        <v>775</v>
      </c>
      <c r="C15" s="219" t="s">
        <v>797</v>
      </c>
      <c r="D15" s="217">
        <f>34037935+66110+32640+20906574</f>
        <v>55043259</v>
      </c>
      <c r="E15" s="617"/>
      <c r="F15" s="219">
        <f t="shared" si="0"/>
        <v>55043259</v>
      </c>
      <c r="G15" s="622"/>
      <c r="H15" s="617"/>
      <c r="I15" s="219">
        <f t="shared" si="1"/>
        <v>0</v>
      </c>
      <c r="J15" s="221"/>
      <c r="K15" s="222"/>
      <c r="L15" s="219">
        <f t="shared" si="2"/>
        <v>0</v>
      </c>
      <c r="M15" s="223">
        <f t="shared" si="3"/>
        <v>55043259</v>
      </c>
    </row>
    <row r="16" spans="1:13" ht="21.75" customHeight="1">
      <c r="A16" s="224" t="s">
        <v>396</v>
      </c>
      <c r="B16" s="242" t="s">
        <v>634</v>
      </c>
      <c r="C16" s="219" t="s">
        <v>797</v>
      </c>
      <c r="D16" s="229">
        <f>19198739+936+141447+1283275-1150000</f>
        <v>19474397</v>
      </c>
      <c r="E16" s="619"/>
      <c r="F16" s="219">
        <f t="shared" si="0"/>
        <v>19474397</v>
      </c>
      <c r="G16" s="623"/>
      <c r="H16" s="619"/>
      <c r="I16" s="219">
        <f t="shared" si="1"/>
        <v>0</v>
      </c>
      <c r="J16" s="232"/>
      <c r="K16" s="233"/>
      <c r="L16" s="219">
        <f t="shared" si="2"/>
        <v>0</v>
      </c>
      <c r="M16" s="223">
        <f t="shared" si="3"/>
        <v>19474397</v>
      </c>
    </row>
    <row r="17" spans="1:13" ht="29.25" customHeight="1">
      <c r="A17" s="224" t="s">
        <v>397</v>
      </c>
      <c r="B17" s="226" t="s">
        <v>66</v>
      </c>
      <c r="C17" s="219" t="s">
        <v>710</v>
      </c>
      <c r="D17" s="616"/>
      <c r="E17" s="617"/>
      <c r="F17" s="219">
        <f t="shared" si="0"/>
        <v>0</v>
      </c>
      <c r="G17" s="622"/>
      <c r="H17" s="617"/>
      <c r="I17" s="219">
        <f t="shared" si="1"/>
        <v>0</v>
      </c>
      <c r="J17" s="221">
        <f>50486791+2200+429-120000-73660-29000</f>
        <v>50266760</v>
      </c>
      <c r="K17" s="222">
        <f>508000+120000+73660+29000</f>
        <v>730660</v>
      </c>
      <c r="L17" s="219">
        <f t="shared" si="2"/>
        <v>50997420</v>
      </c>
      <c r="M17" s="223">
        <f t="shared" si="3"/>
        <v>50997420</v>
      </c>
    </row>
    <row r="18" spans="1:13" ht="29.25" customHeight="1">
      <c r="A18" s="224" t="s">
        <v>398</v>
      </c>
      <c r="B18" s="226" t="s">
        <v>776</v>
      </c>
      <c r="C18" s="225"/>
      <c r="D18" s="616"/>
      <c r="E18" s="617"/>
      <c r="F18" s="219">
        <f t="shared" si="0"/>
        <v>0</v>
      </c>
      <c r="G18" s="622"/>
      <c r="H18" s="218">
        <f>264185263+151044-242642019-3832400-17861888</f>
        <v>0</v>
      </c>
      <c r="I18" s="219">
        <f t="shared" si="1"/>
        <v>0</v>
      </c>
      <c r="J18" s="221"/>
      <c r="K18" s="222"/>
      <c r="L18" s="219">
        <f t="shared" si="2"/>
        <v>0</v>
      </c>
      <c r="M18" s="223">
        <f t="shared" si="3"/>
        <v>0</v>
      </c>
    </row>
    <row r="19" spans="1:13" ht="29.25" customHeight="1">
      <c r="A19" s="224" t="s">
        <v>399</v>
      </c>
      <c r="B19" s="226" t="s">
        <v>778</v>
      </c>
      <c r="C19" s="225" t="s">
        <v>794</v>
      </c>
      <c r="D19" s="217">
        <f>11977188+28103985+2740077+8057715+246024-2601</f>
        <v>51122388</v>
      </c>
      <c r="E19" s="218">
        <f>1846997+914</f>
        <v>1847911</v>
      </c>
      <c r="F19" s="219">
        <f t="shared" si="0"/>
        <v>52970299</v>
      </c>
      <c r="G19" s="622"/>
      <c r="H19" s="617"/>
      <c r="I19" s="219">
        <f t="shared" si="1"/>
        <v>0</v>
      </c>
      <c r="J19" s="221"/>
      <c r="K19" s="222"/>
      <c r="L19" s="219">
        <f t="shared" si="2"/>
        <v>0</v>
      </c>
      <c r="M19" s="223">
        <f t="shared" si="3"/>
        <v>52970299</v>
      </c>
    </row>
    <row r="20" spans="1:13" ht="29.25" customHeight="1">
      <c r="A20" s="224" t="s">
        <v>400</v>
      </c>
      <c r="B20" s="226" t="s">
        <v>779</v>
      </c>
      <c r="C20" s="225" t="s">
        <v>794</v>
      </c>
      <c r="D20" s="217">
        <f>23626850+40610080+3959404+2045415+426539+9375932+914153+823080-23713</f>
        <v>81757740</v>
      </c>
      <c r="E20" s="218">
        <f>299888+25400</f>
        <v>325288</v>
      </c>
      <c r="F20" s="219">
        <f t="shared" si="0"/>
        <v>82083028</v>
      </c>
      <c r="G20" s="622"/>
      <c r="H20" s="617"/>
      <c r="I20" s="219">
        <f t="shared" si="1"/>
        <v>0</v>
      </c>
      <c r="J20" s="221"/>
      <c r="K20" s="222"/>
      <c r="L20" s="219">
        <f t="shared" si="2"/>
        <v>0</v>
      </c>
      <c r="M20" s="223">
        <f t="shared" si="3"/>
        <v>82083028</v>
      </c>
    </row>
    <row r="21" spans="1:13" ht="21.75" customHeight="1">
      <c r="A21" s="224" t="s">
        <v>401</v>
      </c>
      <c r="B21" s="242" t="s">
        <v>635</v>
      </c>
      <c r="C21" s="225" t="s">
        <v>711</v>
      </c>
      <c r="D21" s="618"/>
      <c r="E21" s="619"/>
      <c r="F21" s="219">
        <f t="shared" si="0"/>
        <v>0</v>
      </c>
      <c r="G21" s="623"/>
      <c r="H21" s="230">
        <v>12223750</v>
      </c>
      <c r="I21" s="219">
        <f t="shared" si="1"/>
        <v>12223750</v>
      </c>
      <c r="J21" s="232"/>
      <c r="K21" s="233"/>
      <c r="L21" s="219">
        <f t="shared" si="2"/>
        <v>0</v>
      </c>
      <c r="M21" s="223">
        <f t="shared" si="3"/>
        <v>12223750</v>
      </c>
    </row>
    <row r="22" spans="1:13" ht="29.25" customHeight="1">
      <c r="A22" s="228" t="s">
        <v>402</v>
      </c>
      <c r="B22" s="226" t="s">
        <v>354</v>
      </c>
      <c r="C22" s="225" t="s">
        <v>711</v>
      </c>
      <c r="D22" s="217">
        <f>9850000+5000000+868</f>
        <v>14850868</v>
      </c>
      <c r="E22" s="218">
        <f>18159504+30000+387985</f>
        <v>18577489</v>
      </c>
      <c r="F22" s="219">
        <f t="shared" si="0"/>
        <v>33428357</v>
      </c>
      <c r="G22" s="622"/>
      <c r="H22" s="617"/>
      <c r="I22" s="219">
        <f t="shared" si="1"/>
        <v>0</v>
      </c>
      <c r="J22" s="221"/>
      <c r="K22" s="222"/>
      <c r="L22" s="219">
        <f t="shared" si="2"/>
        <v>0</v>
      </c>
      <c r="M22" s="223">
        <f t="shared" si="3"/>
        <v>33428357</v>
      </c>
    </row>
    <row r="23" spans="1:13" ht="29.25" customHeight="1">
      <c r="A23" s="224" t="s">
        <v>403</v>
      </c>
      <c r="B23" s="226" t="s">
        <v>68</v>
      </c>
      <c r="C23" s="225" t="s">
        <v>712</v>
      </c>
      <c r="D23" s="217">
        <v>1270000</v>
      </c>
      <c r="E23" s="218">
        <f>8644085+106200000-111619000</f>
        <v>3225085</v>
      </c>
      <c r="F23" s="219">
        <f t="shared" si="0"/>
        <v>4495085</v>
      </c>
      <c r="G23" s="622"/>
      <c r="H23" s="218"/>
      <c r="I23" s="219">
        <f t="shared" si="1"/>
        <v>0</v>
      </c>
      <c r="J23" s="221"/>
      <c r="K23" s="222"/>
      <c r="L23" s="219">
        <f t="shared" si="2"/>
        <v>0</v>
      </c>
      <c r="M23" s="223">
        <f t="shared" si="3"/>
        <v>4495085</v>
      </c>
    </row>
    <row r="24" spans="1:13" ht="36">
      <c r="A24" s="224" t="s">
        <v>404</v>
      </c>
      <c r="B24" s="226" t="s">
        <v>1198</v>
      </c>
      <c r="C24" s="225" t="s">
        <v>712</v>
      </c>
      <c r="D24" s="217"/>
      <c r="E24" s="218">
        <v>111619000</v>
      </c>
      <c r="F24" s="219">
        <f t="shared" si="0"/>
        <v>111619000</v>
      </c>
      <c r="G24" s="622"/>
      <c r="H24" s="959"/>
      <c r="I24" s="219">
        <f t="shared" si="1"/>
        <v>0</v>
      </c>
      <c r="J24" s="221"/>
      <c r="K24" s="222"/>
      <c r="L24" s="219"/>
      <c r="M24" s="223">
        <f t="shared" si="3"/>
        <v>111619000</v>
      </c>
    </row>
    <row r="25" spans="1:13" ht="36.75" customHeight="1">
      <c r="A25" s="224" t="s">
        <v>405</v>
      </c>
      <c r="B25" s="226" t="s">
        <v>1153</v>
      </c>
      <c r="C25" s="225"/>
      <c r="D25" s="217"/>
      <c r="E25" s="218"/>
      <c r="F25" s="219">
        <f t="shared" si="0"/>
        <v>0</v>
      </c>
      <c r="G25" s="622"/>
      <c r="H25" s="960">
        <f>3832400+192470000</f>
        <v>196302400</v>
      </c>
      <c r="I25" s="219">
        <f t="shared" si="1"/>
        <v>196302400</v>
      </c>
      <c r="J25" s="221"/>
      <c r="K25" s="222"/>
      <c r="L25" s="219"/>
      <c r="M25" s="223">
        <f t="shared" si="3"/>
        <v>196302400</v>
      </c>
    </row>
    <row r="26" spans="1:13" ht="29.25" customHeight="1">
      <c r="A26" s="224" t="s">
        <v>406</v>
      </c>
      <c r="B26" s="226" t="s">
        <v>985</v>
      </c>
      <c r="C26" s="225" t="s">
        <v>711</v>
      </c>
      <c r="D26" s="217">
        <v>7265000</v>
      </c>
      <c r="E26" s="218"/>
      <c r="F26" s="219">
        <f t="shared" si="0"/>
        <v>7265000</v>
      </c>
      <c r="G26" s="622"/>
      <c r="H26" s="617"/>
      <c r="I26" s="219">
        <f t="shared" si="1"/>
        <v>0</v>
      </c>
      <c r="J26" s="221"/>
      <c r="K26" s="222"/>
      <c r="L26" s="219">
        <f t="shared" si="2"/>
        <v>0</v>
      </c>
      <c r="M26" s="223">
        <f t="shared" si="3"/>
        <v>7265000</v>
      </c>
    </row>
    <row r="27" spans="1:13" ht="30.75" customHeight="1">
      <c r="A27" s="224" t="s">
        <v>407</v>
      </c>
      <c r="B27" s="226" t="s">
        <v>50</v>
      </c>
      <c r="C27" s="225" t="s">
        <v>713</v>
      </c>
      <c r="D27" s="229">
        <f>1736016+300000</f>
        <v>2036016</v>
      </c>
      <c r="E27" s="619"/>
      <c r="F27" s="219">
        <f t="shared" si="0"/>
        <v>2036016</v>
      </c>
      <c r="G27" s="623"/>
      <c r="H27" s="619"/>
      <c r="I27" s="219">
        <f t="shared" si="1"/>
        <v>0</v>
      </c>
      <c r="J27" s="232"/>
      <c r="K27" s="233"/>
      <c r="L27" s="219">
        <f t="shared" si="2"/>
        <v>0</v>
      </c>
      <c r="M27" s="223">
        <f t="shared" si="3"/>
        <v>2036016</v>
      </c>
    </row>
    <row r="28" spans="1:13" ht="31.5" customHeight="1">
      <c r="A28" s="224" t="s">
        <v>408</v>
      </c>
      <c r="B28" s="226" t="s">
        <v>371</v>
      </c>
      <c r="C28" s="225" t="s">
        <v>714</v>
      </c>
      <c r="D28" s="229">
        <f>11239754-848360+3300476</f>
        <v>13691870</v>
      </c>
      <c r="E28" s="619"/>
      <c r="F28" s="219">
        <f t="shared" si="0"/>
        <v>13691870</v>
      </c>
      <c r="G28" s="623"/>
      <c r="H28" s="619"/>
      <c r="I28" s="219">
        <f t="shared" si="1"/>
        <v>0</v>
      </c>
      <c r="J28" s="232"/>
      <c r="K28" s="233"/>
      <c r="L28" s="219">
        <f t="shared" si="2"/>
        <v>0</v>
      </c>
      <c r="M28" s="223">
        <f t="shared" si="3"/>
        <v>13691870</v>
      </c>
    </row>
    <row r="29" spans="1:13" ht="31.5" customHeight="1">
      <c r="A29" s="224" t="s">
        <v>409</v>
      </c>
      <c r="B29" s="226" t="s">
        <v>979</v>
      </c>
      <c r="C29" s="237" t="s">
        <v>795</v>
      </c>
      <c r="D29" s="229">
        <v>15000000</v>
      </c>
      <c r="E29" s="230">
        <v>18081467</v>
      </c>
      <c r="F29" s="219">
        <f t="shared" si="0"/>
        <v>33081467</v>
      </c>
      <c r="G29" s="623"/>
      <c r="H29" s="619"/>
      <c r="I29" s="219">
        <f t="shared" si="1"/>
        <v>0</v>
      </c>
      <c r="J29" s="232"/>
      <c r="K29" s="233"/>
      <c r="L29" s="219">
        <f t="shared" si="2"/>
        <v>0</v>
      </c>
      <c r="M29" s="223">
        <f t="shared" si="3"/>
        <v>33081467</v>
      </c>
    </row>
    <row r="30" spans="1:13" ht="36">
      <c r="A30" s="224" t="s">
        <v>410</v>
      </c>
      <c r="B30" s="226" t="s">
        <v>1149</v>
      </c>
      <c r="C30" s="237"/>
      <c r="D30" s="229"/>
      <c r="E30" s="230"/>
      <c r="F30" s="219">
        <f t="shared" si="0"/>
        <v>0</v>
      </c>
      <c r="G30" s="623"/>
      <c r="H30" s="230">
        <f>2500000+47500000</f>
        <v>50000000</v>
      </c>
      <c r="I30" s="219">
        <f t="shared" si="1"/>
        <v>50000000</v>
      </c>
      <c r="J30" s="232"/>
      <c r="K30" s="233"/>
      <c r="L30" s="219">
        <f t="shared" si="2"/>
        <v>0</v>
      </c>
      <c r="M30" s="223">
        <f t="shared" si="3"/>
        <v>50000000</v>
      </c>
    </row>
    <row r="31" spans="1:13" ht="36">
      <c r="A31" s="224" t="s">
        <v>485</v>
      </c>
      <c r="B31" s="226" t="s">
        <v>1184</v>
      </c>
      <c r="C31" s="237"/>
      <c r="D31" s="229"/>
      <c r="E31" s="230"/>
      <c r="F31" s="219">
        <f t="shared" si="0"/>
        <v>0</v>
      </c>
      <c r="G31" s="623"/>
      <c r="H31" s="230">
        <v>97606050</v>
      </c>
      <c r="I31" s="219">
        <f t="shared" si="1"/>
        <v>97606050</v>
      </c>
      <c r="J31" s="232"/>
      <c r="K31" s="233"/>
      <c r="L31" s="219">
        <f t="shared" si="2"/>
        <v>0</v>
      </c>
      <c r="M31" s="223">
        <f t="shared" si="3"/>
        <v>97606050</v>
      </c>
    </row>
    <row r="32" spans="1:13" ht="21.75" customHeight="1">
      <c r="A32" s="224" t="s">
        <v>486</v>
      </c>
      <c r="B32" s="242" t="s">
        <v>781</v>
      </c>
      <c r="C32" s="237" t="s">
        <v>795</v>
      </c>
      <c r="D32" s="229">
        <v>0</v>
      </c>
      <c r="E32" s="230">
        <v>389000</v>
      </c>
      <c r="F32" s="219">
        <f t="shared" si="0"/>
        <v>389000</v>
      </c>
      <c r="G32" s="623"/>
      <c r="H32" s="619"/>
      <c r="I32" s="219">
        <f t="shared" si="1"/>
        <v>0</v>
      </c>
      <c r="J32" s="232"/>
      <c r="K32" s="233"/>
      <c r="L32" s="219">
        <f t="shared" si="2"/>
        <v>0</v>
      </c>
      <c r="M32" s="223">
        <f t="shared" si="3"/>
        <v>389000</v>
      </c>
    </row>
    <row r="33" spans="1:13" ht="21.75" customHeight="1">
      <c r="A33" s="224" t="s">
        <v>487</v>
      </c>
      <c r="B33" s="242" t="s">
        <v>374</v>
      </c>
      <c r="C33" s="237" t="s">
        <v>711</v>
      </c>
      <c r="D33" s="229">
        <v>23139400</v>
      </c>
      <c r="E33" s="619"/>
      <c r="F33" s="219">
        <f t="shared" si="0"/>
        <v>23139400</v>
      </c>
      <c r="G33" s="623"/>
      <c r="H33" s="619"/>
      <c r="I33" s="219">
        <f t="shared" si="1"/>
        <v>0</v>
      </c>
      <c r="J33" s="232"/>
      <c r="K33" s="233"/>
      <c r="L33" s="219">
        <f t="shared" si="2"/>
        <v>0</v>
      </c>
      <c r="M33" s="223">
        <f t="shared" si="3"/>
        <v>23139400</v>
      </c>
    </row>
    <row r="34" spans="1:13" ht="21.75" customHeight="1">
      <c r="A34" s="224" t="s">
        <v>455</v>
      </c>
      <c r="B34" s="242" t="s">
        <v>372</v>
      </c>
      <c r="C34" s="237" t="s">
        <v>711</v>
      </c>
      <c r="D34" s="229">
        <f>26082000+3692132+400000-100000</f>
        <v>30074132</v>
      </c>
      <c r="E34" s="230">
        <f>2606050+95000000-97606050</f>
        <v>0</v>
      </c>
      <c r="F34" s="219">
        <f t="shared" si="0"/>
        <v>30074132</v>
      </c>
      <c r="G34" s="623"/>
      <c r="H34" s="619"/>
      <c r="I34" s="219">
        <f t="shared" si="1"/>
        <v>0</v>
      </c>
      <c r="J34" s="232"/>
      <c r="K34" s="233"/>
      <c r="L34" s="219">
        <f t="shared" si="2"/>
        <v>0</v>
      </c>
      <c r="M34" s="223">
        <f t="shared" si="3"/>
        <v>30074132</v>
      </c>
    </row>
    <row r="35" spans="1:13" ht="22.5" customHeight="1">
      <c r="A35" s="224" t="s">
        <v>488</v>
      </c>
      <c r="B35" s="242" t="s">
        <v>84</v>
      </c>
      <c r="C35" s="237" t="s">
        <v>715</v>
      </c>
      <c r="D35" s="229">
        <f>28083700+90000+146050+2600000+500000-152400-300000-200000-5715000+444500</f>
        <v>25496850</v>
      </c>
      <c r="E35" s="230">
        <f>831000+152400+200000+1595000+5715000</f>
        <v>8493400</v>
      </c>
      <c r="F35" s="219">
        <f t="shared" si="0"/>
        <v>33990250</v>
      </c>
      <c r="G35" s="231">
        <f>2990082+200000+550000</f>
        <v>3740082</v>
      </c>
      <c r="H35" s="619"/>
      <c r="I35" s="219">
        <f t="shared" si="1"/>
        <v>3740082</v>
      </c>
      <c r="J35" s="232"/>
      <c r="K35" s="233"/>
      <c r="L35" s="219">
        <f t="shared" si="2"/>
        <v>0</v>
      </c>
      <c r="M35" s="223">
        <f t="shared" si="3"/>
        <v>37730332</v>
      </c>
    </row>
    <row r="36" spans="1:13" ht="23.25" customHeight="1">
      <c r="A36" s="224" t="s">
        <v>411</v>
      </c>
      <c r="B36" s="242" t="s">
        <v>376</v>
      </c>
      <c r="C36" s="237" t="s">
        <v>716</v>
      </c>
      <c r="D36" s="229">
        <v>360000</v>
      </c>
      <c r="E36" s="619"/>
      <c r="F36" s="219">
        <f t="shared" si="0"/>
        <v>360000</v>
      </c>
      <c r="G36" s="623"/>
      <c r="H36" s="619"/>
      <c r="I36" s="219">
        <f t="shared" si="1"/>
        <v>0</v>
      </c>
      <c r="J36" s="232"/>
      <c r="K36" s="233"/>
      <c r="L36" s="219">
        <f t="shared" si="2"/>
        <v>0</v>
      </c>
      <c r="M36" s="223">
        <f t="shared" si="3"/>
        <v>360000</v>
      </c>
    </row>
    <row r="37" spans="1:13" ht="22.5" customHeight="1">
      <c r="A37" s="224" t="s">
        <v>412</v>
      </c>
      <c r="B37" s="242" t="s">
        <v>377</v>
      </c>
      <c r="C37" s="237" t="s">
        <v>716</v>
      </c>
      <c r="D37" s="229">
        <f>21638205+601200+28922-233830</f>
        <v>22034497</v>
      </c>
      <c r="E37" s="230">
        <f>76200+233830</f>
        <v>310030</v>
      </c>
      <c r="F37" s="219">
        <f t="shared" si="0"/>
        <v>22344527</v>
      </c>
      <c r="G37" s="623"/>
      <c r="H37" s="619"/>
      <c r="I37" s="219">
        <f t="shared" si="1"/>
        <v>0</v>
      </c>
      <c r="J37" s="232"/>
      <c r="K37" s="233"/>
      <c r="L37" s="219">
        <f t="shared" si="2"/>
        <v>0</v>
      </c>
      <c r="M37" s="223">
        <f t="shared" si="3"/>
        <v>22344527</v>
      </c>
    </row>
    <row r="38" spans="1:13" ht="22.5" customHeight="1">
      <c r="A38" s="224" t="s">
        <v>413</v>
      </c>
      <c r="B38" s="242" t="s">
        <v>378</v>
      </c>
      <c r="C38" s="237" t="s">
        <v>716</v>
      </c>
      <c r="D38" s="229">
        <v>120000</v>
      </c>
      <c r="E38" s="619"/>
      <c r="F38" s="219">
        <f t="shared" si="0"/>
        <v>120000</v>
      </c>
      <c r="G38" s="623"/>
      <c r="H38" s="619"/>
      <c r="I38" s="219">
        <f t="shared" si="1"/>
        <v>0</v>
      </c>
      <c r="J38" s="232"/>
      <c r="K38" s="233"/>
      <c r="L38" s="219">
        <f t="shared" si="2"/>
        <v>0</v>
      </c>
      <c r="M38" s="223">
        <f t="shared" si="3"/>
        <v>120000</v>
      </c>
    </row>
    <row r="39" spans="1:13" ht="29.25" customHeight="1">
      <c r="A39" s="224" t="s">
        <v>489</v>
      </c>
      <c r="B39" s="226" t="s">
        <v>725</v>
      </c>
      <c r="C39" s="225" t="s">
        <v>716</v>
      </c>
      <c r="D39" s="229">
        <f>23068191-5990</f>
        <v>23062201</v>
      </c>
      <c r="E39" s="230">
        <f>5990</f>
        <v>5990</v>
      </c>
      <c r="F39" s="219">
        <f t="shared" si="0"/>
        <v>23068191</v>
      </c>
      <c r="G39" s="623"/>
      <c r="H39" s="619"/>
      <c r="I39" s="219">
        <f t="shared" si="1"/>
        <v>0</v>
      </c>
      <c r="J39" s="232"/>
      <c r="K39" s="233"/>
      <c r="L39" s="219">
        <f t="shared" si="2"/>
        <v>0</v>
      </c>
      <c r="M39" s="223">
        <f t="shared" si="3"/>
        <v>23068191</v>
      </c>
    </row>
    <row r="40" spans="1:13" ht="29.25" customHeight="1">
      <c r="A40" s="224" t="s">
        <v>414</v>
      </c>
      <c r="B40" s="234" t="s">
        <v>83</v>
      </c>
      <c r="C40" s="219" t="s">
        <v>717</v>
      </c>
      <c r="D40" s="229">
        <f>16441000+4638836</f>
        <v>21079836</v>
      </c>
      <c r="E40" s="619"/>
      <c r="F40" s="219">
        <f t="shared" si="0"/>
        <v>21079836</v>
      </c>
      <c r="G40" s="624"/>
      <c r="H40" s="230">
        <f>15576620-11201400+150000+235153+197100+49530-49530</f>
        <v>4957473</v>
      </c>
      <c r="I40" s="219">
        <f t="shared" si="1"/>
        <v>4957473</v>
      </c>
      <c r="J40" s="232"/>
      <c r="K40" s="233"/>
      <c r="L40" s="219">
        <f t="shared" si="2"/>
        <v>0</v>
      </c>
      <c r="M40" s="223">
        <f t="shared" si="3"/>
        <v>26037309</v>
      </c>
    </row>
    <row r="41" spans="1:13" ht="29.25" customHeight="1">
      <c r="A41" s="224" t="s">
        <v>429</v>
      </c>
      <c r="B41" s="234" t="s">
        <v>1155</v>
      </c>
      <c r="C41" s="219"/>
      <c r="D41" s="229"/>
      <c r="E41" s="619"/>
      <c r="F41" s="219"/>
      <c r="G41" s="236">
        <v>15000</v>
      </c>
      <c r="H41" s="230"/>
      <c r="I41" s="219">
        <f t="shared" si="1"/>
        <v>15000</v>
      </c>
      <c r="J41" s="232"/>
      <c r="K41" s="233"/>
      <c r="L41" s="219"/>
      <c r="M41" s="223">
        <f t="shared" si="3"/>
        <v>15000</v>
      </c>
    </row>
    <row r="42" spans="1:13" ht="30.75" customHeight="1">
      <c r="A42" s="224" t="s">
        <v>490</v>
      </c>
      <c r="B42" s="249" t="s">
        <v>613</v>
      </c>
      <c r="C42" s="219"/>
      <c r="D42" s="618"/>
      <c r="E42" s="619"/>
      <c r="F42" s="219">
        <f t="shared" si="0"/>
        <v>0</v>
      </c>
      <c r="G42" s="236">
        <f>2039211-235153</f>
        <v>1804058</v>
      </c>
      <c r="H42" s="230">
        <f>22279919+850900</f>
        <v>23130819</v>
      </c>
      <c r="I42" s="219">
        <f t="shared" si="1"/>
        <v>24934877</v>
      </c>
      <c r="J42" s="232"/>
      <c r="K42" s="233"/>
      <c r="L42" s="219">
        <f t="shared" si="2"/>
        <v>0</v>
      </c>
      <c r="M42" s="223">
        <f t="shared" si="3"/>
        <v>24934877</v>
      </c>
    </row>
    <row r="43" spans="1:13" ht="30.75" customHeight="1">
      <c r="A43" s="224" t="s">
        <v>491</v>
      </c>
      <c r="B43" s="226" t="s">
        <v>543</v>
      </c>
      <c r="C43" s="225" t="s">
        <v>718</v>
      </c>
      <c r="D43" s="229">
        <f>95585+527827</f>
        <v>623412</v>
      </c>
      <c r="E43" s="619"/>
      <c r="F43" s="219">
        <f t="shared" si="0"/>
        <v>623412</v>
      </c>
      <c r="G43" s="236"/>
      <c r="H43" s="230"/>
      <c r="I43" s="219">
        <f t="shared" si="1"/>
        <v>0</v>
      </c>
      <c r="J43" s="232"/>
      <c r="K43" s="233"/>
      <c r="L43" s="219">
        <f t="shared" si="2"/>
        <v>0</v>
      </c>
      <c r="M43" s="223">
        <f t="shared" si="3"/>
        <v>623412</v>
      </c>
    </row>
    <row r="44" spans="1:13" ht="30.75" customHeight="1">
      <c r="A44" s="224" t="s">
        <v>870</v>
      </c>
      <c r="B44" s="226" t="s">
        <v>379</v>
      </c>
      <c r="C44" s="225" t="s">
        <v>718</v>
      </c>
      <c r="D44" s="229">
        <f>1768202+348675</f>
        <v>2116877</v>
      </c>
      <c r="E44" s="230">
        <v>807720</v>
      </c>
      <c r="F44" s="219">
        <f t="shared" si="0"/>
        <v>2924597</v>
      </c>
      <c r="G44" s="236"/>
      <c r="H44" s="230"/>
      <c r="I44" s="219">
        <f t="shared" si="1"/>
        <v>0</v>
      </c>
      <c r="J44" s="232"/>
      <c r="K44" s="233"/>
      <c r="L44" s="219">
        <f t="shared" si="2"/>
        <v>0</v>
      </c>
      <c r="M44" s="223">
        <f t="shared" si="3"/>
        <v>2924597</v>
      </c>
    </row>
    <row r="45" spans="1:13" ht="30.75" customHeight="1">
      <c r="A45" s="224" t="s">
        <v>871</v>
      </c>
      <c r="B45" s="226" t="s">
        <v>85</v>
      </c>
      <c r="C45" s="237" t="s">
        <v>719</v>
      </c>
      <c r="D45" s="229"/>
      <c r="E45" s="230"/>
      <c r="F45" s="219">
        <f t="shared" si="0"/>
        <v>0</v>
      </c>
      <c r="G45" s="236">
        <v>12859</v>
      </c>
      <c r="H45" s="230"/>
      <c r="I45" s="219">
        <f t="shared" si="1"/>
        <v>12859</v>
      </c>
      <c r="J45" s="232"/>
      <c r="K45" s="233"/>
      <c r="L45" s="219">
        <f t="shared" si="2"/>
        <v>0</v>
      </c>
      <c r="M45" s="223">
        <f t="shared" si="3"/>
        <v>12859</v>
      </c>
    </row>
    <row r="46" spans="1:13" ht="34.5" customHeight="1">
      <c r="A46" s="224" t="s">
        <v>877</v>
      </c>
      <c r="B46" s="226" t="s">
        <v>1154</v>
      </c>
      <c r="C46" s="225"/>
      <c r="D46" s="618"/>
      <c r="E46" s="619"/>
      <c r="F46" s="219">
        <f t="shared" si="0"/>
        <v>0</v>
      </c>
      <c r="G46" s="236">
        <f>17772766-3600833-834330-13337603+8400000+1656000+10749062</f>
        <v>20805062</v>
      </c>
      <c r="H46" s="230">
        <v>830000</v>
      </c>
      <c r="I46" s="219">
        <f t="shared" si="1"/>
        <v>21635062</v>
      </c>
      <c r="J46" s="232"/>
      <c r="K46" s="233"/>
      <c r="L46" s="219">
        <f t="shared" si="2"/>
        <v>0</v>
      </c>
      <c r="M46" s="223">
        <f t="shared" si="3"/>
        <v>21635062</v>
      </c>
    </row>
    <row r="47" spans="1:13" ht="34.5" customHeight="1">
      <c r="A47" s="224" t="s">
        <v>878</v>
      </c>
      <c r="B47" s="226" t="s">
        <v>1113</v>
      </c>
      <c r="C47" s="241" t="s">
        <v>720</v>
      </c>
      <c r="D47" s="230">
        <f>4454365+867408+5771921+66142</f>
        <v>11159836</v>
      </c>
      <c r="E47" s="230">
        <f>3055442+103900</f>
        <v>3159342</v>
      </c>
      <c r="F47" s="219">
        <f t="shared" si="0"/>
        <v>14319178</v>
      </c>
      <c r="G47" s="236"/>
      <c r="H47" s="230"/>
      <c r="I47" s="219">
        <f t="shared" si="1"/>
        <v>0</v>
      </c>
      <c r="J47" s="232"/>
      <c r="K47" s="233"/>
      <c r="L47" s="219">
        <f t="shared" si="2"/>
        <v>0</v>
      </c>
      <c r="M47" s="223">
        <f t="shared" si="3"/>
        <v>14319178</v>
      </c>
    </row>
    <row r="48" spans="1:13" ht="34.5" customHeight="1">
      <c r="A48" s="224" t="s">
        <v>889</v>
      </c>
      <c r="B48" s="226" t="s">
        <v>978</v>
      </c>
      <c r="C48" s="225"/>
      <c r="D48" s="229">
        <v>46939</v>
      </c>
      <c r="E48" s="230">
        <f>1576197+29947750</f>
        <v>31523947</v>
      </c>
      <c r="F48" s="219">
        <f t="shared" si="0"/>
        <v>31570886</v>
      </c>
      <c r="G48" s="236"/>
      <c r="H48" s="230"/>
      <c r="I48" s="219">
        <f t="shared" si="1"/>
        <v>0</v>
      </c>
      <c r="J48" s="232"/>
      <c r="K48" s="233"/>
      <c r="L48" s="219">
        <f t="shared" si="2"/>
        <v>0</v>
      </c>
      <c r="M48" s="223">
        <f t="shared" si="3"/>
        <v>31570886</v>
      </c>
    </row>
    <row r="49" spans="1:13" ht="23.25" customHeight="1">
      <c r="A49" s="224" t="s">
        <v>987</v>
      </c>
      <c r="B49" s="226" t="s">
        <v>608</v>
      </c>
      <c r="C49" s="241"/>
      <c r="D49" s="620"/>
      <c r="E49" s="621"/>
      <c r="F49" s="219">
        <f t="shared" si="0"/>
        <v>0</v>
      </c>
      <c r="G49" s="240">
        <f>4592665-4592665</f>
        <v>0</v>
      </c>
      <c r="H49" s="621"/>
      <c r="I49" s="219">
        <f t="shared" si="1"/>
        <v>0</v>
      </c>
      <c r="J49" s="232"/>
      <c r="K49" s="233"/>
      <c r="L49" s="219">
        <f t="shared" si="2"/>
        <v>0</v>
      </c>
      <c r="M49" s="223">
        <f t="shared" si="3"/>
        <v>0</v>
      </c>
    </row>
    <row r="50" spans="1:13" ht="36">
      <c r="A50" s="224" t="s">
        <v>988</v>
      </c>
      <c r="B50" s="226" t="s">
        <v>1157</v>
      </c>
      <c r="C50" s="241"/>
      <c r="D50" s="620"/>
      <c r="E50" s="621"/>
      <c r="F50" s="219"/>
      <c r="G50" s="240">
        <f>12762600+2999211+15053577+1564044</f>
        <v>32379432</v>
      </c>
      <c r="H50" s="621"/>
      <c r="I50" s="219">
        <f t="shared" si="1"/>
        <v>32379432</v>
      </c>
      <c r="J50" s="232"/>
      <c r="K50" s="233"/>
      <c r="L50" s="219"/>
      <c r="M50" s="223">
        <f t="shared" si="3"/>
        <v>32379432</v>
      </c>
    </row>
    <row r="51" spans="1:13" ht="24" customHeight="1">
      <c r="A51" s="224" t="s">
        <v>1016</v>
      </c>
      <c r="B51" s="226" t="s">
        <v>642</v>
      </c>
      <c r="C51" s="235" t="s">
        <v>728</v>
      </c>
      <c r="D51" s="238">
        <f>56893304-15</f>
        <v>56893289</v>
      </c>
      <c r="E51" s="239">
        <f>10986734+15</f>
        <v>10986749</v>
      </c>
      <c r="F51" s="219">
        <f t="shared" si="0"/>
        <v>67880038</v>
      </c>
      <c r="G51" s="625"/>
      <c r="H51" s="621"/>
      <c r="I51" s="219">
        <f t="shared" si="1"/>
        <v>0</v>
      </c>
      <c r="J51" s="232"/>
      <c r="K51" s="233"/>
      <c r="L51" s="219">
        <f t="shared" si="2"/>
        <v>0</v>
      </c>
      <c r="M51" s="223">
        <f t="shared" si="3"/>
        <v>67880038</v>
      </c>
    </row>
    <row r="52" spans="1:13" ht="24">
      <c r="A52" s="224" t="s">
        <v>1018</v>
      </c>
      <c r="B52" s="226" t="s">
        <v>610</v>
      </c>
      <c r="C52" s="225"/>
      <c r="D52" s="620"/>
      <c r="E52" s="621"/>
      <c r="F52" s="219">
        <f>SUM(D52:E52)</f>
        <v>0</v>
      </c>
      <c r="G52" s="240">
        <v>117194</v>
      </c>
      <c r="H52" s="621"/>
      <c r="I52" s="219">
        <f>SUM(G52:H52)</f>
        <v>117194</v>
      </c>
      <c r="J52" s="232"/>
      <c r="K52" s="233"/>
      <c r="L52" s="219">
        <f>SUM(J52:K52)</f>
        <v>0</v>
      </c>
      <c r="M52" s="223">
        <f t="shared" si="3"/>
        <v>117194</v>
      </c>
    </row>
    <row r="53" spans="1:13" ht="21.75" customHeight="1">
      <c r="A53" s="224" t="s">
        <v>1019</v>
      </c>
      <c r="B53" s="242" t="s">
        <v>704</v>
      </c>
      <c r="C53" s="237"/>
      <c r="D53" s="618"/>
      <c r="E53" s="619"/>
      <c r="F53" s="219">
        <f t="shared" si="0"/>
        <v>0</v>
      </c>
      <c r="G53" s="231">
        <f>37171000+5275000-3663000-228600-1054591-857250</f>
        <v>36642559</v>
      </c>
      <c r="H53" s="619"/>
      <c r="I53" s="219">
        <f t="shared" si="1"/>
        <v>36642559</v>
      </c>
      <c r="J53" s="232"/>
      <c r="K53" s="233"/>
      <c r="L53" s="219">
        <f t="shared" si="2"/>
        <v>0</v>
      </c>
      <c r="M53" s="223">
        <f t="shared" si="3"/>
        <v>36642559</v>
      </c>
    </row>
    <row r="54" spans="1:13" ht="21.75" customHeight="1">
      <c r="A54" s="224" t="s">
        <v>1114</v>
      </c>
      <c r="B54" s="242" t="s">
        <v>863</v>
      </c>
      <c r="C54" s="237" t="s">
        <v>872</v>
      </c>
      <c r="D54" s="229">
        <f>4562000+3015000-760000</f>
        <v>6817000</v>
      </c>
      <c r="E54" s="619"/>
      <c r="F54" s="219">
        <f t="shared" si="0"/>
        <v>6817000</v>
      </c>
      <c r="G54" s="231"/>
      <c r="H54" s="619"/>
      <c r="I54" s="219">
        <f t="shared" si="1"/>
        <v>0</v>
      </c>
      <c r="J54" s="232"/>
      <c r="K54" s="233"/>
      <c r="L54" s="219">
        <f t="shared" si="2"/>
        <v>0</v>
      </c>
      <c r="M54" s="223">
        <f t="shared" si="3"/>
        <v>6817000</v>
      </c>
    </row>
    <row r="55" spans="1:13" ht="36">
      <c r="A55" s="224" t="s">
        <v>1115</v>
      </c>
      <c r="B55" s="254" t="s">
        <v>1011</v>
      </c>
      <c r="C55" s="235"/>
      <c r="D55" s="238"/>
      <c r="E55" s="239"/>
      <c r="F55" s="253">
        <f>SUM(D55:E55)</f>
        <v>0</v>
      </c>
      <c r="G55" s="238">
        <v>0</v>
      </c>
      <c r="H55" s="239">
        <v>1920000</v>
      </c>
      <c r="I55" s="253">
        <f>SUM(G55:H55)</f>
        <v>1920000</v>
      </c>
      <c r="J55" s="232"/>
      <c r="K55" s="232"/>
      <c r="L55" s="253">
        <f>SUM(J55:K55)</f>
        <v>0</v>
      </c>
      <c r="M55" s="223">
        <f t="shared" si="3"/>
        <v>1920000</v>
      </c>
    </row>
    <row r="56" spans="1:13" ht="24" customHeight="1">
      <c r="A56" s="224" t="s">
        <v>1159</v>
      </c>
      <c r="B56" s="226" t="s">
        <v>644</v>
      </c>
      <c r="C56" s="235" t="s">
        <v>733</v>
      </c>
      <c r="D56" s="238">
        <f>2114700-36480</f>
        <v>2078220</v>
      </c>
      <c r="E56" s="621"/>
      <c r="F56" s="219">
        <f>SUM(D56:E56)</f>
        <v>2078220</v>
      </c>
      <c r="G56" s="625"/>
      <c r="H56" s="621"/>
      <c r="I56" s="219">
        <f>SUM(G56:H56)</f>
        <v>0</v>
      </c>
      <c r="J56" s="232"/>
      <c r="K56" s="233"/>
      <c r="L56" s="219">
        <f aca="true" t="shared" si="4" ref="L56:L66">SUM(J56:K56)</f>
        <v>0</v>
      </c>
      <c r="M56" s="223">
        <f t="shared" si="3"/>
        <v>2078220</v>
      </c>
    </row>
    <row r="57" spans="1:13" ht="36">
      <c r="A57" s="224" t="s">
        <v>1160</v>
      </c>
      <c r="B57" s="242" t="s">
        <v>1185</v>
      </c>
      <c r="C57" s="237"/>
      <c r="D57" s="618"/>
      <c r="E57" s="619"/>
      <c r="F57" s="219">
        <f t="shared" si="0"/>
        <v>0</v>
      </c>
      <c r="G57" s="231">
        <f>60353914+27815502+6738701+54417221+12762600+2999211+15053577+1564044+10976885-2893619-12762600-2999211-15053577-1564044-27815502-6738701-65394106-1250000</f>
        <v>56210295</v>
      </c>
      <c r="H57" s="230">
        <f>8983129+6528562+2893619-8983129-6528562+1250000</f>
        <v>4143619</v>
      </c>
      <c r="I57" s="219">
        <f t="shared" si="1"/>
        <v>60353914</v>
      </c>
      <c r="J57" s="232"/>
      <c r="K57" s="233"/>
      <c r="L57" s="219">
        <f t="shared" si="4"/>
        <v>0</v>
      </c>
      <c r="M57" s="223">
        <f t="shared" si="3"/>
        <v>60353914</v>
      </c>
    </row>
    <row r="58" spans="1:13" ht="29.25" customHeight="1">
      <c r="A58" s="224" t="s">
        <v>1161</v>
      </c>
      <c r="B58" s="242" t="s">
        <v>874</v>
      </c>
      <c r="C58" s="219" t="s">
        <v>873</v>
      </c>
      <c r="D58" s="618"/>
      <c r="E58" s="619"/>
      <c r="F58" s="219">
        <f t="shared" si="0"/>
        <v>0</v>
      </c>
      <c r="G58" s="231">
        <f>3712000+922000-618000</f>
        <v>4016000</v>
      </c>
      <c r="H58" s="619"/>
      <c r="I58" s="219">
        <f t="shared" si="1"/>
        <v>4016000</v>
      </c>
      <c r="J58" s="232"/>
      <c r="K58" s="233"/>
      <c r="L58" s="219">
        <f t="shared" si="4"/>
        <v>0</v>
      </c>
      <c r="M58" s="223">
        <f t="shared" si="3"/>
        <v>4016000</v>
      </c>
    </row>
    <row r="59" spans="1:13" ht="29.25" customHeight="1">
      <c r="A59" s="224" t="s">
        <v>1162</v>
      </c>
      <c r="B59" s="242" t="s">
        <v>875</v>
      </c>
      <c r="C59" s="219" t="s">
        <v>873</v>
      </c>
      <c r="D59" s="618"/>
      <c r="E59" s="619"/>
      <c r="F59" s="219">
        <f t="shared" si="0"/>
        <v>0</v>
      </c>
      <c r="G59" s="231">
        <f>4717000+1397000-787000</f>
        <v>5327000</v>
      </c>
      <c r="H59" s="619"/>
      <c r="I59" s="219">
        <f t="shared" si="1"/>
        <v>5327000</v>
      </c>
      <c r="J59" s="232"/>
      <c r="K59" s="233"/>
      <c r="L59" s="219">
        <f t="shared" si="4"/>
        <v>0</v>
      </c>
      <c r="M59" s="223">
        <f t="shared" si="3"/>
        <v>5327000</v>
      </c>
    </row>
    <row r="60" spans="1:13" ht="21.75" customHeight="1">
      <c r="A60" s="224" t="s">
        <v>1163</v>
      </c>
      <c r="B60" s="242" t="s">
        <v>451</v>
      </c>
      <c r="C60" s="237" t="s">
        <v>721</v>
      </c>
      <c r="D60" s="229">
        <f>2400000+200000+1838000+2261329-306000+857250</f>
        <v>7250579</v>
      </c>
      <c r="E60" s="619"/>
      <c r="F60" s="219">
        <f t="shared" si="0"/>
        <v>7250579</v>
      </c>
      <c r="G60" s="623"/>
      <c r="H60" s="619"/>
      <c r="I60" s="219">
        <f t="shared" si="1"/>
        <v>0</v>
      </c>
      <c r="J60" s="232"/>
      <c r="K60" s="233"/>
      <c r="L60" s="219">
        <f t="shared" si="4"/>
        <v>0</v>
      </c>
      <c r="M60" s="223">
        <f t="shared" si="3"/>
        <v>7250579</v>
      </c>
    </row>
    <row r="61" spans="1:13" ht="21.75" customHeight="1">
      <c r="A61" s="224" t="s">
        <v>1164</v>
      </c>
      <c r="B61" s="242" t="s">
        <v>869</v>
      </c>
      <c r="C61" s="237" t="s">
        <v>876</v>
      </c>
      <c r="D61" s="229">
        <f>3719000+1625335-619000</f>
        <v>4725335</v>
      </c>
      <c r="E61" s="619"/>
      <c r="F61" s="219">
        <f t="shared" si="0"/>
        <v>4725335</v>
      </c>
      <c r="G61" s="623"/>
      <c r="H61" s="619"/>
      <c r="I61" s="219">
        <f t="shared" si="1"/>
        <v>0</v>
      </c>
      <c r="J61" s="232"/>
      <c r="K61" s="233"/>
      <c r="L61" s="219">
        <f t="shared" si="4"/>
        <v>0</v>
      </c>
      <c r="M61" s="223">
        <f t="shared" si="3"/>
        <v>4725335</v>
      </c>
    </row>
    <row r="62" spans="1:13" ht="26.25" customHeight="1">
      <c r="A62" s="224" t="s">
        <v>1165</v>
      </c>
      <c r="B62" s="226" t="s">
        <v>614</v>
      </c>
      <c r="C62" s="219" t="s">
        <v>729</v>
      </c>
      <c r="D62" s="229">
        <f>2942222+15000</f>
        <v>2957222</v>
      </c>
      <c r="E62" s="619"/>
      <c r="F62" s="219">
        <f t="shared" si="0"/>
        <v>2957222</v>
      </c>
      <c r="G62" s="623"/>
      <c r="H62" s="619"/>
      <c r="I62" s="219">
        <f t="shared" si="1"/>
        <v>0</v>
      </c>
      <c r="J62" s="232"/>
      <c r="K62" s="233"/>
      <c r="L62" s="219">
        <f t="shared" si="4"/>
        <v>0</v>
      </c>
      <c r="M62" s="223">
        <f t="shared" si="3"/>
        <v>2957222</v>
      </c>
    </row>
    <row r="63" spans="1:13" ht="36">
      <c r="A63" s="224" t="s">
        <v>1166</v>
      </c>
      <c r="B63" s="226" t="s">
        <v>1186</v>
      </c>
      <c r="C63" s="225"/>
      <c r="D63" s="229"/>
      <c r="E63" s="619"/>
      <c r="F63" s="219">
        <f t="shared" si="0"/>
        <v>0</v>
      </c>
      <c r="G63" s="219">
        <f>27815502+6738701+65394106-6000000-720000-140400</f>
        <v>93087909</v>
      </c>
      <c r="H63" s="230">
        <f>8983129+6528562+6000000</f>
        <v>21511691</v>
      </c>
      <c r="I63" s="219">
        <f t="shared" si="1"/>
        <v>114599600</v>
      </c>
      <c r="J63" s="232"/>
      <c r="K63" s="232"/>
      <c r="L63" s="219"/>
      <c r="M63" s="223">
        <f t="shared" si="3"/>
        <v>114599600</v>
      </c>
    </row>
    <row r="64" spans="1:13" ht="36">
      <c r="A64" s="224" t="s">
        <v>1188</v>
      </c>
      <c r="B64" s="226" t="s">
        <v>1187</v>
      </c>
      <c r="C64" s="225"/>
      <c r="D64" s="229"/>
      <c r="E64" s="619"/>
      <c r="F64" s="219">
        <f t="shared" si="0"/>
        <v>0</v>
      </c>
      <c r="G64" s="231">
        <f>3600833+834330+13337603</f>
        <v>17772766</v>
      </c>
      <c r="H64" s="230">
        <v>2497100</v>
      </c>
      <c r="I64" s="219">
        <f t="shared" si="1"/>
        <v>20269866</v>
      </c>
      <c r="J64" s="232"/>
      <c r="K64" s="232"/>
      <c r="L64" s="219"/>
      <c r="M64" s="223">
        <f t="shared" si="3"/>
        <v>20269866</v>
      </c>
    </row>
    <row r="65" spans="1:13" s="195" customFormat="1" ht="27.75" customHeight="1">
      <c r="A65" s="224" t="s">
        <v>1189</v>
      </c>
      <c r="B65" s="226" t="s">
        <v>375</v>
      </c>
      <c r="C65" s="225" t="s">
        <v>722</v>
      </c>
      <c r="D65" s="229">
        <f>2495000-63500-68000-30000-90000-146050-190500-150000-261950+59808757+9782649-7679730+553029-553029-602617-1492000-8045171-7935168-4176519-28922-20906574-217072-8171955-6323709-100000-3358940</f>
        <v>2048029</v>
      </c>
      <c r="E65" s="230">
        <f>5000000+4176519-1269600+3500000</f>
        <v>11406919</v>
      </c>
      <c r="F65" s="219">
        <f t="shared" si="0"/>
        <v>13454948</v>
      </c>
      <c r="G65" s="229">
        <f>3433000-1576197-1055350-288050-513403</f>
        <v>0</v>
      </c>
      <c r="H65" s="619"/>
      <c r="I65" s="219">
        <f t="shared" si="1"/>
        <v>0</v>
      </c>
      <c r="J65" s="244"/>
      <c r="K65" s="244"/>
      <c r="L65" s="219">
        <f t="shared" si="4"/>
        <v>0</v>
      </c>
      <c r="M65" s="223">
        <f t="shared" si="3"/>
        <v>13454948</v>
      </c>
    </row>
    <row r="66" spans="1:13" ht="24.75" customHeight="1" thickBot="1">
      <c r="A66" s="224" t="s">
        <v>1203</v>
      </c>
      <c r="B66" s="226" t="s">
        <v>611</v>
      </c>
      <c r="C66" s="246"/>
      <c r="D66" s="629"/>
      <c r="E66" s="630"/>
      <c r="F66" s="253">
        <f t="shared" si="0"/>
        <v>0</v>
      </c>
      <c r="G66" s="631">
        <v>7848600</v>
      </c>
      <c r="H66" s="630"/>
      <c r="I66" s="253">
        <f t="shared" si="1"/>
        <v>7848600</v>
      </c>
      <c r="J66" s="632"/>
      <c r="K66" s="632"/>
      <c r="L66" s="253">
        <f t="shared" si="4"/>
        <v>0</v>
      </c>
      <c r="M66" s="223">
        <f t="shared" si="3"/>
        <v>7848600</v>
      </c>
    </row>
    <row r="67" spans="1:16" s="195" customFormat="1" ht="14.25" thickBot="1">
      <c r="A67" s="1059" t="s">
        <v>705</v>
      </c>
      <c r="B67" s="1060"/>
      <c r="C67" s="1061"/>
      <c r="D67" s="251">
        <f aca="true" t="shared" si="5" ref="D67:M67">SUM(D9:D66)</f>
        <v>642508240</v>
      </c>
      <c r="E67" s="633">
        <f t="shared" si="5"/>
        <v>229707531</v>
      </c>
      <c r="F67" s="634">
        <f t="shared" si="5"/>
        <v>872215771</v>
      </c>
      <c r="G67" s="633">
        <f t="shared" si="5"/>
        <v>289045668</v>
      </c>
      <c r="H67" s="633">
        <f t="shared" si="5"/>
        <v>675626809</v>
      </c>
      <c r="I67" s="634">
        <f t="shared" si="5"/>
        <v>964672477</v>
      </c>
      <c r="J67" s="633">
        <f t="shared" si="5"/>
        <v>50266760</v>
      </c>
      <c r="K67" s="633">
        <f t="shared" si="5"/>
        <v>730660</v>
      </c>
      <c r="L67" s="634">
        <f t="shared" si="5"/>
        <v>50997420</v>
      </c>
      <c r="M67" s="634">
        <f t="shared" si="5"/>
        <v>1887885668</v>
      </c>
      <c r="P67" s="466">
        <f>SUM(L67,I67,F67)</f>
        <v>1887885668</v>
      </c>
    </row>
    <row r="68" spans="1:13" ht="30.75" customHeight="1">
      <c r="A68" s="228" t="s">
        <v>389</v>
      </c>
      <c r="B68" s="226" t="s">
        <v>61</v>
      </c>
      <c r="C68" s="216" t="s">
        <v>723</v>
      </c>
      <c r="D68" s="247">
        <f>119407796+385000+75075+439819+1083000+211188</f>
        <v>121601878</v>
      </c>
      <c r="E68" s="248">
        <f>1229404-139700+1269600</f>
        <v>2359304</v>
      </c>
      <c r="F68" s="219">
        <f>SUM(D68:E68)</f>
        <v>123961182</v>
      </c>
      <c r="G68" s="247"/>
      <c r="H68" s="248"/>
      <c r="I68" s="216">
        <f>SUM(G68:H68)</f>
        <v>0</v>
      </c>
      <c r="J68" s="247"/>
      <c r="K68" s="248"/>
      <c r="L68" s="216">
        <f>SUM(J68:K68)</f>
        <v>0</v>
      </c>
      <c r="M68" s="223">
        <f>SUM(L68,I68,F68)</f>
        <v>123961182</v>
      </c>
    </row>
    <row r="69" spans="1:13" ht="36">
      <c r="A69" s="228" t="s">
        <v>390</v>
      </c>
      <c r="B69" s="249" t="s">
        <v>617</v>
      </c>
      <c r="C69" s="250" t="s">
        <v>619</v>
      </c>
      <c r="D69" s="229">
        <v>6018160</v>
      </c>
      <c r="E69" s="230"/>
      <c r="F69" s="219">
        <f>SUM(D69:E69)</f>
        <v>6018160</v>
      </c>
      <c r="G69" s="229"/>
      <c r="H69" s="230"/>
      <c r="I69" s="219">
        <f>SUM(G69:H69)</f>
        <v>0</v>
      </c>
      <c r="J69" s="229"/>
      <c r="K69" s="230"/>
      <c r="L69" s="219">
        <f>SUM(J69:K69)</f>
        <v>0</v>
      </c>
      <c r="M69" s="223">
        <f>SUM(L69,I69,F69)</f>
        <v>6018160</v>
      </c>
    </row>
    <row r="70" spans="1:13" ht="24.75" thickBot="1">
      <c r="A70" s="765" t="s">
        <v>391</v>
      </c>
      <c r="B70" s="766" t="s">
        <v>885</v>
      </c>
      <c r="C70" s="767" t="s">
        <v>891</v>
      </c>
      <c r="D70" s="763">
        <f>1969798+34746+2370+6373+2234-8607</f>
        <v>2006914</v>
      </c>
      <c r="E70" s="764">
        <v>139700</v>
      </c>
      <c r="F70" s="219">
        <f>SUM(D70:E70)</f>
        <v>2146614</v>
      </c>
      <c r="G70" s="763"/>
      <c r="H70" s="764"/>
      <c r="I70" s="219">
        <f>SUM(G70:H70)</f>
        <v>0</v>
      </c>
      <c r="J70" s="763"/>
      <c r="K70" s="764"/>
      <c r="L70" s="219">
        <f>SUM(J70:K70)</f>
        <v>0</v>
      </c>
      <c r="M70" s="223">
        <f>SUM(L70,I70,F70)</f>
        <v>2146614</v>
      </c>
    </row>
    <row r="71" spans="1:16" s="195" customFormat="1" ht="16.5" customHeight="1" thickBot="1">
      <c r="A71" s="1059" t="s">
        <v>492</v>
      </c>
      <c r="B71" s="1060"/>
      <c r="C71" s="1061"/>
      <c r="D71" s="251">
        <f aca="true" t="shared" si="6" ref="D71:M71">SUM(D68:D70)</f>
        <v>129626952</v>
      </c>
      <c r="E71" s="633">
        <f t="shared" si="6"/>
        <v>2499004</v>
      </c>
      <c r="F71" s="634">
        <f t="shared" si="6"/>
        <v>132125956</v>
      </c>
      <c r="G71" s="633">
        <f t="shared" si="6"/>
        <v>0</v>
      </c>
      <c r="H71" s="633">
        <f t="shared" si="6"/>
        <v>0</v>
      </c>
      <c r="I71" s="634">
        <f t="shared" si="6"/>
        <v>0</v>
      </c>
      <c r="J71" s="633">
        <f t="shared" si="6"/>
        <v>0</v>
      </c>
      <c r="K71" s="633">
        <f t="shared" si="6"/>
        <v>0</v>
      </c>
      <c r="L71" s="634">
        <f t="shared" si="6"/>
        <v>0</v>
      </c>
      <c r="M71" s="634">
        <f t="shared" si="6"/>
        <v>132125956</v>
      </c>
      <c r="P71" s="466"/>
    </row>
    <row r="72" spans="1:13" ht="23.25" customHeight="1">
      <c r="A72" s="214" t="s">
        <v>389</v>
      </c>
      <c r="B72" s="254" t="s">
        <v>493</v>
      </c>
      <c r="C72" s="235" t="s">
        <v>728</v>
      </c>
      <c r="D72" s="255">
        <f>30823296-846880</f>
        <v>29976416</v>
      </c>
      <c r="E72" s="256"/>
      <c r="F72" s="253">
        <f aca="true" t="shared" si="7" ref="F72:F83">SUM(D72:E72)</f>
        <v>29976416</v>
      </c>
      <c r="G72" s="255"/>
      <c r="H72" s="256"/>
      <c r="I72" s="253">
        <f aca="true" t="shared" si="8" ref="I72:I83">SUM(G72:H72)</f>
        <v>0</v>
      </c>
      <c r="J72" s="255"/>
      <c r="K72" s="256"/>
      <c r="L72" s="253">
        <f aca="true" t="shared" si="9" ref="L72:L83">SUM(J72:K72)</f>
        <v>0</v>
      </c>
      <c r="M72" s="223">
        <f aca="true" t="shared" si="10" ref="M72:M83">SUM(L72,I72,F72)</f>
        <v>29976416</v>
      </c>
    </row>
    <row r="73" spans="1:13" ht="23.25" customHeight="1">
      <c r="A73" s="224" t="s">
        <v>390</v>
      </c>
      <c r="B73" s="226" t="s">
        <v>494</v>
      </c>
      <c r="C73" s="268" t="s">
        <v>724</v>
      </c>
      <c r="D73" s="238">
        <f>128358348-7297240-1422962-336000-65520-96000-170000+433600+84552-84541-195000-79900-198285-76969</f>
        <v>118854083</v>
      </c>
      <c r="E73" s="239">
        <f>139700+84541+79900+76969</f>
        <v>381110</v>
      </c>
      <c r="F73" s="219">
        <f t="shared" si="7"/>
        <v>119235193</v>
      </c>
      <c r="G73" s="245"/>
      <c r="H73" s="243"/>
      <c r="I73" s="219">
        <f t="shared" si="8"/>
        <v>0</v>
      </c>
      <c r="J73" s="232"/>
      <c r="K73" s="232"/>
      <c r="L73" s="219">
        <f t="shared" si="9"/>
        <v>0</v>
      </c>
      <c r="M73" s="223">
        <f t="shared" si="10"/>
        <v>119235193</v>
      </c>
    </row>
    <row r="74" spans="1:13" ht="23.25" customHeight="1">
      <c r="A74" s="224" t="s">
        <v>391</v>
      </c>
      <c r="B74" s="226" t="s">
        <v>495</v>
      </c>
      <c r="C74" s="235" t="s">
        <v>724</v>
      </c>
      <c r="D74" s="238">
        <f>13449095-2801679-541561-201728</f>
        <v>9904127</v>
      </c>
      <c r="E74" s="239"/>
      <c r="F74" s="219">
        <f t="shared" si="7"/>
        <v>9904127</v>
      </c>
      <c r="G74" s="245"/>
      <c r="H74" s="243"/>
      <c r="I74" s="219">
        <f t="shared" si="8"/>
        <v>0</v>
      </c>
      <c r="J74" s="232"/>
      <c r="K74" s="232"/>
      <c r="L74" s="219">
        <f t="shared" si="9"/>
        <v>0</v>
      </c>
      <c r="M74" s="223">
        <f t="shared" si="10"/>
        <v>9904127</v>
      </c>
    </row>
    <row r="75" spans="1:13" ht="23.25" customHeight="1">
      <c r="A75" s="224" t="s">
        <v>392</v>
      </c>
      <c r="B75" s="226" t="s">
        <v>1130</v>
      </c>
      <c r="C75" s="268"/>
      <c r="D75" s="238"/>
      <c r="E75" s="239"/>
      <c r="F75" s="219">
        <f t="shared" si="7"/>
        <v>0</v>
      </c>
      <c r="G75" s="240">
        <f>621002+121098</f>
        <v>742100</v>
      </c>
      <c r="H75" s="243"/>
      <c r="I75" s="219">
        <f t="shared" si="8"/>
        <v>742100</v>
      </c>
      <c r="J75" s="232"/>
      <c r="K75" s="232"/>
      <c r="L75" s="219">
        <f t="shared" si="9"/>
        <v>0</v>
      </c>
      <c r="M75" s="223">
        <f t="shared" si="10"/>
        <v>742100</v>
      </c>
    </row>
    <row r="76" spans="1:13" ht="23.25" customHeight="1">
      <c r="A76" s="224" t="s">
        <v>393</v>
      </c>
      <c r="B76" s="226" t="s">
        <v>584</v>
      </c>
      <c r="C76" s="268" t="s">
        <v>618</v>
      </c>
      <c r="D76" s="238">
        <f>23996793-152273+757761+147763+150000</f>
        <v>24900044</v>
      </c>
      <c r="E76" s="239">
        <f>88900+152273+768772</f>
        <v>1009945</v>
      </c>
      <c r="F76" s="219">
        <f t="shared" si="7"/>
        <v>25909989</v>
      </c>
      <c r="G76" s="245"/>
      <c r="H76" s="243"/>
      <c r="I76" s="219">
        <f t="shared" si="8"/>
        <v>0</v>
      </c>
      <c r="J76" s="232"/>
      <c r="K76" s="232"/>
      <c r="L76" s="219">
        <f t="shared" si="9"/>
        <v>0</v>
      </c>
      <c r="M76" s="223">
        <f t="shared" si="10"/>
        <v>25909989</v>
      </c>
    </row>
    <row r="77" spans="1:13" ht="23.25" customHeight="1">
      <c r="A77" s="224" t="s">
        <v>394</v>
      </c>
      <c r="B77" s="226" t="s">
        <v>706</v>
      </c>
      <c r="C77" s="268" t="s">
        <v>730</v>
      </c>
      <c r="D77" s="238">
        <f>18371172-151629</f>
        <v>18219543</v>
      </c>
      <c r="E77" s="239">
        <f>76200+151629</f>
        <v>227829</v>
      </c>
      <c r="F77" s="219">
        <f t="shared" si="7"/>
        <v>18447372</v>
      </c>
      <c r="G77" s="245"/>
      <c r="H77" s="243"/>
      <c r="I77" s="219">
        <f t="shared" si="8"/>
        <v>0</v>
      </c>
      <c r="J77" s="232"/>
      <c r="K77" s="232"/>
      <c r="L77" s="219">
        <f t="shared" si="9"/>
        <v>0</v>
      </c>
      <c r="M77" s="223">
        <f t="shared" si="10"/>
        <v>18447372</v>
      </c>
    </row>
    <row r="78" spans="1:13" ht="36">
      <c r="A78" s="224" t="s">
        <v>395</v>
      </c>
      <c r="B78" s="226" t="s">
        <v>1190</v>
      </c>
      <c r="C78" s="268"/>
      <c r="D78" s="238"/>
      <c r="E78" s="239"/>
      <c r="F78" s="219">
        <f t="shared" si="7"/>
        <v>0</v>
      </c>
      <c r="G78" s="240">
        <f>720000+140400</f>
        <v>860400</v>
      </c>
      <c r="H78" s="243"/>
      <c r="I78" s="219">
        <f t="shared" si="8"/>
        <v>860400</v>
      </c>
      <c r="J78" s="232"/>
      <c r="K78" s="232"/>
      <c r="L78" s="219">
        <f t="shared" si="9"/>
        <v>0</v>
      </c>
      <c r="M78" s="223">
        <f t="shared" si="10"/>
        <v>860400</v>
      </c>
    </row>
    <row r="79" spans="1:13" ht="24">
      <c r="A79" s="224" t="s">
        <v>396</v>
      </c>
      <c r="B79" s="226" t="s">
        <v>1191</v>
      </c>
      <c r="C79" s="268"/>
      <c r="D79" s="238"/>
      <c r="E79" s="239"/>
      <c r="F79" s="219">
        <f t="shared" si="7"/>
        <v>0</v>
      </c>
      <c r="G79" s="240">
        <f>40000+7020+22980</f>
        <v>70000</v>
      </c>
      <c r="H79" s="243"/>
      <c r="I79" s="219">
        <f t="shared" si="8"/>
        <v>70000</v>
      </c>
      <c r="J79" s="232"/>
      <c r="K79" s="232"/>
      <c r="L79" s="219">
        <f t="shared" si="9"/>
        <v>0</v>
      </c>
      <c r="M79" s="223">
        <f t="shared" si="10"/>
        <v>70000</v>
      </c>
    </row>
    <row r="80" spans="1:13" ht="23.25" customHeight="1">
      <c r="A80" s="224" t="s">
        <v>397</v>
      </c>
      <c r="B80" s="226" t="s">
        <v>707</v>
      </c>
      <c r="C80" s="268" t="s">
        <v>731</v>
      </c>
      <c r="D80" s="238"/>
      <c r="E80" s="239"/>
      <c r="F80" s="219">
        <f t="shared" si="7"/>
        <v>0</v>
      </c>
      <c r="G80" s="238">
        <f>11506731+66000+12870-35900</f>
        <v>11549701</v>
      </c>
      <c r="H80" s="239">
        <f>195000+35900</f>
        <v>230900</v>
      </c>
      <c r="I80" s="219">
        <f t="shared" si="8"/>
        <v>11780601</v>
      </c>
      <c r="J80" s="232"/>
      <c r="K80" s="232"/>
      <c r="L80" s="219">
        <f t="shared" si="9"/>
        <v>0</v>
      </c>
      <c r="M80" s="223">
        <f t="shared" si="10"/>
        <v>11780601</v>
      </c>
    </row>
    <row r="81" spans="1:13" ht="23.25" customHeight="1">
      <c r="A81" s="224" t="s">
        <v>398</v>
      </c>
      <c r="B81" s="226" t="s">
        <v>708</v>
      </c>
      <c r="C81" s="235" t="s">
        <v>728</v>
      </c>
      <c r="D81" s="238"/>
      <c r="E81" s="239"/>
      <c r="F81" s="219">
        <f t="shared" si="7"/>
        <v>0</v>
      </c>
      <c r="G81" s="238">
        <v>2665263</v>
      </c>
      <c r="H81" s="239"/>
      <c r="I81" s="219">
        <f t="shared" si="8"/>
        <v>2665263</v>
      </c>
      <c r="J81" s="232"/>
      <c r="K81" s="232"/>
      <c r="L81" s="219">
        <f t="shared" si="9"/>
        <v>0</v>
      </c>
      <c r="M81" s="223">
        <f t="shared" si="10"/>
        <v>2665263</v>
      </c>
    </row>
    <row r="82" spans="1:13" ht="23.25" customHeight="1">
      <c r="A82" s="224" t="s">
        <v>399</v>
      </c>
      <c r="B82" s="254" t="s">
        <v>544</v>
      </c>
      <c r="C82" s="235" t="s">
        <v>732</v>
      </c>
      <c r="D82" s="255"/>
      <c r="E82" s="256"/>
      <c r="F82" s="253">
        <f t="shared" si="7"/>
        <v>0</v>
      </c>
      <c r="G82" s="255">
        <f>6245112+3+17240-10240</f>
        <v>6252115</v>
      </c>
      <c r="H82" s="256">
        <f>123070+700924+198285+49430-39190</f>
        <v>1032519</v>
      </c>
      <c r="I82" s="253">
        <f t="shared" si="8"/>
        <v>7284634</v>
      </c>
      <c r="J82" s="255"/>
      <c r="K82" s="256"/>
      <c r="L82" s="253">
        <f t="shared" si="9"/>
        <v>0</v>
      </c>
      <c r="M82" s="223">
        <f t="shared" si="10"/>
        <v>7284634</v>
      </c>
    </row>
    <row r="83" spans="1:13" ht="39" customHeight="1">
      <c r="A83" s="224" t="s">
        <v>400</v>
      </c>
      <c r="B83" s="254" t="s">
        <v>887</v>
      </c>
      <c r="C83" s="268"/>
      <c r="D83" s="238"/>
      <c r="E83" s="239"/>
      <c r="F83" s="253">
        <f t="shared" si="7"/>
        <v>0</v>
      </c>
      <c r="G83" s="238">
        <v>43407259</v>
      </c>
      <c r="H83" s="239">
        <v>1687190</v>
      </c>
      <c r="I83" s="253">
        <f t="shared" si="8"/>
        <v>45094449</v>
      </c>
      <c r="J83" s="232"/>
      <c r="K83" s="232"/>
      <c r="L83" s="253">
        <f t="shared" si="9"/>
        <v>0</v>
      </c>
      <c r="M83" s="223">
        <f t="shared" si="10"/>
        <v>45094449</v>
      </c>
    </row>
    <row r="84" spans="1:13" ht="26.25" customHeight="1" thickBot="1">
      <c r="A84" s="224" t="s">
        <v>401</v>
      </c>
      <c r="B84" s="254" t="s">
        <v>886</v>
      </c>
      <c r="C84" s="235"/>
      <c r="D84" s="238"/>
      <c r="E84" s="239"/>
      <c r="F84" s="253">
        <f>SUM(D84:E84)</f>
        <v>0</v>
      </c>
      <c r="G84" s="238">
        <v>31099867</v>
      </c>
      <c r="H84" s="239">
        <v>2412553</v>
      </c>
      <c r="I84" s="253">
        <f>SUM(G84:H84)</f>
        <v>33512420</v>
      </c>
      <c r="J84" s="232"/>
      <c r="K84" s="232"/>
      <c r="L84" s="253">
        <f>SUM(J84:K84)</f>
        <v>0</v>
      </c>
      <c r="M84" s="223">
        <f>SUM(L84,I84,F84)</f>
        <v>33512420</v>
      </c>
    </row>
    <row r="85" spans="1:16" s="195" customFormat="1" ht="29.25" customHeight="1" thickBot="1">
      <c r="A85" s="1068" t="s">
        <v>800</v>
      </c>
      <c r="B85" s="1069"/>
      <c r="C85" s="1070"/>
      <c r="D85" s="251">
        <f aca="true" t="shared" si="11" ref="D85:M85">SUM(D72:D84)</f>
        <v>201854213</v>
      </c>
      <c r="E85" s="633">
        <f t="shared" si="11"/>
        <v>1618884</v>
      </c>
      <c r="F85" s="634">
        <f t="shared" si="11"/>
        <v>203473097</v>
      </c>
      <c r="G85" s="633">
        <f t="shared" si="11"/>
        <v>96646705</v>
      </c>
      <c r="H85" s="633">
        <f t="shared" si="11"/>
        <v>5363162</v>
      </c>
      <c r="I85" s="634">
        <f t="shared" si="11"/>
        <v>102009867</v>
      </c>
      <c r="J85" s="633">
        <f t="shared" si="11"/>
        <v>0</v>
      </c>
      <c r="K85" s="633">
        <f t="shared" si="11"/>
        <v>0</v>
      </c>
      <c r="L85" s="634">
        <f t="shared" si="11"/>
        <v>0</v>
      </c>
      <c r="M85" s="634">
        <f t="shared" si="11"/>
        <v>305482964</v>
      </c>
      <c r="P85" s="466">
        <f>SUM(L85,I85,F85)</f>
        <v>305482964</v>
      </c>
    </row>
    <row r="86" spans="1:13" ht="32.25" customHeight="1">
      <c r="A86" s="224" t="s">
        <v>389</v>
      </c>
      <c r="B86" s="234" t="s">
        <v>543</v>
      </c>
      <c r="C86" s="225" t="s">
        <v>718</v>
      </c>
      <c r="D86" s="229">
        <f>1100000-527827</f>
        <v>572173</v>
      </c>
      <c r="E86" s="230"/>
      <c r="F86" s="219">
        <f>SUM(D86:E86)</f>
        <v>572173</v>
      </c>
      <c r="G86" s="231"/>
      <c r="H86" s="230"/>
      <c r="I86" s="219">
        <f>SUM(G86:H86)</f>
        <v>0</v>
      </c>
      <c r="J86" s="232"/>
      <c r="K86" s="233"/>
      <c r="L86" s="219">
        <f>SUM(J86:K86)</f>
        <v>0</v>
      </c>
      <c r="M86" s="223">
        <f>SUM(F86+I86+L86)</f>
        <v>572173</v>
      </c>
    </row>
    <row r="87" spans="1:13" ht="22.5" customHeight="1">
      <c r="A87" s="224" t="s">
        <v>390</v>
      </c>
      <c r="B87" s="242" t="s">
        <v>379</v>
      </c>
      <c r="C87" s="237" t="s">
        <v>718</v>
      </c>
      <c r="D87" s="229">
        <f>6307871-574597-1768202-348675-2793033</f>
        <v>823364</v>
      </c>
      <c r="E87" s="230"/>
      <c r="F87" s="219">
        <f>SUM(D87:E87)</f>
        <v>823364</v>
      </c>
      <c r="G87" s="231"/>
      <c r="H87" s="230"/>
      <c r="I87" s="219">
        <f>SUM(G87:H87)</f>
        <v>0</v>
      </c>
      <c r="J87" s="232"/>
      <c r="K87" s="233"/>
      <c r="L87" s="219">
        <f>SUM(J87:K87)</f>
        <v>0</v>
      </c>
      <c r="M87" s="223">
        <f>SUM(F87+I87+L87)</f>
        <v>823364</v>
      </c>
    </row>
    <row r="88" spans="1:13" ht="21.75" customHeight="1">
      <c r="A88" s="224" t="s">
        <v>391</v>
      </c>
      <c r="B88" s="242" t="s">
        <v>85</v>
      </c>
      <c r="C88" s="237" t="s">
        <v>719</v>
      </c>
      <c r="D88" s="229"/>
      <c r="E88" s="230"/>
      <c r="F88" s="219">
        <f>SUM(D88:E88)</f>
        <v>0</v>
      </c>
      <c r="G88" s="231">
        <f>49530-10359</f>
        <v>39171</v>
      </c>
      <c r="H88" s="230"/>
      <c r="I88" s="219">
        <f>SUM(G88:H88)</f>
        <v>39171</v>
      </c>
      <c r="J88" s="232"/>
      <c r="K88" s="233"/>
      <c r="L88" s="219">
        <f>SUM(J88:K88)</f>
        <v>0</v>
      </c>
      <c r="M88" s="223">
        <f>SUM(F88+I88+L88)</f>
        <v>39171</v>
      </c>
    </row>
    <row r="89" spans="1:13" ht="33.75" customHeight="1" thickBot="1">
      <c r="A89" s="224" t="s">
        <v>392</v>
      </c>
      <c r="B89" s="226" t="s">
        <v>81</v>
      </c>
      <c r="C89" s="241" t="s">
        <v>720</v>
      </c>
      <c r="D89" s="238">
        <f>22766189-3000000-103900-700000-4454365-867408-2981388+17858</f>
        <v>10676986</v>
      </c>
      <c r="E89" s="239">
        <f>103900-103900</f>
        <v>0</v>
      </c>
      <c r="F89" s="219">
        <f>SUM(D89:E89)</f>
        <v>10676986</v>
      </c>
      <c r="G89" s="240"/>
      <c r="H89" s="239"/>
      <c r="I89" s="219">
        <f>SUM(G89:H89)</f>
        <v>0</v>
      </c>
      <c r="J89" s="232"/>
      <c r="K89" s="233"/>
      <c r="L89" s="219">
        <f>SUM(J89:K89)</f>
        <v>0</v>
      </c>
      <c r="M89" s="223">
        <f>SUM(F89+I89+L89)</f>
        <v>10676986</v>
      </c>
    </row>
    <row r="90" spans="1:16" ht="27.75" customHeight="1" thickBot="1">
      <c r="A90" s="1068" t="s">
        <v>854</v>
      </c>
      <c r="B90" s="1069"/>
      <c r="C90" s="1070"/>
      <c r="D90" s="257">
        <f>SUM(D86:D89)</f>
        <v>12072523</v>
      </c>
      <c r="E90" s="464">
        <f aca="true" t="shared" si="12" ref="E90:K90">SUM(E86:E89)</f>
        <v>0</v>
      </c>
      <c r="F90" s="463">
        <f t="shared" si="12"/>
        <v>12072523</v>
      </c>
      <c r="G90" s="257">
        <f t="shared" si="12"/>
        <v>39171</v>
      </c>
      <c r="H90" s="464">
        <f t="shared" si="12"/>
        <v>0</v>
      </c>
      <c r="I90" s="463">
        <f t="shared" si="12"/>
        <v>39171</v>
      </c>
      <c r="J90" s="257">
        <f t="shared" si="12"/>
        <v>0</v>
      </c>
      <c r="K90" s="464">
        <f t="shared" si="12"/>
        <v>0</v>
      </c>
      <c r="L90" s="463">
        <f>SUM(L86:L89)</f>
        <v>0</v>
      </c>
      <c r="M90" s="252">
        <f>SUM(M86:M89)</f>
        <v>12111694</v>
      </c>
      <c r="P90" s="467"/>
    </row>
    <row r="91" spans="1:13" s="199" customFormat="1" ht="16.5" thickBot="1">
      <c r="A91" s="1056" t="s">
        <v>496</v>
      </c>
      <c r="B91" s="1057"/>
      <c r="C91" s="1058"/>
      <c r="D91" s="258">
        <f aca="true" t="shared" si="13" ref="D91:M91">D67+D71+D85+D90</f>
        <v>986061928</v>
      </c>
      <c r="E91" s="258">
        <f t="shared" si="13"/>
        <v>233825419</v>
      </c>
      <c r="F91" s="626">
        <f t="shared" si="13"/>
        <v>1219887347</v>
      </c>
      <c r="G91" s="258">
        <f t="shared" si="13"/>
        <v>385731544</v>
      </c>
      <c r="H91" s="258">
        <f t="shared" si="13"/>
        <v>680989971</v>
      </c>
      <c r="I91" s="259">
        <f t="shared" si="13"/>
        <v>1066721515</v>
      </c>
      <c r="J91" s="465">
        <f t="shared" si="13"/>
        <v>50266760</v>
      </c>
      <c r="K91" s="627">
        <f t="shared" si="13"/>
        <v>730660</v>
      </c>
      <c r="L91" s="628">
        <f t="shared" si="13"/>
        <v>50997420</v>
      </c>
      <c r="M91" s="260">
        <f t="shared" si="13"/>
        <v>2337606282</v>
      </c>
    </row>
    <row r="94" spans="1:2" ht="12.75">
      <c r="A94" s="134" t="s">
        <v>497</v>
      </c>
      <c r="B94" s="134" t="s">
        <v>498</v>
      </c>
    </row>
    <row r="95" spans="1:2" ht="12.75">
      <c r="A95" s="134" t="s">
        <v>499</v>
      </c>
      <c r="B95" s="134" t="s">
        <v>500</v>
      </c>
    </row>
    <row r="96" spans="1:2" ht="12.75">
      <c r="A96" s="134" t="s">
        <v>501</v>
      </c>
      <c r="B96" s="134" t="s">
        <v>502</v>
      </c>
    </row>
    <row r="97" spans="1:2" ht="12.75">
      <c r="A97" s="134" t="s">
        <v>503</v>
      </c>
      <c r="B97" s="134" t="s">
        <v>504</v>
      </c>
    </row>
    <row r="98" spans="1:2" ht="12.75">
      <c r="A98" s="134" t="s">
        <v>505</v>
      </c>
      <c r="B98" s="134" t="s">
        <v>506</v>
      </c>
    </row>
    <row r="99" spans="1:2" ht="12.75">
      <c r="A99" s="134" t="s">
        <v>798</v>
      </c>
      <c r="B99" s="134" t="s">
        <v>799</v>
      </c>
    </row>
    <row r="100" spans="1:2" ht="12.75">
      <c r="A100" s="134" t="s">
        <v>616</v>
      </c>
      <c r="B100" s="134" t="s">
        <v>615</v>
      </c>
    </row>
    <row r="101" spans="1:2" ht="12.75">
      <c r="A101" s="134" t="s">
        <v>891</v>
      </c>
      <c r="B101" s="134" t="s">
        <v>890</v>
      </c>
    </row>
  </sheetData>
  <sheetProtection/>
  <mergeCells count="15">
    <mergeCell ref="G1:M1"/>
    <mergeCell ref="M6:M8"/>
    <mergeCell ref="A3:M4"/>
    <mergeCell ref="C6:C8"/>
    <mergeCell ref="G6:I7"/>
    <mergeCell ref="J6:L7"/>
    <mergeCell ref="A91:C91"/>
    <mergeCell ref="A71:C71"/>
    <mergeCell ref="D6:F7"/>
    <mergeCell ref="A85:C85"/>
    <mergeCell ref="B5:B8"/>
    <mergeCell ref="A5:A8"/>
    <mergeCell ref="C5:M5"/>
    <mergeCell ref="A67:C67"/>
    <mergeCell ref="A90:C90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8" r:id="rId1"/>
  <rowBreaks count="3" manualBreakCount="3">
    <brk id="30" max="12" man="1"/>
    <brk id="56" max="12" man="1"/>
    <brk id="8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O103"/>
  <sheetViews>
    <sheetView zoomScalePageLayoutView="0" workbookViewId="0" topLeftCell="T1">
      <selection activeCell="T2" sqref="T2"/>
    </sheetView>
  </sheetViews>
  <sheetFormatPr defaultColWidth="9.00390625" defaultRowHeight="12.75"/>
  <cols>
    <col min="1" max="2" width="9.125" style="134" customWidth="1"/>
    <col min="3" max="3" width="19.125" style="134" customWidth="1"/>
    <col min="4" max="4" width="18.00390625" style="134" bestFit="1" customWidth="1"/>
    <col min="5" max="5" width="15.75390625" style="134" bestFit="1" customWidth="1"/>
    <col min="6" max="6" width="18.00390625" style="134" bestFit="1" customWidth="1"/>
    <col min="7" max="7" width="12.625" style="134" customWidth="1"/>
    <col min="8" max="8" width="18.875" style="134" customWidth="1"/>
    <col min="9" max="9" width="9.25390625" style="134" bestFit="1" customWidth="1"/>
    <col min="10" max="10" width="11.375" style="134" bestFit="1" customWidth="1"/>
    <col min="11" max="11" width="19.25390625" style="134" customWidth="1"/>
    <col min="12" max="12" width="9.75390625" style="134" customWidth="1"/>
    <col min="13" max="13" width="9.125" style="134" customWidth="1"/>
    <col min="14" max="14" width="12.625" style="134" customWidth="1"/>
    <col min="15" max="15" width="8.125" style="134" customWidth="1"/>
    <col min="16" max="16" width="11.375" style="134" bestFit="1" customWidth="1"/>
    <col min="17" max="17" width="15.875" style="134" bestFit="1" customWidth="1"/>
    <col min="18" max="20" width="9.125" style="134" customWidth="1"/>
    <col min="21" max="21" width="9.875" style="134" customWidth="1"/>
    <col min="22" max="22" width="13.125" style="134" customWidth="1"/>
    <col min="23" max="23" width="16.625" style="134" bestFit="1" customWidth="1"/>
    <col min="24" max="24" width="18.00390625" style="269" bestFit="1" customWidth="1"/>
    <col min="25" max="25" width="18.25390625" style="269" customWidth="1"/>
    <col min="26" max="26" width="18.75390625" style="269" customWidth="1"/>
    <col min="27" max="27" width="19.75390625" style="269" bestFit="1" customWidth="1"/>
    <col min="28" max="28" width="17.375" style="269" bestFit="1" customWidth="1"/>
    <col min="29" max="29" width="19.75390625" style="269" bestFit="1" customWidth="1"/>
    <col min="30" max="223" width="9.125" style="269" customWidth="1"/>
    <col min="224" max="16384" width="9.125" style="134" customWidth="1"/>
  </cols>
  <sheetData>
    <row r="1" spans="1:28" ht="15">
      <c r="A1" s="201"/>
      <c r="B1" s="202"/>
      <c r="C1" s="203"/>
      <c r="H1" s="202"/>
      <c r="I1" s="202"/>
      <c r="J1" s="202"/>
      <c r="K1" s="204"/>
      <c r="L1" s="204"/>
      <c r="M1" s="204"/>
      <c r="N1" s="202"/>
      <c r="T1" s="1079" t="s">
        <v>1216</v>
      </c>
      <c r="U1" s="1080"/>
      <c r="V1" s="1080"/>
      <c r="W1" s="1080"/>
      <c r="X1" s="1182"/>
      <c r="Y1" s="1182"/>
      <c r="Z1" s="1182"/>
      <c r="AA1" s="1182"/>
      <c r="AB1" s="1182"/>
    </row>
    <row r="2" spans="1:14" ht="12.75">
      <c r="A2" s="201"/>
      <c r="B2" s="202"/>
      <c r="C2" s="203"/>
      <c r="D2" s="205"/>
      <c r="E2" s="206"/>
      <c r="F2" s="206"/>
      <c r="G2" s="206"/>
      <c r="H2" s="202"/>
      <c r="I2" s="202"/>
      <c r="J2" s="202"/>
      <c r="K2" s="204"/>
      <c r="L2" s="204"/>
      <c r="M2" s="204"/>
      <c r="N2" s="202"/>
    </row>
    <row r="3" spans="1:29" ht="15.75" customHeight="1">
      <c r="A3" s="1164" t="s">
        <v>801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</row>
    <row r="4" spans="1:29" ht="15.75" customHeight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</row>
    <row r="5" spans="1:29" ht="13.5" customHeight="1" thickBot="1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</row>
    <row r="6" spans="1:223" s="270" customFormat="1" ht="15" customHeight="1" thickBot="1" thickTop="1">
      <c r="A6" s="1187" t="s">
        <v>89</v>
      </c>
      <c r="B6" s="1188"/>
      <c r="C6" s="1188"/>
      <c r="D6" s="1191" t="s">
        <v>358</v>
      </c>
      <c r="E6" s="1099"/>
      <c r="F6" s="1140"/>
      <c r="G6" s="1158" t="s">
        <v>507</v>
      </c>
      <c r="H6" s="1159"/>
      <c r="I6" s="1159"/>
      <c r="J6" s="1159"/>
      <c r="K6" s="1160"/>
      <c r="L6" s="1098" t="s">
        <v>508</v>
      </c>
      <c r="M6" s="1125"/>
      <c r="N6" s="1125"/>
      <c r="O6" s="1125"/>
      <c r="P6" s="1125"/>
      <c r="Q6" s="1151"/>
      <c r="R6" s="1098" t="s">
        <v>509</v>
      </c>
      <c r="S6" s="1125"/>
      <c r="T6" s="1125"/>
      <c r="U6" s="1125"/>
      <c r="V6" s="1125"/>
      <c r="W6" s="1125"/>
      <c r="X6" s="1183" t="s">
        <v>510</v>
      </c>
      <c r="Y6" s="1150"/>
      <c r="Z6" s="1150"/>
      <c r="AA6" s="1184" t="s">
        <v>90</v>
      </c>
      <c r="AB6" s="1185"/>
      <c r="AC6" s="1186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  <c r="FF6" s="269"/>
      <c r="FG6" s="269"/>
      <c r="FH6" s="269"/>
      <c r="FI6" s="269"/>
      <c r="FJ6" s="269"/>
      <c r="FK6" s="269"/>
      <c r="FL6" s="269"/>
      <c r="FM6" s="269"/>
      <c r="FN6" s="269"/>
      <c r="FO6" s="269"/>
      <c r="FP6" s="269"/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69"/>
      <c r="GB6" s="269"/>
      <c r="GC6" s="269"/>
      <c r="GD6" s="269"/>
      <c r="GE6" s="269"/>
      <c r="GF6" s="269"/>
      <c r="GG6" s="269"/>
      <c r="GH6" s="269"/>
      <c r="GI6" s="269"/>
      <c r="GJ6" s="269"/>
      <c r="GK6" s="269"/>
      <c r="GL6" s="269"/>
      <c r="GM6" s="269"/>
      <c r="GN6" s="269"/>
      <c r="GO6" s="269"/>
      <c r="GP6" s="269"/>
      <c r="GQ6" s="269"/>
      <c r="GR6" s="269"/>
      <c r="GS6" s="269"/>
      <c r="GT6" s="269"/>
      <c r="GU6" s="269"/>
      <c r="GV6" s="269"/>
      <c r="GW6" s="269"/>
      <c r="GX6" s="269"/>
      <c r="GY6" s="269"/>
      <c r="GZ6" s="269"/>
      <c r="HA6" s="269"/>
      <c r="HB6" s="269"/>
      <c r="HC6" s="269"/>
      <c r="HD6" s="269"/>
      <c r="HE6" s="269"/>
      <c r="HF6" s="269"/>
      <c r="HG6" s="269"/>
      <c r="HH6" s="269"/>
      <c r="HI6" s="269"/>
      <c r="HJ6" s="269"/>
      <c r="HK6" s="269"/>
      <c r="HL6" s="269"/>
      <c r="HM6" s="269"/>
      <c r="HN6" s="269"/>
      <c r="HO6" s="269"/>
    </row>
    <row r="7" spans="1:29" s="269" customFormat="1" ht="16.5" customHeight="1" thickBot="1">
      <c r="A7" s="1189"/>
      <c r="B7" s="1190"/>
      <c r="C7" s="1190"/>
      <c r="D7" s="426" t="s">
        <v>91</v>
      </c>
      <c r="E7" s="748" t="s">
        <v>87</v>
      </c>
      <c r="F7" s="272" t="s">
        <v>92</v>
      </c>
      <c r="G7" s="1161"/>
      <c r="H7" s="1162"/>
      <c r="I7" s="1162"/>
      <c r="J7" s="1162"/>
      <c r="K7" s="1163"/>
      <c r="L7" s="1127"/>
      <c r="M7" s="1128"/>
      <c r="N7" s="1128"/>
      <c r="O7" s="1128"/>
      <c r="P7" s="1128"/>
      <c r="Q7" s="1152"/>
      <c r="R7" s="1127"/>
      <c r="S7" s="1128"/>
      <c r="T7" s="1128"/>
      <c r="U7" s="1128"/>
      <c r="V7" s="1128"/>
      <c r="W7" s="1128"/>
      <c r="X7" s="271" t="s">
        <v>91</v>
      </c>
      <c r="Y7" s="426" t="s">
        <v>87</v>
      </c>
      <c r="Z7" s="735" t="s">
        <v>92</v>
      </c>
      <c r="AA7" s="271" t="s">
        <v>91</v>
      </c>
      <c r="AB7" s="426" t="s">
        <v>87</v>
      </c>
      <c r="AC7" s="272" t="s">
        <v>92</v>
      </c>
    </row>
    <row r="8" spans="1:29" s="288" customFormat="1" ht="16.5" customHeight="1">
      <c r="A8" s="273"/>
      <c r="B8" s="274"/>
      <c r="C8" s="275"/>
      <c r="D8" s="276"/>
      <c r="E8" s="274"/>
      <c r="F8" s="277"/>
      <c r="G8" s="1120" t="s">
        <v>900</v>
      </c>
      <c r="H8" s="1095"/>
      <c r="I8" s="1095"/>
      <c r="J8" s="457">
        <v>79416609</v>
      </c>
      <c r="K8" s="1143">
        <f>SUM(J8:J18)</f>
        <v>228451396</v>
      </c>
      <c r="L8" s="1166"/>
      <c r="M8" s="1167"/>
      <c r="N8" s="1167"/>
      <c r="O8" s="1167"/>
      <c r="P8" s="279"/>
      <c r="Q8" s="1156">
        <f>SUM(P8:P18)</f>
        <v>144281771</v>
      </c>
      <c r="R8" s="1132" t="s">
        <v>243</v>
      </c>
      <c r="S8" s="1133"/>
      <c r="T8" s="1133"/>
      <c r="U8" s="1133"/>
      <c r="V8" s="457">
        <v>227595000</v>
      </c>
      <c r="W8" s="1109">
        <f>SUM(V8:V18)</f>
        <v>352051302</v>
      </c>
      <c r="X8" s="282"/>
      <c r="Y8" s="283"/>
      <c r="Z8" s="284"/>
      <c r="AA8" s="285"/>
      <c r="AB8" s="286"/>
      <c r="AC8" s="287"/>
    </row>
    <row r="9" spans="1:29" s="288" customFormat="1" ht="27" customHeight="1">
      <c r="A9" s="273"/>
      <c r="B9" s="274"/>
      <c r="C9" s="276"/>
      <c r="D9" s="276"/>
      <c r="E9" s="274"/>
      <c r="F9" s="277"/>
      <c r="G9" s="1153" t="s">
        <v>621</v>
      </c>
      <c r="H9" s="1093"/>
      <c r="I9" s="1093"/>
      <c r="J9" s="457">
        <f>2114700-36480</f>
        <v>2078220</v>
      </c>
      <c r="K9" s="1136"/>
      <c r="L9" s="1090" t="s">
        <v>927</v>
      </c>
      <c r="M9" s="1091"/>
      <c r="N9" s="1091"/>
      <c r="O9" s="1091"/>
      <c r="P9" s="457">
        <f>3652363+1407021+1011276</f>
        <v>6070660</v>
      </c>
      <c r="Q9" s="1157"/>
      <c r="R9" s="1090" t="s">
        <v>739</v>
      </c>
      <c r="S9" s="1091"/>
      <c r="T9" s="1091"/>
      <c r="U9" s="1091"/>
      <c r="V9" s="457">
        <v>508000</v>
      </c>
      <c r="W9" s="1110"/>
      <c r="X9" s="289"/>
      <c r="Y9" s="283"/>
      <c r="Z9" s="290"/>
      <c r="AA9" s="273"/>
      <c r="AB9" s="291"/>
      <c r="AC9" s="292"/>
    </row>
    <row r="10" spans="1:29" s="288" customFormat="1" ht="24.75" customHeight="1">
      <c r="A10" s="293"/>
      <c r="B10" s="294"/>
      <c r="C10" s="295" t="s">
        <v>482</v>
      </c>
      <c r="D10" s="296">
        <f>SUM('6. kiadások megbontása'!D67)</f>
        <v>642508240</v>
      </c>
      <c r="E10" s="297">
        <f>SUM('6. kiadások megbontása'!E67)</f>
        <v>229707531</v>
      </c>
      <c r="F10" s="298">
        <f>SUM(D10:E10)</f>
        <v>872215771</v>
      </c>
      <c r="G10" s="1153" t="s">
        <v>744</v>
      </c>
      <c r="H10" s="1093"/>
      <c r="I10" s="1093"/>
      <c r="J10" s="457">
        <v>45748047</v>
      </c>
      <c r="K10" s="1136"/>
      <c r="L10" s="1090" t="s">
        <v>511</v>
      </c>
      <c r="M10" s="1091"/>
      <c r="N10" s="1091"/>
      <c r="O10" s="1091"/>
      <c r="P10" s="457">
        <v>21588000</v>
      </c>
      <c r="Q10" s="1157"/>
      <c r="R10" s="1132" t="s">
        <v>803</v>
      </c>
      <c r="S10" s="1133"/>
      <c r="T10" s="1133"/>
      <c r="U10" s="1133"/>
      <c r="V10" s="716">
        <v>272649</v>
      </c>
      <c r="W10" s="1110"/>
      <c r="X10" s="299"/>
      <c r="Y10" s="300"/>
      <c r="Z10" s="290"/>
      <c r="AA10" s="301"/>
      <c r="AB10" s="302"/>
      <c r="AC10" s="303"/>
    </row>
    <row r="11" spans="1:29" s="288" customFormat="1" ht="12.75" customHeight="1">
      <c r="A11" s="304"/>
      <c r="B11" s="305"/>
      <c r="C11" s="306"/>
      <c r="D11" s="306"/>
      <c r="E11" s="274"/>
      <c r="F11" s="277"/>
      <c r="G11" s="1145" t="s">
        <v>545</v>
      </c>
      <c r="H11" s="1145"/>
      <c r="I11" s="1145"/>
      <c r="J11" s="457">
        <v>63778000</v>
      </c>
      <c r="K11" s="1136"/>
      <c r="L11" s="1132" t="s">
        <v>808</v>
      </c>
      <c r="M11" s="1133"/>
      <c r="N11" s="1133"/>
      <c r="O11" s="1133"/>
      <c r="P11" s="457">
        <f>302525+67046</f>
        <v>369571</v>
      </c>
      <c r="Q11" s="1157"/>
      <c r="R11" s="1090" t="s">
        <v>114</v>
      </c>
      <c r="S11" s="1091"/>
      <c r="T11" s="1091"/>
      <c r="U11" s="1091"/>
      <c r="V11" s="457">
        <f>14236474+1050000</f>
        <v>15286474</v>
      </c>
      <c r="W11" s="1110"/>
      <c r="X11" s="299"/>
      <c r="Y11" s="300"/>
      <c r="Z11" s="290"/>
      <c r="AA11" s="301"/>
      <c r="AB11" s="302"/>
      <c r="AC11" s="303"/>
    </row>
    <row r="12" spans="1:29" s="288" customFormat="1" ht="15" customHeight="1">
      <c r="A12" s="304"/>
      <c r="B12" s="305"/>
      <c r="C12" s="306"/>
      <c r="D12" s="306"/>
      <c r="E12" s="274"/>
      <c r="F12" s="277"/>
      <c r="G12" s="1165" t="s">
        <v>899</v>
      </c>
      <c r="H12" s="1091"/>
      <c r="I12" s="1091"/>
      <c r="J12" s="457">
        <v>39435</v>
      </c>
      <c r="K12" s="1136"/>
      <c r="L12" s="1132" t="s">
        <v>892</v>
      </c>
      <c r="M12" s="1133"/>
      <c r="N12" s="1133"/>
      <c r="O12" s="1133"/>
      <c r="P12" s="453">
        <f>11977188+38901777-8045171</f>
        <v>42833794</v>
      </c>
      <c r="Q12" s="1157"/>
      <c r="R12" s="1090" t="s">
        <v>812</v>
      </c>
      <c r="S12" s="1091"/>
      <c r="T12" s="1091"/>
      <c r="U12" s="1091"/>
      <c r="V12" s="457">
        <v>60128</v>
      </c>
      <c r="W12" s="1110"/>
      <c r="X12" s="299"/>
      <c r="Y12" s="300"/>
      <c r="Z12" s="290"/>
      <c r="AA12" s="301"/>
      <c r="AB12" s="302"/>
      <c r="AC12" s="303"/>
    </row>
    <row r="13" spans="1:29" s="288" customFormat="1" ht="15.75" customHeight="1">
      <c r="A13" s="304"/>
      <c r="B13" s="305"/>
      <c r="C13" s="306"/>
      <c r="D13" s="306"/>
      <c r="E13" s="274"/>
      <c r="F13" s="277"/>
      <c r="G13" s="1145" t="s">
        <v>904</v>
      </c>
      <c r="H13" s="1145"/>
      <c r="I13" s="1145"/>
      <c r="J13" s="278">
        <v>30500</v>
      </c>
      <c r="K13" s="1136"/>
      <c r="L13" s="1132" t="s">
        <v>893</v>
      </c>
      <c r="M13" s="1133"/>
      <c r="N13" s="1133"/>
      <c r="O13" s="1133"/>
      <c r="P13" s="453">
        <f>23626850+46614899-7935168+11113165</f>
        <v>73419746</v>
      </c>
      <c r="Q13" s="1157"/>
      <c r="R13" s="1090" t="s">
        <v>284</v>
      </c>
      <c r="S13" s="1091"/>
      <c r="T13" s="1091"/>
      <c r="U13" s="1091"/>
      <c r="V13" s="457">
        <f>639000+105030+15000</f>
        <v>759030</v>
      </c>
      <c r="W13" s="1110"/>
      <c r="X13" s="299"/>
      <c r="Y13" s="300"/>
      <c r="Z13" s="290"/>
      <c r="AA13" s="301"/>
      <c r="AB13" s="302"/>
      <c r="AC13" s="303"/>
    </row>
    <row r="14" spans="1:29" s="288" customFormat="1" ht="13.5" customHeight="1">
      <c r="A14" s="304"/>
      <c r="B14" s="305"/>
      <c r="C14" s="306"/>
      <c r="D14" s="306"/>
      <c r="E14" s="274"/>
      <c r="F14" s="308"/>
      <c r="G14" s="1145" t="s">
        <v>990</v>
      </c>
      <c r="H14" s="1145"/>
      <c r="I14" s="1145"/>
      <c r="J14" s="278">
        <v>7265000</v>
      </c>
      <c r="K14" s="1136"/>
      <c r="L14" s="1144"/>
      <c r="M14" s="1145"/>
      <c r="N14" s="1145"/>
      <c r="O14" s="1145"/>
      <c r="Q14" s="1157"/>
      <c r="R14" s="1090" t="s">
        <v>742</v>
      </c>
      <c r="S14" s="1091"/>
      <c r="T14" s="1091"/>
      <c r="U14" s="1091"/>
      <c r="V14" s="457">
        <f>2486532+446236+828040+117194+36960+9979+360500</f>
        <v>4285441</v>
      </c>
      <c r="W14" s="1110"/>
      <c r="X14" s="310">
        <f>SUM(W8,Q8,K8)</f>
        <v>724784469</v>
      </c>
      <c r="Y14" s="311">
        <f>SUM(W19+Q19+K19)</f>
        <v>243556139</v>
      </c>
      <c r="Z14" s="312">
        <f>SUM(Y14,X14)</f>
        <v>968340608</v>
      </c>
      <c r="AA14" s="310">
        <f>X14-D10</f>
        <v>82276229</v>
      </c>
      <c r="AB14" s="311">
        <f>Y14-E10</f>
        <v>13848608</v>
      </c>
      <c r="AC14" s="313">
        <f>SUM(AA14:AB14)</f>
        <v>96124837</v>
      </c>
    </row>
    <row r="15" spans="1:29" s="288" customFormat="1" ht="13.5" customHeight="1">
      <c r="A15" s="304"/>
      <c r="B15" s="305"/>
      <c r="C15" s="306"/>
      <c r="D15" s="306"/>
      <c r="E15" s="274"/>
      <c r="F15" s="308"/>
      <c r="G15" s="281"/>
      <c r="H15" s="281"/>
      <c r="I15" s="281"/>
      <c r="J15" s="278"/>
      <c r="K15" s="1136"/>
      <c r="L15" s="280"/>
      <c r="M15" s="281"/>
      <c r="N15" s="281"/>
      <c r="O15" s="281"/>
      <c r="Q15" s="1157"/>
      <c r="R15" s="1090" t="s">
        <v>1200</v>
      </c>
      <c r="S15" s="1091"/>
      <c r="T15" s="1091"/>
      <c r="U15" s="1091"/>
      <c r="V15" s="457">
        <f>51312+2652628+13878+651522</f>
        <v>3369340</v>
      </c>
      <c r="W15" s="1110"/>
      <c r="X15" s="310"/>
      <c r="Y15" s="311"/>
      <c r="Z15" s="312"/>
      <c r="AA15" s="310"/>
      <c r="AB15" s="311"/>
      <c r="AC15" s="313"/>
    </row>
    <row r="16" spans="1:29" s="269" customFormat="1" ht="12.75" customHeight="1">
      <c r="A16" s="314"/>
      <c r="B16" s="315"/>
      <c r="C16" s="316"/>
      <c r="D16" s="316"/>
      <c r="E16" s="317"/>
      <c r="F16" s="318"/>
      <c r="G16" s="1153" t="s">
        <v>991</v>
      </c>
      <c r="H16" s="1093"/>
      <c r="I16" s="1093"/>
      <c r="J16" s="278">
        <v>95585</v>
      </c>
      <c r="K16" s="1136"/>
      <c r="L16" s="1144"/>
      <c r="M16" s="1145"/>
      <c r="N16" s="1145"/>
      <c r="O16" s="1145"/>
      <c r="P16" s="309"/>
      <c r="Q16" s="1157"/>
      <c r="R16" s="1132" t="s">
        <v>811</v>
      </c>
      <c r="S16" s="1133"/>
      <c r="T16" s="1133"/>
      <c r="U16" s="1133"/>
      <c r="V16" s="716">
        <v>6983451</v>
      </c>
      <c r="W16" s="1110"/>
      <c r="X16" s="299"/>
      <c r="Y16" s="300"/>
      <c r="Z16" s="290"/>
      <c r="AA16" s="301"/>
      <c r="AB16" s="302"/>
      <c r="AC16" s="303"/>
    </row>
    <row r="17" spans="1:29" s="269" customFormat="1" ht="13.5" customHeight="1">
      <c r="A17" s="314"/>
      <c r="B17" s="315"/>
      <c r="C17" s="316"/>
      <c r="D17" s="316"/>
      <c r="E17" s="317"/>
      <c r="F17" s="318"/>
      <c r="G17" s="1153" t="s">
        <v>994</v>
      </c>
      <c r="H17" s="1093"/>
      <c r="I17" s="1093"/>
      <c r="J17" s="278">
        <v>30000000</v>
      </c>
      <c r="K17" s="1136"/>
      <c r="L17" s="1092"/>
      <c r="M17" s="1093"/>
      <c r="N17" s="1093"/>
      <c r="O17" s="1093"/>
      <c r="P17" s="278"/>
      <c r="Q17" s="1157"/>
      <c r="R17" s="1132" t="s">
        <v>1116</v>
      </c>
      <c r="S17" s="1133"/>
      <c r="T17" s="1133"/>
      <c r="U17" s="1133"/>
      <c r="V17" s="716">
        <f>3000+3863162+809838</f>
        <v>4676000</v>
      </c>
      <c r="W17" s="1110"/>
      <c r="X17" s="299"/>
      <c r="Y17" s="300"/>
      <c r="Z17" s="290"/>
      <c r="AA17" s="301"/>
      <c r="AB17" s="302"/>
      <c r="AC17" s="303"/>
    </row>
    <row r="18" spans="1:29" s="269" customFormat="1" ht="13.5" customHeight="1" thickBot="1">
      <c r="A18" s="314"/>
      <c r="B18" s="315"/>
      <c r="C18" s="316"/>
      <c r="D18" s="316"/>
      <c r="E18" s="317"/>
      <c r="F18" s="318"/>
      <c r="G18" s="1153"/>
      <c r="H18" s="1093"/>
      <c r="I18" s="1093"/>
      <c r="J18" s="278"/>
      <c r="K18" s="1136"/>
      <c r="L18" s="1144"/>
      <c r="M18" s="1145"/>
      <c r="N18" s="1145"/>
      <c r="O18" s="1145"/>
      <c r="P18" s="307"/>
      <c r="Q18" s="1157"/>
      <c r="R18" s="1132" t="s">
        <v>743</v>
      </c>
      <c r="S18" s="1133"/>
      <c r="T18" s="1133"/>
      <c r="U18" s="1133"/>
      <c r="V18" s="716">
        <f>22840902+55632238+9782649</f>
        <v>88255789</v>
      </c>
      <c r="W18" s="1110"/>
      <c r="X18" s="299"/>
      <c r="Y18" s="300"/>
      <c r="Z18" s="290"/>
      <c r="AA18" s="301"/>
      <c r="AB18" s="302"/>
      <c r="AC18" s="303"/>
    </row>
    <row r="19" spans="1:29" s="269" customFormat="1" ht="44.25" customHeight="1">
      <c r="A19" s="314"/>
      <c r="B19" s="315"/>
      <c r="C19" s="316"/>
      <c r="D19" s="316"/>
      <c r="E19" s="317"/>
      <c r="F19" s="318"/>
      <c r="G19" s="1120" t="s">
        <v>1135</v>
      </c>
      <c r="H19" s="1095"/>
      <c r="I19" s="1095"/>
      <c r="J19" s="713">
        <v>29947750</v>
      </c>
      <c r="K19" s="1143">
        <f>SUM(J19:J22)</f>
        <v>29947750</v>
      </c>
      <c r="L19" s="1120" t="s">
        <v>805</v>
      </c>
      <c r="M19" s="1095"/>
      <c r="N19" s="1095"/>
      <c r="O19" s="951"/>
      <c r="P19" s="952">
        <v>1846997</v>
      </c>
      <c r="Q19" s="1096">
        <f>SUM(P19:P22)</f>
        <v>147447352</v>
      </c>
      <c r="R19" s="1154" t="s">
        <v>94</v>
      </c>
      <c r="S19" s="1155"/>
      <c r="T19" s="1155"/>
      <c r="U19" s="1155"/>
      <c r="V19" s="458">
        <f>62747330-3831623-848360+15172896+672563+3300476-30000000+1066203+500000-6753000+1032600+15000-1150000-1011276+3500000-3912880</f>
        <v>40499929</v>
      </c>
      <c r="W19" s="1109">
        <f>SUM(V19:V22)</f>
        <v>66161037</v>
      </c>
      <c r="X19" s="299"/>
      <c r="Y19" s="300"/>
      <c r="Z19" s="290"/>
      <c r="AA19" s="301"/>
      <c r="AB19" s="302"/>
      <c r="AC19" s="303"/>
    </row>
    <row r="20" spans="1:29" s="269" customFormat="1" ht="14.25" customHeight="1">
      <c r="A20" s="314"/>
      <c r="B20" s="315"/>
      <c r="C20" s="316"/>
      <c r="D20" s="316"/>
      <c r="E20" s="317"/>
      <c r="F20" s="318"/>
      <c r="G20" s="320"/>
      <c r="H20" s="321"/>
      <c r="I20" s="321"/>
      <c r="J20" s="323"/>
      <c r="K20" s="1136"/>
      <c r="L20" s="928" t="s">
        <v>804</v>
      </c>
      <c r="M20" s="755"/>
      <c r="N20" s="755"/>
      <c r="O20" s="755"/>
      <c r="P20" s="309">
        <v>299888</v>
      </c>
      <c r="Q20" s="1097"/>
      <c r="R20" s="1090" t="s">
        <v>738</v>
      </c>
      <c r="S20" s="1091"/>
      <c r="T20" s="1091"/>
      <c r="U20" s="1091"/>
      <c r="V20" s="455">
        <f>21384589+4176519</f>
        <v>25561108</v>
      </c>
      <c r="W20" s="1110"/>
      <c r="X20" s="299"/>
      <c r="Y20" s="300"/>
      <c r="Z20" s="290"/>
      <c r="AA20" s="301"/>
      <c r="AB20" s="302"/>
      <c r="AC20" s="303"/>
    </row>
    <row r="21" spans="1:29" s="269" customFormat="1" ht="29.25" customHeight="1">
      <c r="A21" s="314"/>
      <c r="B21" s="315"/>
      <c r="C21" s="316"/>
      <c r="D21" s="316"/>
      <c r="E21" s="317"/>
      <c r="F21" s="318"/>
      <c r="G21" s="320"/>
      <c r="H21" s="321"/>
      <c r="I21" s="321"/>
      <c r="J21" s="323"/>
      <c r="K21" s="1136"/>
      <c r="L21" s="1090" t="s">
        <v>1205</v>
      </c>
      <c r="M21" s="1091"/>
      <c r="N21" s="1091"/>
      <c r="O21" s="1091"/>
      <c r="P21" s="309">
        <v>112219000</v>
      </c>
      <c r="Q21" s="1097"/>
      <c r="R21" s="756"/>
      <c r="S21" s="757"/>
      <c r="T21" s="757"/>
      <c r="U21" s="757"/>
      <c r="V21" s="455"/>
      <c r="W21" s="1110"/>
      <c r="X21" s="299"/>
      <c r="Y21" s="300"/>
      <c r="Z21" s="290"/>
      <c r="AA21" s="301"/>
      <c r="AB21" s="302"/>
      <c r="AC21" s="303"/>
    </row>
    <row r="22" spans="1:29" s="269" customFormat="1" ht="14.25" customHeight="1" thickBot="1">
      <c r="A22" s="314"/>
      <c r="B22" s="315"/>
      <c r="C22" s="316"/>
      <c r="D22" s="316"/>
      <c r="E22" s="317"/>
      <c r="F22" s="318"/>
      <c r="G22" s="1146"/>
      <c r="H22" s="1124"/>
      <c r="I22" s="1124"/>
      <c r="J22" s="323"/>
      <c r="K22" s="1136"/>
      <c r="L22" s="1132" t="s">
        <v>989</v>
      </c>
      <c r="M22" s="1133"/>
      <c r="N22" s="1133"/>
      <c r="O22" s="1133"/>
      <c r="P22" s="309">
        <v>33081467</v>
      </c>
      <c r="Q22" s="1097"/>
      <c r="R22" s="1090" t="s">
        <v>302</v>
      </c>
      <c r="S22" s="1091"/>
      <c r="T22" s="1091"/>
      <c r="U22" s="1091"/>
      <c r="V22" s="455">
        <v>100000</v>
      </c>
      <c r="W22" s="1110"/>
      <c r="X22" s="299"/>
      <c r="Y22" s="300"/>
      <c r="Z22" s="290"/>
      <c r="AA22" s="301"/>
      <c r="AB22" s="302"/>
      <c r="AC22" s="303"/>
    </row>
    <row r="23" spans="1:29" s="269" customFormat="1" ht="18" customHeight="1" thickTop="1">
      <c r="A23" s="461"/>
      <c r="B23" s="324"/>
      <c r="C23" s="325"/>
      <c r="D23" s="325"/>
      <c r="E23" s="326"/>
      <c r="F23" s="327"/>
      <c r="G23" s="1147"/>
      <c r="H23" s="1148"/>
      <c r="I23" s="1148"/>
      <c r="J23" s="462"/>
      <c r="K23" s="1134">
        <f>SUM(J23:J24)</f>
        <v>0</v>
      </c>
      <c r="L23" s="1178" t="s">
        <v>512</v>
      </c>
      <c r="M23" s="1179"/>
      <c r="N23" s="1179"/>
      <c r="O23" s="1179"/>
      <c r="P23" s="714">
        <v>29503396</v>
      </c>
      <c r="Q23" s="1134">
        <f>SUM(P23:P24)</f>
        <v>38966057</v>
      </c>
      <c r="R23" s="329"/>
      <c r="S23" s="330"/>
      <c r="T23" s="330"/>
      <c r="U23" s="330"/>
      <c r="V23" s="331"/>
      <c r="W23" s="332"/>
      <c r="X23" s="333"/>
      <c r="Y23" s="334"/>
      <c r="Z23" s="335"/>
      <c r="AA23" s="336"/>
      <c r="AB23" s="337"/>
      <c r="AC23" s="338"/>
    </row>
    <row r="24" spans="1:223" s="429" customFormat="1" ht="19.5" customHeight="1" thickBot="1">
      <c r="A24" s="738"/>
      <c r="B24" s="1173" t="s">
        <v>95</v>
      </c>
      <c r="C24" s="1174"/>
      <c r="D24" s="739">
        <f>SUM('6. kiadások megbontása'!J67)</f>
        <v>50266760</v>
      </c>
      <c r="E24" s="740">
        <f>SUM('6. kiadások megbontása'!K67)</f>
        <v>730660</v>
      </c>
      <c r="F24" s="741">
        <f>SUM(D24:E24)</f>
        <v>50997420</v>
      </c>
      <c r="G24" s="1180"/>
      <c r="H24" s="1181"/>
      <c r="I24" s="1181"/>
      <c r="J24" s="742"/>
      <c r="K24" s="1135"/>
      <c r="L24" s="1138" t="s">
        <v>622</v>
      </c>
      <c r="M24" s="1139"/>
      <c r="N24" s="1139"/>
      <c r="O24" s="1139"/>
      <c r="P24" s="715">
        <v>9462661</v>
      </c>
      <c r="Q24" s="1135"/>
      <c r="R24" s="1138"/>
      <c r="S24" s="1139"/>
      <c r="T24" s="1139"/>
      <c r="U24" s="1139"/>
      <c r="V24" s="743"/>
      <c r="W24" s="744">
        <f>SUM(V24)</f>
        <v>0</v>
      </c>
      <c r="X24" s="745">
        <f>SUM(W24,Q23,K23)</f>
        <v>38966057</v>
      </c>
      <c r="Y24" s="746">
        <v>0</v>
      </c>
      <c r="Z24" s="747">
        <f>SUM(X24:Y24)</f>
        <v>38966057</v>
      </c>
      <c r="AA24" s="745">
        <f>X24-D24</f>
        <v>-11300703</v>
      </c>
      <c r="AB24" s="746">
        <f>Y24-E24</f>
        <v>-730660</v>
      </c>
      <c r="AC24" s="339">
        <f>SUM(AA24:AB24)</f>
        <v>-12031363</v>
      </c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51"/>
      <c r="BR24" s="451"/>
      <c r="BS24" s="451"/>
      <c r="BT24" s="451"/>
      <c r="BU24" s="451"/>
      <c r="BV24" s="451"/>
      <c r="BW24" s="451"/>
      <c r="BX24" s="451"/>
      <c r="BY24" s="451"/>
      <c r="BZ24" s="451"/>
      <c r="CA24" s="451"/>
      <c r="CB24" s="451"/>
      <c r="CC24" s="451"/>
      <c r="CD24" s="451"/>
      <c r="CE24" s="451"/>
      <c r="CF24" s="451"/>
      <c r="CG24" s="451"/>
      <c r="CH24" s="451"/>
      <c r="CI24" s="451"/>
      <c r="CJ24" s="451"/>
      <c r="CK24" s="451"/>
      <c r="CL24" s="451"/>
      <c r="CM24" s="451"/>
      <c r="CN24" s="451"/>
      <c r="CO24" s="451"/>
      <c r="CP24" s="451"/>
      <c r="CQ24" s="451"/>
      <c r="CR24" s="451"/>
      <c r="CS24" s="451"/>
      <c r="CT24" s="451"/>
      <c r="CU24" s="451"/>
      <c r="CV24" s="451"/>
      <c r="CW24" s="451"/>
      <c r="CX24" s="451"/>
      <c r="CY24" s="451"/>
      <c r="CZ24" s="451"/>
      <c r="DA24" s="451"/>
      <c r="DB24" s="451"/>
      <c r="DC24" s="451"/>
      <c r="DD24" s="451"/>
      <c r="DE24" s="451"/>
      <c r="DF24" s="451"/>
      <c r="DG24" s="451"/>
      <c r="DH24" s="451"/>
      <c r="DI24" s="451"/>
      <c r="DJ24" s="451"/>
      <c r="DK24" s="451"/>
      <c r="DL24" s="451"/>
      <c r="DM24" s="451"/>
      <c r="DN24" s="451"/>
      <c r="DO24" s="451"/>
      <c r="DP24" s="451"/>
      <c r="DQ24" s="451"/>
      <c r="DR24" s="451"/>
      <c r="DS24" s="451"/>
      <c r="DT24" s="451"/>
      <c r="DU24" s="451"/>
      <c r="DV24" s="451"/>
      <c r="DW24" s="451"/>
      <c r="DX24" s="451"/>
      <c r="DY24" s="451"/>
      <c r="DZ24" s="451"/>
      <c r="EA24" s="451"/>
      <c r="EB24" s="451"/>
      <c r="EC24" s="451"/>
      <c r="ED24" s="451"/>
      <c r="EE24" s="451"/>
      <c r="EF24" s="451"/>
      <c r="EG24" s="451"/>
      <c r="EH24" s="451"/>
      <c r="EI24" s="451"/>
      <c r="EJ24" s="451"/>
      <c r="EK24" s="451"/>
      <c r="EL24" s="451"/>
      <c r="EM24" s="451"/>
      <c r="EN24" s="451"/>
      <c r="EO24" s="451"/>
      <c r="EP24" s="451"/>
      <c r="EQ24" s="451"/>
      <c r="ER24" s="451"/>
      <c r="ES24" s="451"/>
      <c r="ET24" s="451"/>
      <c r="EU24" s="451"/>
      <c r="EV24" s="451"/>
      <c r="EW24" s="451"/>
      <c r="EX24" s="451"/>
      <c r="EY24" s="451"/>
      <c r="EZ24" s="451"/>
      <c r="FA24" s="451"/>
      <c r="FB24" s="451"/>
      <c r="FC24" s="451"/>
      <c r="FD24" s="451"/>
      <c r="FE24" s="451"/>
      <c r="FF24" s="451"/>
      <c r="FG24" s="451"/>
      <c r="FH24" s="451"/>
      <c r="FI24" s="451"/>
      <c r="FJ24" s="451"/>
      <c r="FK24" s="451"/>
      <c r="FL24" s="451"/>
      <c r="FM24" s="451"/>
      <c r="FN24" s="451"/>
      <c r="FO24" s="451"/>
      <c r="FP24" s="451"/>
      <c r="FQ24" s="451"/>
      <c r="FR24" s="451"/>
      <c r="FS24" s="451"/>
      <c r="FT24" s="451"/>
      <c r="FU24" s="451"/>
      <c r="FV24" s="451"/>
      <c r="FW24" s="451"/>
      <c r="FX24" s="451"/>
      <c r="FY24" s="451"/>
      <c r="FZ24" s="451"/>
      <c r="GA24" s="451"/>
      <c r="GB24" s="451"/>
      <c r="GC24" s="451"/>
      <c r="GD24" s="451"/>
      <c r="GE24" s="451"/>
      <c r="GF24" s="451"/>
      <c r="GG24" s="451"/>
      <c r="GH24" s="451"/>
      <c r="GI24" s="451"/>
      <c r="GJ24" s="451"/>
      <c r="GK24" s="451"/>
      <c r="GL24" s="451"/>
      <c r="GM24" s="451"/>
      <c r="GN24" s="451"/>
      <c r="GO24" s="451"/>
      <c r="GP24" s="451"/>
      <c r="GQ24" s="451"/>
      <c r="GR24" s="451"/>
      <c r="GS24" s="451"/>
      <c r="GT24" s="451"/>
      <c r="GU24" s="451"/>
      <c r="GV24" s="451"/>
      <c r="GW24" s="451"/>
      <c r="GX24" s="451"/>
      <c r="GY24" s="451"/>
      <c r="GZ24" s="451"/>
      <c r="HA24" s="451"/>
      <c r="HB24" s="451"/>
      <c r="HC24" s="451"/>
      <c r="HD24" s="451"/>
      <c r="HE24" s="451"/>
      <c r="HF24" s="451"/>
      <c r="HG24" s="451"/>
      <c r="HH24" s="451"/>
      <c r="HI24" s="451"/>
      <c r="HJ24" s="451"/>
      <c r="HK24" s="451"/>
      <c r="HL24" s="451"/>
      <c r="HM24" s="451"/>
      <c r="HN24" s="451"/>
      <c r="HO24" s="451"/>
    </row>
    <row r="25" spans="1:29" ht="16.5" customHeight="1" thickTop="1">
      <c r="A25" s="361"/>
      <c r="B25" s="317"/>
      <c r="C25" s="341"/>
      <c r="D25" s="342"/>
      <c r="E25" s="342"/>
      <c r="F25" s="318"/>
      <c r="G25" s="320"/>
      <c r="H25" s="321"/>
      <c r="I25" s="321"/>
      <c r="J25" s="343"/>
      <c r="K25" s="1134">
        <f>SUM(J25:J31)</f>
        <v>0</v>
      </c>
      <c r="L25" s="1132" t="s">
        <v>113</v>
      </c>
      <c r="M25" s="1133"/>
      <c r="N25" s="1133"/>
      <c r="O25" s="1133"/>
      <c r="P25" s="278">
        <v>2000000</v>
      </c>
      <c r="Q25" s="1134">
        <f>SUM(P25:P31)</f>
        <v>232897424</v>
      </c>
      <c r="R25" s="1090" t="s">
        <v>740</v>
      </c>
      <c r="S25" s="1091"/>
      <c r="T25" s="1091"/>
      <c r="U25" s="1091"/>
      <c r="V25" s="455">
        <v>5848600</v>
      </c>
      <c r="W25" s="1168">
        <f>SUM(V25:V31)</f>
        <v>11625600</v>
      </c>
      <c r="X25" s="344"/>
      <c r="Y25" s="345"/>
      <c r="Z25" s="346"/>
      <c r="AA25" s="344"/>
      <c r="AB25" s="345"/>
      <c r="AC25" s="327"/>
    </row>
    <row r="26" spans="1:29" ht="22.5" customHeight="1">
      <c r="A26" s="361"/>
      <c r="B26" s="317"/>
      <c r="C26" s="341"/>
      <c r="D26" s="342"/>
      <c r="E26" s="317"/>
      <c r="F26" s="318"/>
      <c r="G26" s="320"/>
      <c r="H26" s="321"/>
      <c r="I26" s="321"/>
      <c r="J26" s="343"/>
      <c r="K26" s="1136"/>
      <c r="L26" s="1132" t="s">
        <v>1109</v>
      </c>
      <c r="M26" s="1133"/>
      <c r="N26" s="1133"/>
      <c r="O26" s="1133"/>
      <c r="P26" s="278">
        <v>1100000</v>
      </c>
      <c r="Q26" s="1136"/>
      <c r="R26" s="1092" t="s">
        <v>1131</v>
      </c>
      <c r="S26" s="1093"/>
      <c r="T26" s="1093"/>
      <c r="U26" s="1093"/>
      <c r="V26" s="455">
        <f>48819+13181</f>
        <v>62000</v>
      </c>
      <c r="W26" s="1169"/>
      <c r="X26" s="768"/>
      <c r="Y26" s="342"/>
      <c r="Z26" s="317"/>
      <c r="AA26" s="361"/>
      <c r="AB26" s="342"/>
      <c r="AC26" s="318"/>
    </row>
    <row r="27" spans="1:29" ht="24.75" customHeight="1">
      <c r="A27" s="361"/>
      <c r="B27" s="317"/>
      <c r="C27" s="341"/>
      <c r="D27" s="342"/>
      <c r="E27" s="317"/>
      <c r="F27" s="318"/>
      <c r="G27" s="320"/>
      <c r="H27" s="321"/>
      <c r="I27" s="321"/>
      <c r="J27" s="343"/>
      <c r="K27" s="1136"/>
      <c r="L27" s="1092" t="s">
        <v>897</v>
      </c>
      <c r="M27" s="1093"/>
      <c r="N27" s="1093"/>
      <c r="O27" s="1093"/>
      <c r="P27" s="278">
        <v>17772766</v>
      </c>
      <c r="Q27" s="1136"/>
      <c r="R27" s="1092" t="s">
        <v>741</v>
      </c>
      <c r="S27" s="1093"/>
      <c r="T27" s="1093"/>
      <c r="U27" s="1093"/>
      <c r="V27" s="455">
        <v>5715000</v>
      </c>
      <c r="W27" s="1169"/>
      <c r="X27" s="768"/>
      <c r="Y27" s="342"/>
      <c r="Z27" s="317"/>
      <c r="AA27" s="361"/>
      <c r="AB27" s="342"/>
      <c r="AC27" s="318"/>
    </row>
    <row r="28" spans="1:29" ht="27.75" customHeight="1">
      <c r="A28" s="361"/>
      <c r="B28" s="317"/>
      <c r="C28" s="341"/>
      <c r="D28" s="342"/>
      <c r="E28" s="317"/>
      <c r="F28" s="318"/>
      <c r="G28" s="320"/>
      <c r="H28" s="321"/>
      <c r="I28" s="321"/>
      <c r="J28" s="343"/>
      <c r="K28" s="1136"/>
      <c r="L28" s="1092" t="s">
        <v>895</v>
      </c>
      <c r="M28" s="1093"/>
      <c r="N28" s="1093"/>
      <c r="O28" s="1093"/>
      <c r="P28" s="453">
        <f>88971424+10976885</f>
        <v>99948309</v>
      </c>
      <c r="Q28" s="1136"/>
      <c r="R28" s="756"/>
      <c r="S28" s="757"/>
      <c r="T28" s="757"/>
      <c r="U28" s="757"/>
      <c r="V28" s="455"/>
      <c r="W28" s="1169"/>
      <c r="X28" s="768"/>
      <c r="Y28" s="342"/>
      <c r="Z28" s="317"/>
      <c r="AA28" s="361"/>
      <c r="AB28" s="342"/>
      <c r="AC28" s="318"/>
    </row>
    <row r="29" spans="1:29" ht="26.25" customHeight="1">
      <c r="A29" s="361"/>
      <c r="B29" s="317"/>
      <c r="C29" s="341"/>
      <c r="D29" s="342"/>
      <c r="E29" s="317"/>
      <c r="F29" s="318"/>
      <c r="G29" s="320"/>
      <c r="H29" s="321"/>
      <c r="I29" s="321"/>
      <c r="J29" s="343"/>
      <c r="K29" s="1136"/>
      <c r="L29" s="1092" t="s">
        <v>896</v>
      </c>
      <c r="M29" s="1093"/>
      <c r="N29" s="1093"/>
      <c r="O29" s="1093"/>
      <c r="P29" s="278">
        <v>32379432</v>
      </c>
      <c r="Q29" s="1136"/>
      <c r="R29" s="756"/>
      <c r="S29" s="757"/>
      <c r="T29" s="757"/>
      <c r="U29" s="757"/>
      <c r="V29" s="455"/>
      <c r="W29" s="1169"/>
      <c r="X29" s="768"/>
      <c r="Y29" s="342"/>
      <c r="Z29" s="317"/>
      <c r="AA29" s="361"/>
      <c r="AB29" s="342"/>
      <c r="AC29" s="318"/>
    </row>
    <row r="30" spans="1:29" ht="30" customHeight="1">
      <c r="A30" s="361"/>
      <c r="B30" s="317"/>
      <c r="C30" s="341"/>
      <c r="D30" s="342"/>
      <c r="E30" s="317"/>
      <c r="F30" s="318"/>
      <c r="G30" s="320"/>
      <c r="H30" s="321"/>
      <c r="I30" s="321"/>
      <c r="J30" s="343"/>
      <c r="K30" s="1136"/>
      <c r="L30" s="1090" t="s">
        <v>1201</v>
      </c>
      <c r="M30" s="1091"/>
      <c r="N30" s="1091"/>
      <c r="O30" s="1091"/>
      <c r="P30" s="278">
        <v>20805062</v>
      </c>
      <c r="Q30" s="1136"/>
      <c r="R30" s="756"/>
      <c r="S30" s="757"/>
      <c r="T30" s="757"/>
      <c r="U30" s="757"/>
      <c r="V30" s="455"/>
      <c r="W30" s="1169"/>
      <c r="X30" s="768"/>
      <c r="Y30" s="342"/>
      <c r="Z30" s="317"/>
      <c r="AA30" s="361"/>
      <c r="AB30" s="342"/>
      <c r="AC30" s="318"/>
    </row>
    <row r="31" spans="1:29" ht="25.5" customHeight="1" thickBot="1">
      <c r="A31" s="1175" t="s">
        <v>483</v>
      </c>
      <c r="B31" s="1176"/>
      <c r="C31" s="1177"/>
      <c r="D31" s="347">
        <f>SUM('6. kiadások megbontása'!G67)</f>
        <v>289045668</v>
      </c>
      <c r="E31" s="297">
        <f>SUM('6. kiadások megbontása'!H67)</f>
        <v>675626809</v>
      </c>
      <c r="F31" s="298">
        <f>SUM(D31:E31)</f>
        <v>964672477</v>
      </c>
      <c r="G31" s="348"/>
      <c r="H31" s="281"/>
      <c r="I31" s="281"/>
      <c r="J31" s="309"/>
      <c r="K31" s="1137"/>
      <c r="L31" s="1092" t="s">
        <v>1117</v>
      </c>
      <c r="M31" s="1093"/>
      <c r="N31" s="1093"/>
      <c r="O31" s="1093"/>
      <c r="P31" s="278">
        <f>63035474-2893619-1250000</f>
        <v>58891855</v>
      </c>
      <c r="Q31" s="1137"/>
      <c r="R31" s="1171"/>
      <c r="S31" s="1172"/>
      <c r="T31" s="1172"/>
      <c r="U31" s="1172"/>
      <c r="V31" s="454"/>
      <c r="W31" s="1170"/>
      <c r="X31" s="349">
        <f>SUM(W25,Q25,K25)</f>
        <v>244523024</v>
      </c>
      <c r="Y31" s="311">
        <f>SUM(Q32,W32,K32)</f>
        <v>667322442</v>
      </c>
      <c r="Z31" s="312">
        <f>SUM(X31:Y31)</f>
        <v>911845466</v>
      </c>
      <c r="AA31" s="310">
        <f>X31-D31</f>
        <v>-44522644</v>
      </c>
      <c r="AB31" s="311">
        <f>Y31-E31</f>
        <v>-8304367</v>
      </c>
      <c r="AC31" s="313">
        <f>SUM(AA31:AB31)</f>
        <v>-52827011</v>
      </c>
    </row>
    <row r="32" spans="1:29" ht="42" customHeight="1">
      <c r="A32" s="293"/>
      <c r="B32" s="294"/>
      <c r="C32" s="295"/>
      <c r="D32" s="347"/>
      <c r="E32" s="297"/>
      <c r="F32" s="298"/>
      <c r="G32" s="584"/>
      <c r="H32" s="585"/>
      <c r="I32" s="585"/>
      <c r="J32" s="322"/>
      <c r="K32" s="1143">
        <f>SUM(J39:J39)</f>
        <v>0</v>
      </c>
      <c r="L32" s="1130" t="s">
        <v>807</v>
      </c>
      <c r="M32" s="1131"/>
      <c r="N32" s="1131"/>
      <c r="O32" s="1131"/>
      <c r="P32" s="713">
        <f>21694288+192470000</f>
        <v>214164288</v>
      </c>
      <c r="Q32" s="1143">
        <f>SUM(P32:P39)</f>
        <v>398956658</v>
      </c>
      <c r="R32" s="1090" t="s">
        <v>738</v>
      </c>
      <c r="S32" s="1091"/>
      <c r="T32" s="1091"/>
      <c r="U32" s="1091"/>
      <c r="V32" s="456">
        <f>276567184-8201400</f>
        <v>268365784</v>
      </c>
      <c r="W32" s="1109">
        <f>SUM(V32:V39)</f>
        <v>268365784</v>
      </c>
      <c r="X32" s="350"/>
      <c r="Y32" s="311"/>
      <c r="Z32" s="312"/>
      <c r="AA32" s="310"/>
      <c r="AB32" s="311"/>
      <c r="AC32" s="313"/>
    </row>
    <row r="33" spans="1:29" ht="51.75" customHeight="1">
      <c r="A33" s="293"/>
      <c r="B33" s="294"/>
      <c r="C33" s="295"/>
      <c r="D33" s="347"/>
      <c r="E33" s="297"/>
      <c r="F33" s="298"/>
      <c r="G33" s="348"/>
      <c r="H33" s="281"/>
      <c r="I33" s="281"/>
      <c r="J33" s="309"/>
      <c r="K33" s="1136"/>
      <c r="L33" s="1092" t="s">
        <v>1204</v>
      </c>
      <c r="M33" s="1093"/>
      <c r="N33" s="1093"/>
      <c r="O33" s="1093"/>
      <c r="P33" s="453">
        <f>2500000+6019000+5000000+95000000+106200000+47500000-112219000</f>
        <v>150000000</v>
      </c>
      <c r="Q33" s="1136"/>
      <c r="R33" s="756"/>
      <c r="S33" s="757"/>
      <c r="T33" s="757"/>
      <c r="U33" s="757"/>
      <c r="V33" s="456"/>
      <c r="W33" s="1110"/>
      <c r="X33" s="350"/>
      <c r="Y33" s="311"/>
      <c r="Z33" s="312"/>
      <c r="AA33" s="310"/>
      <c r="AB33" s="311"/>
      <c r="AC33" s="313"/>
    </row>
    <row r="34" spans="1:29" ht="26.25" customHeight="1">
      <c r="A34" s="293"/>
      <c r="B34" s="294"/>
      <c r="C34" s="295"/>
      <c r="D34" s="347"/>
      <c r="E34" s="297"/>
      <c r="F34" s="298"/>
      <c r="G34" s="348"/>
      <c r="H34" s="281"/>
      <c r="I34" s="281"/>
      <c r="J34" s="309"/>
      <c r="K34" s="1136"/>
      <c r="L34" s="1092" t="s">
        <v>1201</v>
      </c>
      <c r="M34" s="1093"/>
      <c r="N34" s="1093"/>
      <c r="O34" s="1093"/>
      <c r="P34" s="457">
        <v>830000</v>
      </c>
      <c r="Q34" s="1136"/>
      <c r="R34" s="756"/>
      <c r="S34" s="757"/>
      <c r="T34" s="757"/>
      <c r="U34" s="757"/>
      <c r="V34" s="456"/>
      <c r="W34" s="1110"/>
      <c r="X34" s="350"/>
      <c r="Y34" s="311"/>
      <c r="Z34" s="312"/>
      <c r="AA34" s="310"/>
      <c r="AB34" s="311"/>
      <c r="AC34" s="313"/>
    </row>
    <row r="35" spans="1:223" s="429" customFormat="1" ht="17.25" customHeight="1">
      <c r="A35" s="861"/>
      <c r="B35" s="862"/>
      <c r="C35" s="863"/>
      <c r="D35" s="864"/>
      <c r="E35" s="953"/>
      <c r="F35" s="954"/>
      <c r="G35" s="860"/>
      <c r="H35" s="755"/>
      <c r="I35" s="755"/>
      <c r="J35" s="453"/>
      <c r="K35" s="1136"/>
      <c r="L35" s="1132" t="s">
        <v>993</v>
      </c>
      <c r="M35" s="1133"/>
      <c r="N35" s="1133"/>
      <c r="O35" s="1133"/>
      <c r="P35" s="457">
        <v>1920000</v>
      </c>
      <c r="Q35" s="1136"/>
      <c r="R35" s="756"/>
      <c r="S35" s="757"/>
      <c r="T35" s="757"/>
      <c r="U35" s="757"/>
      <c r="V35" s="456"/>
      <c r="W35" s="1110"/>
      <c r="X35" s="299"/>
      <c r="Y35" s="955"/>
      <c r="Z35" s="956"/>
      <c r="AA35" s="957"/>
      <c r="AB35" s="955"/>
      <c r="AC35" s="958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CZ35" s="451"/>
      <c r="DA35" s="451"/>
      <c r="DB35" s="451"/>
      <c r="DC35" s="451"/>
      <c r="DD35" s="451"/>
      <c r="DE35" s="451"/>
      <c r="DF35" s="451"/>
      <c r="DG35" s="451"/>
      <c r="DH35" s="451"/>
      <c r="DI35" s="451"/>
      <c r="DJ35" s="451"/>
      <c r="DK35" s="451"/>
      <c r="DL35" s="451"/>
      <c r="DM35" s="451"/>
      <c r="DN35" s="451"/>
      <c r="DO35" s="451"/>
      <c r="DP35" s="451"/>
      <c r="DQ35" s="451"/>
      <c r="DR35" s="451"/>
      <c r="DS35" s="451"/>
      <c r="DT35" s="451"/>
      <c r="DU35" s="451"/>
      <c r="DV35" s="451"/>
      <c r="DW35" s="451"/>
      <c r="DX35" s="451"/>
      <c r="DY35" s="451"/>
      <c r="DZ35" s="451"/>
      <c r="EA35" s="451"/>
      <c r="EB35" s="451"/>
      <c r="EC35" s="451"/>
      <c r="ED35" s="451"/>
      <c r="EE35" s="451"/>
      <c r="EF35" s="451"/>
      <c r="EG35" s="451"/>
      <c r="EH35" s="451"/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451"/>
      <c r="EX35" s="451"/>
      <c r="EY35" s="451"/>
      <c r="EZ35" s="451"/>
      <c r="FA35" s="451"/>
      <c r="FB35" s="451"/>
      <c r="FC35" s="451"/>
      <c r="FD35" s="451"/>
      <c r="FE35" s="451"/>
      <c r="FF35" s="451"/>
      <c r="FG35" s="451"/>
      <c r="FH35" s="451"/>
      <c r="FI35" s="451"/>
      <c r="FJ35" s="451"/>
      <c r="FK35" s="451"/>
      <c r="FL35" s="451"/>
      <c r="FM35" s="451"/>
      <c r="FN35" s="451"/>
      <c r="FO35" s="451"/>
      <c r="FP35" s="451"/>
      <c r="FQ35" s="451"/>
      <c r="FR35" s="451"/>
      <c r="FS35" s="451"/>
      <c r="FT35" s="451"/>
      <c r="FU35" s="451"/>
      <c r="FV35" s="451"/>
      <c r="FW35" s="451"/>
      <c r="FX35" s="451"/>
      <c r="FY35" s="451"/>
      <c r="FZ35" s="451"/>
      <c r="GA35" s="451"/>
      <c r="GB35" s="451"/>
      <c r="GC35" s="451"/>
      <c r="GD35" s="451"/>
      <c r="GE35" s="451"/>
      <c r="GF35" s="451"/>
      <c r="GG35" s="451"/>
      <c r="GH35" s="451"/>
      <c r="GI35" s="451"/>
      <c r="GJ35" s="451"/>
      <c r="GK35" s="451"/>
      <c r="GL35" s="451"/>
      <c r="GM35" s="451"/>
      <c r="GN35" s="451"/>
      <c r="GO35" s="451"/>
      <c r="GP35" s="451"/>
      <c r="GQ35" s="451"/>
      <c r="GR35" s="451"/>
      <c r="GS35" s="451"/>
      <c r="GT35" s="451"/>
      <c r="GU35" s="451"/>
      <c r="GV35" s="451"/>
      <c r="GW35" s="451"/>
      <c r="GX35" s="451"/>
      <c r="GY35" s="451"/>
      <c r="GZ35" s="451"/>
      <c r="HA35" s="451"/>
      <c r="HB35" s="451"/>
      <c r="HC35" s="451"/>
      <c r="HD35" s="451"/>
      <c r="HE35" s="451"/>
      <c r="HF35" s="451"/>
      <c r="HG35" s="451"/>
      <c r="HH35" s="451"/>
      <c r="HI35" s="451"/>
      <c r="HJ35" s="451"/>
      <c r="HK35" s="451"/>
      <c r="HL35" s="451"/>
      <c r="HM35" s="451"/>
      <c r="HN35" s="451"/>
      <c r="HO35" s="451"/>
    </row>
    <row r="36" spans="1:29" ht="26.25" customHeight="1">
      <c r="A36" s="293"/>
      <c r="B36" s="294"/>
      <c r="C36" s="295"/>
      <c r="D36" s="347"/>
      <c r="E36" s="297"/>
      <c r="F36" s="298"/>
      <c r="G36" s="348"/>
      <c r="H36" s="281"/>
      <c r="I36" s="281"/>
      <c r="J36" s="309"/>
      <c r="K36" s="1136"/>
      <c r="L36" s="1092" t="s">
        <v>809</v>
      </c>
      <c r="M36" s="1093"/>
      <c r="N36" s="1093"/>
      <c r="O36" s="1093"/>
      <c r="P36" s="453">
        <v>9889960</v>
      </c>
      <c r="Q36" s="1136"/>
      <c r="R36" s="756"/>
      <c r="S36" s="757"/>
      <c r="T36" s="757"/>
      <c r="U36" s="757"/>
      <c r="V36" s="456"/>
      <c r="W36" s="1110"/>
      <c r="X36" s="350"/>
      <c r="Y36" s="311"/>
      <c r="Z36" s="312"/>
      <c r="AA36" s="310"/>
      <c r="AB36" s="311"/>
      <c r="AC36" s="313"/>
    </row>
    <row r="37" spans="1:29" ht="26.25" customHeight="1">
      <c r="A37" s="293"/>
      <c r="B37" s="294"/>
      <c r="C37" s="295"/>
      <c r="D37" s="347"/>
      <c r="E37" s="297"/>
      <c r="F37" s="298"/>
      <c r="G37" s="348"/>
      <c r="H37" s="281"/>
      <c r="I37" s="281"/>
      <c r="J37" s="309"/>
      <c r="K37" s="1136"/>
      <c r="L37" s="1092" t="s">
        <v>898</v>
      </c>
      <c r="M37" s="1093"/>
      <c r="N37" s="1093"/>
      <c r="O37" s="1093"/>
      <c r="P37" s="453">
        <v>2497100</v>
      </c>
      <c r="Q37" s="1136"/>
      <c r="R37" s="756"/>
      <c r="S37" s="757"/>
      <c r="T37" s="757"/>
      <c r="U37" s="757"/>
      <c r="V37" s="456"/>
      <c r="W37" s="1110"/>
      <c r="X37" s="350"/>
      <c r="Y37" s="311"/>
      <c r="Z37" s="312"/>
      <c r="AA37" s="310"/>
      <c r="AB37" s="311"/>
      <c r="AC37" s="313"/>
    </row>
    <row r="38" spans="1:29" ht="26.25" customHeight="1">
      <c r="A38" s="293"/>
      <c r="B38" s="294"/>
      <c r="C38" s="295"/>
      <c r="D38" s="347"/>
      <c r="E38" s="297"/>
      <c r="F38" s="298"/>
      <c r="G38" s="348"/>
      <c r="H38" s="281"/>
      <c r="I38" s="281"/>
      <c r="J38" s="309"/>
      <c r="K38" s="1136"/>
      <c r="L38" s="1092" t="s">
        <v>1117</v>
      </c>
      <c r="M38" s="1093"/>
      <c r="N38" s="1093"/>
      <c r="O38" s="1093"/>
      <c r="P38" s="453">
        <f>2893619+1250000</f>
        <v>4143619</v>
      </c>
      <c r="Q38" s="1136"/>
      <c r="R38" s="756"/>
      <c r="S38" s="757"/>
      <c r="T38" s="757"/>
      <c r="U38" s="757"/>
      <c r="V38" s="456"/>
      <c r="W38" s="1110"/>
      <c r="X38" s="350"/>
      <c r="Y38" s="311"/>
      <c r="Z38" s="312"/>
      <c r="AA38" s="310"/>
      <c r="AB38" s="311"/>
      <c r="AC38" s="313"/>
    </row>
    <row r="39" spans="1:29" ht="27" customHeight="1" thickBot="1">
      <c r="A39" s="1175"/>
      <c r="B39" s="1176"/>
      <c r="C39" s="1177"/>
      <c r="D39" s="347"/>
      <c r="E39" s="297"/>
      <c r="F39" s="298"/>
      <c r="G39" s="636"/>
      <c r="H39" s="637"/>
      <c r="I39" s="637"/>
      <c r="J39" s="638"/>
      <c r="K39" s="1137"/>
      <c r="L39" s="1171" t="s">
        <v>894</v>
      </c>
      <c r="M39" s="1172"/>
      <c r="N39" s="1172"/>
      <c r="O39" s="1172"/>
      <c r="P39" s="635">
        <v>15511691</v>
      </c>
      <c r="Q39" s="1137"/>
      <c r="R39" s="1107"/>
      <c r="S39" s="1108"/>
      <c r="T39" s="1108"/>
      <c r="U39" s="1108"/>
      <c r="V39" s="456"/>
      <c r="W39" s="1111"/>
      <c r="X39" s="350"/>
      <c r="Y39" s="351"/>
      <c r="Z39" s="312"/>
      <c r="AA39" s="310"/>
      <c r="AB39" s="311"/>
      <c r="AC39" s="303"/>
    </row>
    <row r="40" spans="1:223" s="429" customFormat="1" ht="25.5" customHeight="1" thickBot="1">
      <c r="A40" s="1193" t="s">
        <v>96</v>
      </c>
      <c r="B40" s="1194"/>
      <c r="C40" s="1195"/>
      <c r="D40" s="717">
        <f>SUM(D9:D39)</f>
        <v>981820668</v>
      </c>
      <c r="E40" s="718">
        <f>SUM(E8:E39)</f>
        <v>906065000</v>
      </c>
      <c r="F40" s="719">
        <f>SUM(F8:F39)</f>
        <v>1887885668</v>
      </c>
      <c r="G40" s="445"/>
      <c r="H40" s="1196" t="s">
        <v>97</v>
      </c>
      <c r="I40" s="1197"/>
      <c r="J40" s="1198"/>
      <c r="K40" s="750">
        <f>SUM(K8:K32)</f>
        <v>258399146</v>
      </c>
      <c r="L40" s="443"/>
      <c r="M40" s="1141" t="s">
        <v>98</v>
      </c>
      <c r="N40" s="1141"/>
      <c r="O40" s="1141"/>
      <c r="P40" s="1142"/>
      <c r="Q40" s="750">
        <f>SUM(Q8:Q32)</f>
        <v>962549262</v>
      </c>
      <c r="R40" s="443"/>
      <c r="S40" s="1141" t="s">
        <v>99</v>
      </c>
      <c r="T40" s="1141"/>
      <c r="U40" s="1141"/>
      <c r="V40" s="1142"/>
      <c r="W40" s="750">
        <f>SUM(W8:W32)</f>
        <v>698203723</v>
      </c>
      <c r="X40" s="751">
        <f>SUM(X8:X39)</f>
        <v>1008273550</v>
      </c>
      <c r="Y40" s="724">
        <f>SUM(Y8:Y39)</f>
        <v>910878581</v>
      </c>
      <c r="Z40" s="725">
        <f>SUM(X40:Y40)</f>
        <v>1919152131</v>
      </c>
      <c r="AA40" s="726">
        <f>SUM(AA11:AA39)</f>
        <v>26452882</v>
      </c>
      <c r="AB40" s="727">
        <f>SUM(AB10:AB39)</f>
        <v>4813581</v>
      </c>
      <c r="AC40" s="752">
        <f>SUM(AA40:AB40)</f>
        <v>31266463</v>
      </c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451"/>
      <c r="CI40" s="451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/>
      <c r="CU40" s="451"/>
      <c r="CV40" s="451"/>
      <c r="CW40" s="451"/>
      <c r="CX40" s="451"/>
      <c r="CY40" s="451"/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1"/>
      <c r="DU40" s="451"/>
      <c r="DV40" s="451"/>
      <c r="DW40" s="451"/>
      <c r="DX40" s="451"/>
      <c r="DY40" s="451"/>
      <c r="DZ40" s="451"/>
      <c r="EA40" s="451"/>
      <c r="EB40" s="451"/>
      <c r="EC40" s="451"/>
      <c r="ED40" s="451"/>
      <c r="EE40" s="451"/>
      <c r="EF40" s="451"/>
      <c r="EG40" s="451"/>
      <c r="EH40" s="451"/>
      <c r="EI40" s="451"/>
      <c r="EJ40" s="451"/>
      <c r="EK40" s="451"/>
      <c r="EL40" s="451"/>
      <c r="EM40" s="451"/>
      <c r="EN40" s="451"/>
      <c r="EO40" s="451"/>
      <c r="EP40" s="451"/>
      <c r="EQ40" s="451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1"/>
      <c r="FE40" s="451"/>
      <c r="FF40" s="451"/>
      <c r="FG40" s="451"/>
      <c r="FH40" s="451"/>
      <c r="FI40" s="451"/>
      <c r="FJ40" s="451"/>
      <c r="FK40" s="451"/>
      <c r="FL40" s="451"/>
      <c r="FM40" s="451"/>
      <c r="FN40" s="451"/>
      <c r="FO40" s="451"/>
      <c r="FP40" s="451"/>
      <c r="FQ40" s="451"/>
      <c r="FR40" s="451"/>
      <c r="FS40" s="451"/>
      <c r="FT40" s="451"/>
      <c r="FU40" s="451"/>
      <c r="FV40" s="451"/>
      <c r="FW40" s="451"/>
      <c r="FX40" s="451"/>
      <c r="FY40" s="451"/>
      <c r="FZ40" s="451"/>
      <c r="GA40" s="451"/>
      <c r="GB40" s="451"/>
      <c r="GC40" s="451"/>
      <c r="GD40" s="451"/>
      <c r="GE40" s="451"/>
      <c r="GF40" s="451"/>
      <c r="GG40" s="451"/>
      <c r="GH40" s="451"/>
      <c r="GI40" s="451"/>
      <c r="GJ40" s="451"/>
      <c r="GK40" s="451"/>
      <c r="GL40" s="451"/>
      <c r="GM40" s="451"/>
      <c r="GN40" s="451"/>
      <c r="GO40" s="451"/>
      <c r="GP40" s="451"/>
      <c r="GQ40" s="451"/>
      <c r="GR40" s="451"/>
      <c r="GS40" s="451"/>
      <c r="GT40" s="451"/>
      <c r="GU40" s="451"/>
      <c r="GV40" s="451"/>
      <c r="GW40" s="451"/>
      <c r="GX40" s="451"/>
      <c r="GY40" s="451"/>
      <c r="GZ40" s="451"/>
      <c r="HA40" s="451"/>
      <c r="HB40" s="451"/>
      <c r="HC40" s="451"/>
      <c r="HD40" s="451"/>
      <c r="HE40" s="451"/>
      <c r="HF40" s="451"/>
      <c r="HG40" s="451"/>
      <c r="HH40" s="451"/>
      <c r="HI40" s="451"/>
      <c r="HJ40" s="451"/>
      <c r="HK40" s="451"/>
      <c r="HL40" s="451"/>
      <c r="HM40" s="451"/>
      <c r="HN40" s="451"/>
      <c r="HO40" s="451"/>
    </row>
    <row r="41" spans="1:29" ht="27.75" customHeight="1" thickBot="1" thickTop="1">
      <c r="A41" s="1187" t="s">
        <v>100</v>
      </c>
      <c r="B41" s="1201"/>
      <c r="C41" s="1202"/>
      <c r="D41" s="1191" t="s">
        <v>358</v>
      </c>
      <c r="E41" s="1099"/>
      <c r="F41" s="1140"/>
      <c r="G41" s="1158" t="s">
        <v>507</v>
      </c>
      <c r="H41" s="1099"/>
      <c r="I41" s="1099"/>
      <c r="J41" s="1099"/>
      <c r="K41" s="1100"/>
      <c r="L41" s="1098" t="s">
        <v>508</v>
      </c>
      <c r="M41" s="1099"/>
      <c r="N41" s="1099"/>
      <c r="O41" s="1099"/>
      <c r="P41" s="1099"/>
      <c r="Q41" s="1100"/>
      <c r="R41" s="1098" t="s">
        <v>509</v>
      </c>
      <c r="S41" s="1099"/>
      <c r="T41" s="1099"/>
      <c r="U41" s="1099"/>
      <c r="V41" s="1099"/>
      <c r="W41" s="1140"/>
      <c r="X41" s="1149" t="s">
        <v>510</v>
      </c>
      <c r="Y41" s="1150"/>
      <c r="Z41" s="1150"/>
      <c r="AA41" s="1184" t="s">
        <v>90</v>
      </c>
      <c r="AB41" s="1185"/>
      <c r="AC41" s="1186"/>
    </row>
    <row r="42" spans="1:223" s="357" customFormat="1" ht="18.75" customHeight="1" thickBot="1" thickTop="1">
      <c r="A42" s="1203"/>
      <c r="B42" s="1204"/>
      <c r="C42" s="1205"/>
      <c r="D42" s="428" t="s">
        <v>91</v>
      </c>
      <c r="E42" s="749" t="s">
        <v>87</v>
      </c>
      <c r="F42" s="272" t="s">
        <v>92</v>
      </c>
      <c r="G42" s="1199"/>
      <c r="H42" s="1102"/>
      <c r="I42" s="1102"/>
      <c r="J42" s="1200"/>
      <c r="K42" s="1103"/>
      <c r="L42" s="1101"/>
      <c r="M42" s="1102"/>
      <c r="N42" s="1102"/>
      <c r="O42" s="1102"/>
      <c r="P42" s="1102"/>
      <c r="Q42" s="1103"/>
      <c r="R42" s="1101"/>
      <c r="S42" s="1102"/>
      <c r="T42" s="1102"/>
      <c r="U42" s="1102"/>
      <c r="V42" s="1102"/>
      <c r="W42" s="1192"/>
      <c r="X42" s="734" t="s">
        <v>91</v>
      </c>
      <c r="Y42" s="737" t="s">
        <v>87</v>
      </c>
      <c r="Z42" s="272" t="s">
        <v>92</v>
      </c>
      <c r="AA42" s="729" t="s">
        <v>91</v>
      </c>
      <c r="AB42" s="428" t="s">
        <v>87</v>
      </c>
      <c r="AC42" s="272" t="s">
        <v>92</v>
      </c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69"/>
      <c r="DK42" s="269"/>
      <c r="DL42" s="269"/>
      <c r="DM42" s="269"/>
      <c r="DN42" s="269"/>
      <c r="DO42" s="269"/>
      <c r="DP42" s="269"/>
      <c r="DQ42" s="269"/>
      <c r="DR42" s="269"/>
      <c r="DS42" s="269"/>
      <c r="DT42" s="269"/>
      <c r="DU42" s="269"/>
      <c r="DV42" s="269"/>
      <c r="DW42" s="269"/>
      <c r="DX42" s="269"/>
      <c r="DY42" s="269"/>
      <c r="DZ42" s="269"/>
      <c r="EA42" s="269"/>
      <c r="EB42" s="269"/>
      <c r="EC42" s="269"/>
      <c r="ED42" s="269"/>
      <c r="EE42" s="269"/>
      <c r="EF42" s="269"/>
      <c r="EG42" s="269"/>
      <c r="EH42" s="269"/>
      <c r="EI42" s="269"/>
      <c r="EJ42" s="269"/>
      <c r="EK42" s="269"/>
      <c r="EL42" s="269"/>
      <c r="EM42" s="269"/>
      <c r="EN42" s="269"/>
      <c r="EO42" s="269"/>
      <c r="EP42" s="269"/>
      <c r="EQ42" s="269"/>
      <c r="ER42" s="269"/>
      <c r="ES42" s="269"/>
      <c r="ET42" s="269"/>
      <c r="EU42" s="269"/>
      <c r="EV42" s="269"/>
      <c r="EW42" s="269"/>
      <c r="EX42" s="269"/>
      <c r="EY42" s="269"/>
      <c r="EZ42" s="269"/>
      <c r="FA42" s="269"/>
      <c r="FB42" s="269"/>
      <c r="FC42" s="269"/>
      <c r="FD42" s="269"/>
      <c r="FE42" s="269"/>
      <c r="FF42" s="269"/>
      <c r="FG42" s="269"/>
      <c r="FH42" s="269"/>
      <c r="FI42" s="269"/>
      <c r="FJ42" s="269"/>
      <c r="FK42" s="269"/>
      <c r="FL42" s="269"/>
      <c r="FM42" s="269"/>
      <c r="FN42" s="269"/>
      <c r="FO42" s="269"/>
      <c r="FP42" s="269"/>
      <c r="FQ42" s="269"/>
      <c r="FR42" s="269"/>
      <c r="FS42" s="269"/>
      <c r="FT42" s="269"/>
      <c r="FU42" s="269"/>
      <c r="FV42" s="269"/>
      <c r="FW42" s="269"/>
      <c r="FX42" s="269"/>
      <c r="FY42" s="269"/>
      <c r="FZ42" s="269"/>
      <c r="GA42" s="269"/>
      <c r="GB42" s="269"/>
      <c r="GC42" s="269"/>
      <c r="GD42" s="269"/>
      <c r="GE42" s="269"/>
      <c r="GF42" s="269"/>
      <c r="GG42" s="269"/>
      <c r="GH42" s="269"/>
      <c r="GI42" s="269"/>
      <c r="GJ42" s="269"/>
      <c r="GK42" s="269"/>
      <c r="GL42" s="269"/>
      <c r="GM42" s="269"/>
      <c r="GN42" s="269"/>
      <c r="GO42" s="269"/>
      <c r="GP42" s="269"/>
      <c r="GQ42" s="269"/>
      <c r="GR42" s="269"/>
      <c r="GS42" s="269"/>
      <c r="GT42" s="269"/>
      <c r="GU42" s="269"/>
      <c r="GV42" s="269"/>
      <c r="GW42" s="269"/>
      <c r="GX42" s="269"/>
      <c r="GY42" s="269"/>
      <c r="GZ42" s="269"/>
      <c r="HA42" s="269"/>
      <c r="HB42" s="269"/>
      <c r="HC42" s="269"/>
      <c r="HD42" s="269"/>
      <c r="HE42" s="269"/>
      <c r="HF42" s="269"/>
      <c r="HG42" s="269"/>
      <c r="HH42" s="269"/>
      <c r="HI42" s="269"/>
      <c r="HJ42" s="269"/>
      <c r="HK42" s="269"/>
      <c r="HL42" s="269"/>
      <c r="HM42" s="269"/>
      <c r="HN42" s="269"/>
      <c r="HO42" s="269"/>
    </row>
    <row r="43" spans="1:29" ht="12.75" customHeight="1">
      <c r="A43" s="273"/>
      <c r="B43" s="317"/>
      <c r="C43" s="317"/>
      <c r="D43" s="342"/>
      <c r="E43" s="317"/>
      <c r="F43" s="277"/>
      <c r="G43" s="1254" t="s">
        <v>459</v>
      </c>
      <c r="H43" s="1255"/>
      <c r="I43" s="1255"/>
      <c r="J43" s="1259">
        <v>120637200</v>
      </c>
      <c r="K43" s="1258">
        <f>SUM(J43:J47)</f>
        <v>121138877</v>
      </c>
      <c r="L43" s="1094" t="s">
        <v>737</v>
      </c>
      <c r="M43" s="1095"/>
      <c r="N43" s="1095"/>
      <c r="O43" s="1095"/>
      <c r="P43" s="1118">
        <v>5650000</v>
      </c>
      <c r="Q43" s="1143">
        <f>SUM(P43:P47)</f>
        <v>9900472</v>
      </c>
      <c r="R43" s="1154" t="s">
        <v>857</v>
      </c>
      <c r="S43" s="1155"/>
      <c r="T43" s="1155"/>
      <c r="U43" s="1155"/>
      <c r="V43" s="1118">
        <v>250000</v>
      </c>
      <c r="W43" s="1109">
        <f>SUM(V43:V47)</f>
        <v>5616285</v>
      </c>
      <c r="X43" s="358"/>
      <c r="Y43" s="359"/>
      <c r="Z43" s="360"/>
      <c r="AA43" s="273"/>
      <c r="AB43" s="291"/>
      <c r="AC43" s="292"/>
    </row>
    <row r="44" spans="1:29" ht="12.75" customHeight="1">
      <c r="A44" s="361"/>
      <c r="B44" s="315"/>
      <c r="C44" s="315"/>
      <c r="D44" s="362"/>
      <c r="E44" s="317"/>
      <c r="F44" s="318"/>
      <c r="G44" s="1256"/>
      <c r="H44" s="1257"/>
      <c r="I44" s="1257"/>
      <c r="J44" s="1260"/>
      <c r="K44" s="1136"/>
      <c r="L44" s="1090"/>
      <c r="M44" s="1091"/>
      <c r="N44" s="1091"/>
      <c r="O44" s="1091"/>
      <c r="P44" s="1119"/>
      <c r="Q44" s="1136"/>
      <c r="R44" s="1132"/>
      <c r="S44" s="1133"/>
      <c r="T44" s="1133"/>
      <c r="U44" s="1133"/>
      <c r="V44" s="1119"/>
      <c r="W44" s="1110"/>
      <c r="X44" s="363"/>
      <c r="Y44" s="300"/>
      <c r="Z44" s="290"/>
      <c r="AA44" s="301"/>
      <c r="AB44" s="302"/>
      <c r="AC44" s="303"/>
    </row>
    <row r="45" spans="1:29" ht="24.75" customHeight="1">
      <c r="A45" s="361"/>
      <c r="B45" s="1176" t="s">
        <v>482</v>
      </c>
      <c r="C45" s="1177"/>
      <c r="D45" s="347">
        <f>SUM('6. kiadások megbontása'!D71)</f>
        <v>129626952</v>
      </c>
      <c r="E45" s="297">
        <f>SUM('6. kiadások megbontása'!E71)</f>
        <v>2499004</v>
      </c>
      <c r="F45" s="298">
        <f>SUM(D45:E45)</f>
        <v>132125956</v>
      </c>
      <c r="G45" s="1165" t="s">
        <v>899</v>
      </c>
      <c r="H45" s="1091"/>
      <c r="I45" s="1091"/>
      <c r="J45" s="457">
        <v>460075</v>
      </c>
      <c r="K45" s="1136"/>
      <c r="L45" s="1090" t="s">
        <v>115</v>
      </c>
      <c r="M45" s="1091"/>
      <c r="N45" s="1091"/>
      <c r="O45" s="1091"/>
      <c r="P45" s="453">
        <v>368160</v>
      </c>
      <c r="Q45" s="1136"/>
      <c r="R45" s="1132" t="s">
        <v>513</v>
      </c>
      <c r="S45" s="1133"/>
      <c r="T45" s="1133"/>
      <c r="U45" s="1133"/>
      <c r="V45" s="452">
        <v>4926466</v>
      </c>
      <c r="W45" s="1110"/>
      <c r="X45" s="363">
        <f>SUM(W43,Q43,K43)</f>
        <v>136655634</v>
      </c>
      <c r="Y45" s="300">
        <v>0</v>
      </c>
      <c r="Z45" s="312">
        <f>SUM(Y45,X45)</f>
        <v>136655634</v>
      </c>
      <c r="AA45" s="310">
        <f>X45-D45</f>
        <v>7028682</v>
      </c>
      <c r="AB45" s="311">
        <f>Y45-E45</f>
        <v>-2499004</v>
      </c>
      <c r="AC45" s="303">
        <f>SUM(AA45:AB45)</f>
        <v>4529678</v>
      </c>
    </row>
    <row r="46" spans="1:29" ht="18" customHeight="1">
      <c r="A46" s="361"/>
      <c r="B46" s="294"/>
      <c r="C46" s="294"/>
      <c r="D46" s="347"/>
      <c r="E46" s="297"/>
      <c r="F46" s="298"/>
      <c r="G46" s="1145" t="s">
        <v>904</v>
      </c>
      <c r="H46" s="1145"/>
      <c r="I46" s="1145"/>
      <c r="J46" s="278">
        <v>41602</v>
      </c>
      <c r="K46" s="1136"/>
      <c r="L46" s="1090" t="s">
        <v>813</v>
      </c>
      <c r="M46" s="1091"/>
      <c r="N46" s="1091"/>
      <c r="O46" s="1091"/>
      <c r="P46" s="453">
        <f>581210+1294188</f>
        <v>1875398</v>
      </c>
      <c r="Q46" s="1136"/>
      <c r="R46" s="1132" t="s">
        <v>743</v>
      </c>
      <c r="S46" s="1133"/>
      <c r="T46" s="1133"/>
      <c r="U46" s="1133"/>
      <c r="V46" s="452">
        <v>439819</v>
      </c>
      <c r="W46" s="1110"/>
      <c r="X46" s="363"/>
      <c r="Y46" s="300"/>
      <c r="Z46" s="312"/>
      <c r="AA46" s="310"/>
      <c r="AB46" s="311"/>
      <c r="AC46" s="303"/>
    </row>
    <row r="47" spans="1:29" ht="23.25" customHeight="1" thickBot="1">
      <c r="A47" s="361"/>
      <c r="B47" s="315"/>
      <c r="C47" s="315"/>
      <c r="D47" s="364"/>
      <c r="E47" s="365"/>
      <c r="F47" s="366"/>
      <c r="G47" s="281"/>
      <c r="H47" s="281"/>
      <c r="I47" s="281"/>
      <c r="J47" s="367"/>
      <c r="K47" s="1136"/>
      <c r="L47" s="1090" t="s">
        <v>885</v>
      </c>
      <c r="M47" s="1091"/>
      <c r="N47" s="1091"/>
      <c r="O47" s="1091"/>
      <c r="P47" s="453">
        <f>1969798+37116</f>
        <v>2006914</v>
      </c>
      <c r="Q47" s="1136"/>
      <c r="R47" s="1132"/>
      <c r="S47" s="1133"/>
      <c r="T47" s="1133"/>
      <c r="U47" s="1133"/>
      <c r="V47" s="457"/>
      <c r="W47" s="1110"/>
      <c r="X47" s="363"/>
      <c r="Y47" s="300"/>
      <c r="Z47" s="290"/>
      <c r="AA47" s="301"/>
      <c r="AB47" s="302"/>
      <c r="AC47" s="303"/>
    </row>
    <row r="48" spans="1:29" ht="16.5" thickBot="1">
      <c r="A48" s="1214" t="s">
        <v>101</v>
      </c>
      <c r="B48" s="1215"/>
      <c r="C48" s="1216"/>
      <c r="D48" s="432">
        <f>SUM(D43:D47)</f>
        <v>129626952</v>
      </c>
      <c r="E48" s="433">
        <f>SUM(E43:E47)</f>
        <v>2499004</v>
      </c>
      <c r="F48" s="434">
        <f>SUM(F43:F47)</f>
        <v>132125956</v>
      </c>
      <c r="G48" s="437"/>
      <c r="H48" s="1217" t="s">
        <v>97</v>
      </c>
      <c r="I48" s="1218"/>
      <c r="J48" s="1219"/>
      <c r="K48" s="438">
        <f>SUM(K43:K47)</f>
        <v>121138877</v>
      </c>
      <c r="L48" s="352"/>
      <c r="M48" s="1261" t="s">
        <v>98</v>
      </c>
      <c r="N48" s="1261"/>
      <c r="O48" s="1261"/>
      <c r="P48" s="1262"/>
      <c r="Q48" s="438">
        <f>SUM(Q43:Q47)</f>
        <v>9900472</v>
      </c>
      <c r="R48" s="404"/>
      <c r="S48" s="1261" t="s">
        <v>99</v>
      </c>
      <c r="T48" s="1261"/>
      <c r="U48" s="1261"/>
      <c r="V48" s="1262"/>
      <c r="W48" s="439">
        <f>SUM(W43:W47)</f>
        <v>5616285</v>
      </c>
      <c r="X48" s="440">
        <f>SUM(X43:X47)</f>
        <v>136655634</v>
      </c>
      <c r="Y48" s="353">
        <v>0</v>
      </c>
      <c r="Z48" s="354">
        <f>SUM(X48:Y48)</f>
        <v>136655634</v>
      </c>
      <c r="AA48" s="355">
        <f>X48-D48</f>
        <v>7028682</v>
      </c>
      <c r="AB48" s="356">
        <f>Y48-E48</f>
        <v>-2499004</v>
      </c>
      <c r="AC48" s="441">
        <f>SUM(AA48:AB48)</f>
        <v>4529678</v>
      </c>
    </row>
    <row r="49" spans="1:29" ht="27.75" customHeight="1" thickBot="1" thickTop="1">
      <c r="A49" s="1187" t="s">
        <v>777</v>
      </c>
      <c r="B49" s="1201"/>
      <c r="C49" s="1202"/>
      <c r="D49" s="1191" t="s">
        <v>358</v>
      </c>
      <c r="E49" s="1099"/>
      <c r="F49" s="1140"/>
      <c r="G49" s="1158" t="s">
        <v>507</v>
      </c>
      <c r="H49" s="1099"/>
      <c r="I49" s="1099"/>
      <c r="J49" s="1099"/>
      <c r="K49" s="1100"/>
      <c r="L49" s="1098" t="s">
        <v>508</v>
      </c>
      <c r="M49" s="1099"/>
      <c r="N49" s="1099"/>
      <c r="O49" s="1099"/>
      <c r="P49" s="1099"/>
      <c r="Q49" s="1100"/>
      <c r="R49" s="1098" t="s">
        <v>509</v>
      </c>
      <c r="S49" s="1099"/>
      <c r="T49" s="1099"/>
      <c r="U49" s="1099"/>
      <c r="V49" s="1099"/>
      <c r="W49" s="1140"/>
      <c r="X49" s="1149" t="s">
        <v>510</v>
      </c>
      <c r="Y49" s="1150"/>
      <c r="Z49" s="1150"/>
      <c r="AA49" s="1184" t="s">
        <v>90</v>
      </c>
      <c r="AB49" s="1185"/>
      <c r="AC49" s="1186"/>
    </row>
    <row r="50" spans="1:223" s="357" customFormat="1" ht="18.75" customHeight="1" thickBot="1" thickTop="1">
      <c r="A50" s="1203"/>
      <c r="B50" s="1204"/>
      <c r="C50" s="1205"/>
      <c r="D50" s="428" t="s">
        <v>91</v>
      </c>
      <c r="E50" s="749" t="s">
        <v>87</v>
      </c>
      <c r="F50" s="272" t="s">
        <v>92</v>
      </c>
      <c r="G50" s="1199"/>
      <c r="H50" s="1102"/>
      <c r="I50" s="1102"/>
      <c r="J50" s="1200"/>
      <c r="K50" s="1103"/>
      <c r="L50" s="1101"/>
      <c r="M50" s="1102"/>
      <c r="N50" s="1102"/>
      <c r="O50" s="1102"/>
      <c r="P50" s="1102"/>
      <c r="Q50" s="1103"/>
      <c r="R50" s="1101"/>
      <c r="S50" s="1102"/>
      <c r="T50" s="1102"/>
      <c r="U50" s="1102"/>
      <c r="V50" s="1102"/>
      <c r="W50" s="1102"/>
      <c r="X50" s="736" t="s">
        <v>91</v>
      </c>
      <c r="Y50" s="737" t="s">
        <v>87</v>
      </c>
      <c r="Z50" s="272" t="s">
        <v>92</v>
      </c>
      <c r="AA50" s="729" t="s">
        <v>91</v>
      </c>
      <c r="AB50" s="428" t="s">
        <v>87</v>
      </c>
      <c r="AC50" s="272" t="s">
        <v>92</v>
      </c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69"/>
      <c r="DJ50" s="269"/>
      <c r="DK50" s="269"/>
      <c r="DL50" s="269"/>
      <c r="DM50" s="269"/>
      <c r="DN50" s="269"/>
      <c r="DO50" s="269"/>
      <c r="DP50" s="269"/>
      <c r="DQ50" s="269"/>
      <c r="DR50" s="269"/>
      <c r="DS50" s="269"/>
      <c r="DT50" s="269"/>
      <c r="DU50" s="269"/>
      <c r="DV50" s="269"/>
      <c r="DW50" s="269"/>
      <c r="DX50" s="269"/>
      <c r="DY50" s="269"/>
      <c r="DZ50" s="269"/>
      <c r="EA50" s="269"/>
      <c r="EB50" s="269"/>
      <c r="EC50" s="269"/>
      <c r="ED50" s="269"/>
      <c r="EE50" s="269"/>
      <c r="EF50" s="269"/>
      <c r="EG50" s="269"/>
      <c r="EH50" s="269"/>
      <c r="EI50" s="269"/>
      <c r="EJ50" s="269"/>
      <c r="EK50" s="269"/>
      <c r="EL50" s="269"/>
      <c r="EM50" s="269"/>
      <c r="EN50" s="269"/>
      <c r="EO50" s="269"/>
      <c r="EP50" s="269"/>
      <c r="EQ50" s="269"/>
      <c r="ER50" s="269"/>
      <c r="ES50" s="269"/>
      <c r="ET50" s="269"/>
      <c r="EU50" s="269"/>
      <c r="EV50" s="269"/>
      <c r="EW50" s="269"/>
      <c r="EX50" s="269"/>
      <c r="EY50" s="269"/>
      <c r="EZ50" s="269"/>
      <c r="FA50" s="269"/>
      <c r="FB50" s="269"/>
      <c r="FC50" s="269"/>
      <c r="FD50" s="269"/>
      <c r="FE50" s="269"/>
      <c r="FF50" s="269"/>
      <c r="FG50" s="269"/>
      <c r="FH50" s="269"/>
      <c r="FI50" s="269"/>
      <c r="FJ50" s="269"/>
      <c r="FK50" s="269"/>
      <c r="FL50" s="269"/>
      <c r="FM50" s="269"/>
      <c r="FN50" s="269"/>
      <c r="FO50" s="269"/>
      <c r="FP50" s="269"/>
      <c r="FQ50" s="269"/>
      <c r="FR50" s="269"/>
      <c r="FS50" s="269"/>
      <c r="FT50" s="269"/>
      <c r="FU50" s="269"/>
      <c r="FV50" s="269"/>
      <c r="FW50" s="269"/>
      <c r="FX50" s="269"/>
      <c r="FY50" s="269"/>
      <c r="FZ50" s="269"/>
      <c r="GA50" s="269"/>
      <c r="GB50" s="269"/>
      <c r="GC50" s="269"/>
      <c r="GD50" s="269"/>
      <c r="GE50" s="269"/>
      <c r="GF50" s="269"/>
      <c r="GG50" s="269"/>
      <c r="GH50" s="269"/>
      <c r="GI50" s="269"/>
      <c r="GJ50" s="269"/>
      <c r="GK50" s="269"/>
      <c r="GL50" s="269"/>
      <c r="GM50" s="269"/>
      <c r="GN50" s="269"/>
      <c r="GO50" s="269"/>
      <c r="GP50" s="269"/>
      <c r="GQ50" s="269"/>
      <c r="GR50" s="269"/>
      <c r="GS50" s="269"/>
      <c r="GT50" s="269"/>
      <c r="GU50" s="269"/>
      <c r="GV50" s="269"/>
      <c r="GW50" s="269"/>
      <c r="GX50" s="269"/>
      <c r="GY50" s="269"/>
      <c r="GZ50" s="269"/>
      <c r="HA50" s="269"/>
      <c r="HB50" s="269"/>
      <c r="HC50" s="269"/>
      <c r="HD50" s="269"/>
      <c r="HE50" s="269"/>
      <c r="HF50" s="269"/>
      <c r="HG50" s="269"/>
      <c r="HH50" s="269"/>
      <c r="HI50" s="269"/>
      <c r="HJ50" s="269"/>
      <c r="HK50" s="269"/>
      <c r="HL50" s="269"/>
      <c r="HM50" s="269"/>
      <c r="HN50" s="269"/>
      <c r="HO50" s="269"/>
    </row>
    <row r="51" spans="1:29" ht="26.25" customHeight="1">
      <c r="A51" s="273"/>
      <c r="B51" s="317"/>
      <c r="C51" s="317"/>
      <c r="D51" s="342"/>
      <c r="E51" s="317"/>
      <c r="F51" s="277"/>
      <c r="G51" s="1153" t="s">
        <v>533</v>
      </c>
      <c r="H51" s="1093"/>
      <c r="I51" s="1093"/>
      <c r="J51" s="435">
        <v>10661310</v>
      </c>
      <c r="K51" s="1143">
        <f>SUM(J51:J53)</f>
        <v>11426107</v>
      </c>
      <c r="L51" s="1130"/>
      <c r="M51" s="1131"/>
      <c r="N51" s="1131"/>
      <c r="O51" s="1131"/>
      <c r="P51" s="1118"/>
      <c r="Q51" s="1143">
        <f>SUM(P51:P53)</f>
        <v>0</v>
      </c>
      <c r="R51" s="1132" t="s">
        <v>814</v>
      </c>
      <c r="S51" s="1133"/>
      <c r="T51" s="1133"/>
      <c r="U51" s="1133"/>
      <c r="V51" s="457">
        <f>127710-51312-13878</f>
        <v>62520</v>
      </c>
      <c r="W51" s="1252">
        <f>SUM(V51:V53)</f>
        <v>398595</v>
      </c>
      <c r="X51" s="733"/>
      <c r="Y51" s="359"/>
      <c r="Z51" s="360"/>
      <c r="AA51" s="273"/>
      <c r="AB51" s="291"/>
      <c r="AC51" s="292"/>
    </row>
    <row r="52" spans="1:29" ht="19.5" customHeight="1">
      <c r="A52" s="361"/>
      <c r="B52" s="315"/>
      <c r="C52" s="315"/>
      <c r="D52" s="362"/>
      <c r="E52" s="317"/>
      <c r="F52" s="318"/>
      <c r="G52" s="1241" t="s">
        <v>908</v>
      </c>
      <c r="H52" s="1145"/>
      <c r="I52" s="1145"/>
      <c r="J52" s="436">
        <f>1004278-239481</f>
        <v>764797</v>
      </c>
      <c r="K52" s="1136"/>
      <c r="L52" s="1092"/>
      <c r="M52" s="1093"/>
      <c r="N52" s="1093"/>
      <c r="O52" s="1093"/>
      <c r="P52" s="1119"/>
      <c r="Q52" s="1136"/>
      <c r="R52" s="1132" t="s">
        <v>815</v>
      </c>
      <c r="S52" s="1133"/>
      <c r="T52" s="1133"/>
      <c r="U52" s="1133"/>
      <c r="V52" s="457">
        <f>3458889+1-2652628-651522+66142+17858</f>
        <v>238740</v>
      </c>
      <c r="W52" s="1169"/>
      <c r="X52" s="732"/>
      <c r="Y52" s="300"/>
      <c r="Z52" s="290"/>
      <c r="AA52" s="301"/>
      <c r="AB52" s="302"/>
      <c r="AC52" s="303"/>
    </row>
    <row r="53" spans="1:29" ht="21" customHeight="1" thickBot="1">
      <c r="A53" s="361"/>
      <c r="B53" s="1176" t="s">
        <v>482</v>
      </c>
      <c r="C53" s="1177"/>
      <c r="D53" s="347">
        <f>SUM('6. kiadások megbontása'!D90)</f>
        <v>12072523</v>
      </c>
      <c r="E53" s="297">
        <f>SUM('6. kiadások megbontása'!E90)</f>
        <v>0</v>
      </c>
      <c r="F53" s="298">
        <f>SUM(D53:E53)</f>
        <v>12072523</v>
      </c>
      <c r="G53" s="281"/>
      <c r="H53" s="281"/>
      <c r="I53" s="281"/>
      <c r="J53" s="436"/>
      <c r="K53" s="1136"/>
      <c r="L53" s="1092"/>
      <c r="M53" s="1093"/>
      <c r="N53" s="1093"/>
      <c r="O53" s="1093"/>
      <c r="P53" s="453"/>
      <c r="Q53" s="1136"/>
      <c r="R53" s="1132" t="s">
        <v>856</v>
      </c>
      <c r="S53" s="1133"/>
      <c r="T53" s="1133"/>
      <c r="U53" s="1133"/>
      <c r="V53" s="452">
        <f>457835-360500</f>
        <v>97335</v>
      </c>
      <c r="W53" s="1169"/>
      <c r="X53" s="732">
        <f>SUM(W51,Q51,K51)</f>
        <v>11824702</v>
      </c>
      <c r="Y53" s="300">
        <v>0</v>
      </c>
      <c r="Z53" s="312">
        <f>SUM(Y53,X53)</f>
        <v>11824702</v>
      </c>
      <c r="AA53" s="310">
        <f>X53-D53</f>
        <v>-247821</v>
      </c>
      <c r="AB53" s="311">
        <f>Y53-E53</f>
        <v>0</v>
      </c>
      <c r="AC53" s="303">
        <f>SUM(AA53:AB53)</f>
        <v>-247821</v>
      </c>
    </row>
    <row r="54" spans="1:29" ht="15.75">
      <c r="A54" s="389"/>
      <c r="B54" s="390"/>
      <c r="C54" s="442"/>
      <c r="D54" s="391"/>
      <c r="E54" s="392"/>
      <c r="F54" s="393"/>
      <c r="G54" s="1220"/>
      <c r="H54" s="1167"/>
      <c r="I54" s="1167"/>
      <c r="J54" s="394"/>
      <c r="K54" s="1143">
        <f>SUM(J54:J55)</f>
        <v>0</v>
      </c>
      <c r="L54" s="1166"/>
      <c r="M54" s="1167"/>
      <c r="N54" s="1167"/>
      <c r="O54" s="1167"/>
      <c r="P54" s="394"/>
      <c r="Q54" s="1143">
        <f>SUM(P54:P55)</f>
        <v>0</v>
      </c>
      <c r="R54" s="395"/>
      <c r="S54" s="396"/>
      <c r="T54" s="396"/>
      <c r="U54" s="396"/>
      <c r="V54" s="397"/>
      <c r="W54" s="1109">
        <f>SUM(V54:V55)</f>
        <v>0</v>
      </c>
      <c r="X54" s="773"/>
      <c r="Y54" s="398"/>
      <c r="Z54" s="399"/>
      <c r="AA54" s="400"/>
      <c r="AB54" s="401"/>
      <c r="AC54" s="402"/>
    </row>
    <row r="55" spans="1:29" ht="16.5" thickBot="1">
      <c r="A55" s="1175" t="s">
        <v>483</v>
      </c>
      <c r="B55" s="1176"/>
      <c r="C55" s="1177"/>
      <c r="D55" s="347">
        <f>SUM('6. kiadások megbontása'!G90)</f>
        <v>39171</v>
      </c>
      <c r="E55" s="297">
        <f>SUM('6. kiadások megbontása'!H90)</f>
        <v>0</v>
      </c>
      <c r="F55" s="298">
        <f>SUM(D55:E55)</f>
        <v>39171</v>
      </c>
      <c r="G55" s="320"/>
      <c r="H55" s="321"/>
      <c r="I55" s="321"/>
      <c r="J55" s="403"/>
      <c r="K55" s="1137"/>
      <c r="L55" s="1145"/>
      <c r="M55" s="1145"/>
      <c r="N55" s="1145"/>
      <c r="O55" s="1145"/>
      <c r="P55" s="278"/>
      <c r="Q55" s="1137"/>
      <c r="R55" s="1123"/>
      <c r="S55" s="1124"/>
      <c r="T55" s="1124"/>
      <c r="U55" s="1124"/>
      <c r="V55" s="319"/>
      <c r="W55" s="1111"/>
      <c r="X55" s="774">
        <v>0</v>
      </c>
      <c r="Y55" s="300">
        <v>0</v>
      </c>
      <c r="Z55" s="312">
        <f>SUM(X55:Y55)</f>
        <v>0</v>
      </c>
      <c r="AA55" s="386">
        <f>X54-D55</f>
        <v>-39171</v>
      </c>
      <c r="AB55" s="311">
        <f>Y55-E55</f>
        <v>0</v>
      </c>
      <c r="AC55" s="313">
        <f>SUM(AA55:AB55)</f>
        <v>-39171</v>
      </c>
    </row>
    <row r="56" spans="1:223" s="429" customFormat="1" ht="33.75" customHeight="1" thickBot="1">
      <c r="A56" s="1206" t="s">
        <v>860</v>
      </c>
      <c r="B56" s="1207"/>
      <c r="C56" s="1208"/>
      <c r="D56" s="717">
        <f>SUM(D51:D55)</f>
        <v>12111694</v>
      </c>
      <c r="E56" s="718">
        <f>SUM(E51:E55)</f>
        <v>0</v>
      </c>
      <c r="F56" s="719">
        <f>SUM(F51:F55)</f>
        <v>12111694</v>
      </c>
      <c r="G56" s="720"/>
      <c r="H56" s="1196" t="s">
        <v>97</v>
      </c>
      <c r="I56" s="1197"/>
      <c r="J56" s="1198"/>
      <c r="K56" s="721">
        <f>SUM(K54+K51)</f>
        <v>11426107</v>
      </c>
      <c r="L56" s="443"/>
      <c r="M56" s="1141" t="s">
        <v>98</v>
      </c>
      <c r="N56" s="1141"/>
      <c r="O56" s="1141"/>
      <c r="P56" s="1142"/>
      <c r="Q56" s="721">
        <f>SUM(Q51:Q55)</f>
        <v>0</v>
      </c>
      <c r="R56" s="445"/>
      <c r="S56" s="1141" t="s">
        <v>99</v>
      </c>
      <c r="T56" s="1141"/>
      <c r="U56" s="1141"/>
      <c r="V56" s="1142"/>
      <c r="W56" s="722">
        <f>SUM(W51:W55)</f>
        <v>398595</v>
      </c>
      <c r="X56" s="723">
        <f>SUM(X51:X54)</f>
        <v>11824702</v>
      </c>
      <c r="Y56" s="724">
        <v>0</v>
      </c>
      <c r="Z56" s="725">
        <f>SUM(X56:Y56)</f>
        <v>11824702</v>
      </c>
      <c r="AA56" s="726">
        <f>X56-D56</f>
        <v>-286992</v>
      </c>
      <c r="AB56" s="727">
        <f>Y56-E56</f>
        <v>0</v>
      </c>
      <c r="AC56" s="441">
        <f>SUM(AA56:AB56)</f>
        <v>-286992</v>
      </c>
      <c r="AD56" s="451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/>
      <c r="CX56" s="451"/>
      <c r="CY56" s="451"/>
      <c r="CZ56" s="451"/>
      <c r="DA56" s="451"/>
      <c r="DB56" s="451"/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B56" s="451"/>
      <c r="EC56" s="451"/>
      <c r="ED56" s="451"/>
      <c r="EE56" s="451"/>
      <c r="EF56" s="451"/>
      <c r="EG56" s="451"/>
      <c r="EH56" s="451"/>
      <c r="EI56" s="451"/>
      <c r="EJ56" s="451"/>
      <c r="EK56" s="451"/>
      <c r="EL56" s="451"/>
      <c r="EM56" s="451"/>
      <c r="EN56" s="451"/>
      <c r="EO56" s="451"/>
      <c r="EP56" s="451"/>
      <c r="EQ56" s="451"/>
      <c r="ER56" s="451"/>
      <c r="ES56" s="451"/>
      <c r="ET56" s="451"/>
      <c r="EU56" s="451"/>
      <c r="EV56" s="451"/>
      <c r="EW56" s="451"/>
      <c r="EX56" s="451"/>
      <c r="EY56" s="451"/>
      <c r="EZ56" s="451"/>
      <c r="FA56" s="451"/>
      <c r="FB56" s="451"/>
      <c r="FC56" s="451"/>
      <c r="FD56" s="451"/>
      <c r="FE56" s="451"/>
      <c r="FF56" s="451"/>
      <c r="FG56" s="451"/>
      <c r="FH56" s="451"/>
      <c r="FI56" s="451"/>
      <c r="FJ56" s="451"/>
      <c r="FK56" s="451"/>
      <c r="FL56" s="451"/>
      <c r="FM56" s="451"/>
      <c r="FN56" s="451"/>
      <c r="FO56" s="451"/>
      <c r="FP56" s="451"/>
      <c r="FQ56" s="451"/>
      <c r="FR56" s="451"/>
      <c r="FS56" s="451"/>
      <c r="FT56" s="451"/>
      <c r="FU56" s="451"/>
      <c r="FV56" s="451"/>
      <c r="FW56" s="451"/>
      <c r="FX56" s="451"/>
      <c r="FY56" s="451"/>
      <c r="FZ56" s="451"/>
      <c r="GA56" s="451"/>
      <c r="GB56" s="451"/>
      <c r="GC56" s="451"/>
      <c r="GD56" s="451"/>
      <c r="GE56" s="451"/>
      <c r="GF56" s="451"/>
      <c r="GG56" s="451"/>
      <c r="GH56" s="451"/>
      <c r="GI56" s="451"/>
      <c r="GJ56" s="451"/>
      <c r="GK56" s="451"/>
      <c r="GL56" s="451"/>
      <c r="GM56" s="451"/>
      <c r="GN56" s="451"/>
      <c r="GO56" s="451"/>
      <c r="GP56" s="451"/>
      <c r="GQ56" s="451"/>
      <c r="GR56" s="451"/>
      <c r="GS56" s="451"/>
      <c r="GT56" s="451"/>
      <c r="GU56" s="451"/>
      <c r="GV56" s="451"/>
      <c r="GW56" s="451"/>
      <c r="GX56" s="451"/>
      <c r="GY56" s="451"/>
      <c r="GZ56" s="451"/>
      <c r="HA56" s="451"/>
      <c r="HB56" s="451"/>
      <c r="HC56" s="451"/>
      <c r="HD56" s="451"/>
      <c r="HE56" s="451"/>
      <c r="HF56" s="451"/>
      <c r="HG56" s="451"/>
      <c r="HH56" s="451"/>
      <c r="HI56" s="451"/>
      <c r="HJ56" s="451"/>
      <c r="HK56" s="451"/>
      <c r="HL56" s="451"/>
      <c r="HM56" s="451"/>
      <c r="HN56" s="451"/>
      <c r="HO56" s="451"/>
    </row>
    <row r="57" spans="1:29" ht="17.25" thickBot="1" thickTop="1">
      <c r="A57" s="368"/>
      <c r="B57" s="369"/>
      <c r="C57" s="369"/>
      <c r="D57" s="370"/>
      <c r="E57" s="371"/>
      <c r="F57" s="372"/>
      <c r="G57" s="371"/>
      <c r="H57" s="371"/>
      <c r="I57" s="373"/>
      <c r="J57" s="373"/>
      <c r="K57" s="374"/>
      <c r="L57" s="375"/>
      <c r="M57" s="371"/>
      <c r="N57" s="371"/>
      <c r="O57" s="371"/>
      <c r="P57" s="371"/>
      <c r="Q57" s="374"/>
      <c r="R57" s="371"/>
      <c r="S57" s="371"/>
      <c r="T57" s="371"/>
      <c r="U57" s="371"/>
      <c r="V57" s="371"/>
      <c r="W57" s="376"/>
      <c r="X57" s="377"/>
      <c r="Y57" s="378"/>
      <c r="Z57" s="379"/>
      <c r="AA57" s="368"/>
      <c r="AB57" s="380"/>
      <c r="AC57" s="381"/>
    </row>
    <row r="58" spans="1:29" ht="14.25" thickBot="1" thickTop="1">
      <c r="A58" s="1187" t="s">
        <v>768</v>
      </c>
      <c r="B58" s="1188"/>
      <c r="C58" s="1188"/>
      <c r="D58" s="1191" t="s">
        <v>358</v>
      </c>
      <c r="E58" s="1099"/>
      <c r="F58" s="1140"/>
      <c r="G58" s="1158" t="s">
        <v>507</v>
      </c>
      <c r="H58" s="1209"/>
      <c r="I58" s="1209"/>
      <c r="J58" s="1209"/>
      <c r="K58" s="1210"/>
      <c r="L58" s="1098" t="s">
        <v>508</v>
      </c>
      <c r="M58" s="1125"/>
      <c r="N58" s="1125"/>
      <c r="O58" s="1125"/>
      <c r="P58" s="1125"/>
      <c r="Q58" s="1151"/>
      <c r="R58" s="1098" t="s">
        <v>509</v>
      </c>
      <c r="S58" s="1125"/>
      <c r="T58" s="1125"/>
      <c r="U58" s="1125"/>
      <c r="V58" s="1125"/>
      <c r="W58" s="1126"/>
      <c r="X58" s="1149" t="s">
        <v>510</v>
      </c>
      <c r="Y58" s="1150"/>
      <c r="Z58" s="1150"/>
      <c r="AA58" s="1184" t="s">
        <v>90</v>
      </c>
      <c r="AB58" s="1185"/>
      <c r="AC58" s="1186"/>
    </row>
    <row r="59" spans="1:223" s="644" customFormat="1" ht="32.25" customHeight="1" thickBot="1">
      <c r="A59" s="1189"/>
      <c r="B59" s="1190"/>
      <c r="C59" s="1190"/>
      <c r="D59" s="428" t="s">
        <v>91</v>
      </c>
      <c r="E59" s="749" t="s">
        <v>87</v>
      </c>
      <c r="F59" s="272" t="s">
        <v>92</v>
      </c>
      <c r="G59" s="1211"/>
      <c r="H59" s="1212"/>
      <c r="I59" s="1212"/>
      <c r="J59" s="1212"/>
      <c r="K59" s="1213"/>
      <c r="L59" s="1127"/>
      <c r="M59" s="1128"/>
      <c r="N59" s="1128"/>
      <c r="O59" s="1128"/>
      <c r="P59" s="1128"/>
      <c r="Q59" s="1152"/>
      <c r="R59" s="1127"/>
      <c r="S59" s="1128"/>
      <c r="T59" s="1128"/>
      <c r="U59" s="1128"/>
      <c r="V59" s="1128"/>
      <c r="W59" s="1129"/>
      <c r="X59" s="734" t="s">
        <v>91</v>
      </c>
      <c r="Y59" s="428" t="s">
        <v>87</v>
      </c>
      <c r="Z59" s="735" t="s">
        <v>92</v>
      </c>
      <c r="AA59" s="427" t="s">
        <v>91</v>
      </c>
      <c r="AB59" s="428" t="s">
        <v>87</v>
      </c>
      <c r="AC59" s="272" t="s">
        <v>92</v>
      </c>
      <c r="AD59" s="728"/>
      <c r="AE59" s="728"/>
      <c r="AF59" s="728"/>
      <c r="AG59" s="728"/>
      <c r="AH59" s="728"/>
      <c r="AI59" s="728"/>
      <c r="AJ59" s="728"/>
      <c r="AK59" s="728"/>
      <c r="AL59" s="728"/>
      <c r="AM59" s="728"/>
      <c r="AN59" s="728"/>
      <c r="AO59" s="728"/>
      <c r="AP59" s="728"/>
      <c r="AQ59" s="728"/>
      <c r="AR59" s="728"/>
      <c r="AS59" s="728"/>
      <c r="AT59" s="728"/>
      <c r="AU59" s="728"/>
      <c r="AV59" s="728"/>
      <c r="AW59" s="728"/>
      <c r="AX59" s="728"/>
      <c r="AY59" s="728"/>
      <c r="AZ59" s="728"/>
      <c r="BA59" s="728"/>
      <c r="BB59" s="728"/>
      <c r="BC59" s="728"/>
      <c r="BD59" s="728"/>
      <c r="BE59" s="728"/>
      <c r="BF59" s="728"/>
      <c r="BG59" s="728"/>
      <c r="BH59" s="728"/>
      <c r="BI59" s="728"/>
      <c r="BJ59" s="728"/>
      <c r="BK59" s="728"/>
      <c r="BL59" s="728"/>
      <c r="BM59" s="728"/>
      <c r="BN59" s="728"/>
      <c r="BO59" s="728"/>
      <c r="BP59" s="728"/>
      <c r="BQ59" s="728"/>
      <c r="BR59" s="728"/>
      <c r="BS59" s="728"/>
      <c r="BT59" s="728"/>
      <c r="BU59" s="728"/>
      <c r="BV59" s="728"/>
      <c r="BW59" s="728"/>
      <c r="BX59" s="728"/>
      <c r="BY59" s="728"/>
      <c r="BZ59" s="728"/>
      <c r="CA59" s="728"/>
      <c r="CB59" s="728"/>
      <c r="CC59" s="728"/>
      <c r="CD59" s="728"/>
      <c r="CE59" s="728"/>
      <c r="CF59" s="728"/>
      <c r="CG59" s="728"/>
      <c r="CH59" s="728"/>
      <c r="CI59" s="728"/>
      <c r="CJ59" s="728"/>
      <c r="CK59" s="728"/>
      <c r="CL59" s="728"/>
      <c r="CM59" s="728"/>
      <c r="CN59" s="728"/>
      <c r="CO59" s="728"/>
      <c r="CP59" s="728"/>
      <c r="CQ59" s="728"/>
      <c r="CR59" s="728"/>
      <c r="CS59" s="728"/>
      <c r="CT59" s="728"/>
      <c r="CU59" s="728"/>
      <c r="CV59" s="728"/>
      <c r="CW59" s="728"/>
      <c r="CX59" s="728"/>
      <c r="CY59" s="728"/>
      <c r="CZ59" s="728"/>
      <c r="DA59" s="728"/>
      <c r="DB59" s="728"/>
      <c r="DC59" s="728"/>
      <c r="DD59" s="728"/>
      <c r="DE59" s="728"/>
      <c r="DF59" s="728"/>
      <c r="DG59" s="728"/>
      <c r="DH59" s="728"/>
      <c r="DI59" s="728"/>
      <c r="DJ59" s="728"/>
      <c r="DK59" s="728"/>
      <c r="DL59" s="728"/>
      <c r="DM59" s="728"/>
      <c r="DN59" s="728"/>
      <c r="DO59" s="728"/>
      <c r="DP59" s="728"/>
      <c r="DQ59" s="728"/>
      <c r="DR59" s="728"/>
      <c r="DS59" s="728"/>
      <c r="DT59" s="728"/>
      <c r="DU59" s="728"/>
      <c r="DV59" s="728"/>
      <c r="DW59" s="728"/>
      <c r="DX59" s="728"/>
      <c r="DY59" s="728"/>
      <c r="DZ59" s="728"/>
      <c r="EA59" s="728"/>
      <c r="EB59" s="728"/>
      <c r="EC59" s="728"/>
      <c r="ED59" s="728"/>
      <c r="EE59" s="728"/>
      <c r="EF59" s="728"/>
      <c r="EG59" s="728"/>
      <c r="EH59" s="728"/>
      <c r="EI59" s="728"/>
      <c r="EJ59" s="728"/>
      <c r="EK59" s="728"/>
      <c r="EL59" s="728"/>
      <c r="EM59" s="728"/>
      <c r="EN59" s="728"/>
      <c r="EO59" s="728"/>
      <c r="EP59" s="728"/>
      <c r="EQ59" s="728"/>
      <c r="ER59" s="728"/>
      <c r="ES59" s="728"/>
      <c r="ET59" s="728"/>
      <c r="EU59" s="728"/>
      <c r="EV59" s="728"/>
      <c r="EW59" s="728"/>
      <c r="EX59" s="728"/>
      <c r="EY59" s="728"/>
      <c r="EZ59" s="728"/>
      <c r="FA59" s="728"/>
      <c r="FB59" s="728"/>
      <c r="FC59" s="728"/>
      <c r="FD59" s="728"/>
      <c r="FE59" s="728"/>
      <c r="FF59" s="728"/>
      <c r="FG59" s="728"/>
      <c r="FH59" s="728"/>
      <c r="FI59" s="728"/>
      <c r="FJ59" s="728"/>
      <c r="FK59" s="728"/>
      <c r="FL59" s="728"/>
      <c r="FM59" s="728"/>
      <c r="FN59" s="728"/>
      <c r="FO59" s="728"/>
      <c r="FP59" s="728"/>
      <c r="FQ59" s="728"/>
      <c r="FR59" s="728"/>
      <c r="FS59" s="728"/>
      <c r="FT59" s="728"/>
      <c r="FU59" s="728"/>
      <c r="FV59" s="728"/>
      <c r="FW59" s="728"/>
      <c r="FX59" s="728"/>
      <c r="FY59" s="728"/>
      <c r="FZ59" s="728"/>
      <c r="GA59" s="728"/>
      <c r="GB59" s="728"/>
      <c r="GC59" s="728"/>
      <c r="GD59" s="728"/>
      <c r="GE59" s="728"/>
      <c r="GF59" s="728"/>
      <c r="GG59" s="728"/>
      <c r="GH59" s="728"/>
      <c r="GI59" s="728"/>
      <c r="GJ59" s="728"/>
      <c r="GK59" s="728"/>
      <c r="GL59" s="728"/>
      <c r="GM59" s="728"/>
      <c r="GN59" s="728"/>
      <c r="GO59" s="728"/>
      <c r="GP59" s="728"/>
      <c r="GQ59" s="728"/>
      <c r="GR59" s="728"/>
      <c r="GS59" s="728"/>
      <c r="GT59" s="728"/>
      <c r="GU59" s="728"/>
      <c r="GV59" s="728"/>
      <c r="GW59" s="728"/>
      <c r="GX59" s="728"/>
      <c r="GY59" s="728"/>
      <c r="GZ59" s="728"/>
      <c r="HA59" s="728"/>
      <c r="HB59" s="728"/>
      <c r="HC59" s="728"/>
      <c r="HD59" s="728"/>
      <c r="HE59" s="728"/>
      <c r="HF59" s="728"/>
      <c r="HG59" s="728"/>
      <c r="HH59" s="728"/>
      <c r="HI59" s="728"/>
      <c r="HJ59" s="728"/>
      <c r="HK59" s="728"/>
      <c r="HL59" s="728"/>
      <c r="HM59" s="728"/>
      <c r="HN59" s="728"/>
      <c r="HO59" s="728"/>
    </row>
    <row r="60" spans="1:29" ht="25.5" customHeight="1">
      <c r="A60" s="361"/>
      <c r="B60" s="317"/>
      <c r="C60" s="317"/>
      <c r="D60" s="342"/>
      <c r="E60" s="317"/>
      <c r="F60" s="318"/>
      <c r="G60" s="1237" t="s">
        <v>469</v>
      </c>
      <c r="H60" s="1133"/>
      <c r="I60" s="1133"/>
      <c r="J60" s="453">
        <f>14052400+163400</f>
        <v>14215800</v>
      </c>
      <c r="K60" s="1143">
        <f>SUM(J60:J67)</f>
        <v>167224904</v>
      </c>
      <c r="L60" s="1253" t="s">
        <v>810</v>
      </c>
      <c r="M60" s="1131"/>
      <c r="N60" s="1131"/>
      <c r="O60" s="1131"/>
      <c r="P60" s="453">
        <f>3971695-478968</f>
        <v>3492727</v>
      </c>
      <c r="Q60" s="1096">
        <f>SUM(P60:P67)</f>
        <v>3492727</v>
      </c>
      <c r="R60" s="1090" t="s">
        <v>514</v>
      </c>
      <c r="S60" s="1091"/>
      <c r="T60" s="1091"/>
      <c r="U60" s="1091"/>
      <c r="V60" s="457">
        <v>1223067</v>
      </c>
      <c r="W60" s="1109">
        <f>SUM(V60:V67)</f>
        <v>1849212</v>
      </c>
      <c r="X60" s="317"/>
      <c r="Y60" s="342"/>
      <c r="Z60" s="383"/>
      <c r="AA60" s="361"/>
      <c r="AB60" s="342"/>
      <c r="AC60" s="292"/>
    </row>
    <row r="61" spans="1:29" ht="25.5" customHeight="1">
      <c r="A61" s="361"/>
      <c r="B61" s="317"/>
      <c r="C61" s="341"/>
      <c r="D61" s="342"/>
      <c r="E61" s="317"/>
      <c r="F61" s="318"/>
      <c r="G61" s="1165" t="s">
        <v>620</v>
      </c>
      <c r="H61" s="1091"/>
      <c r="I61" s="1091"/>
      <c r="J61" s="453">
        <f>93484500+441900-1764000+735000</f>
        <v>92897400</v>
      </c>
      <c r="K61" s="1136"/>
      <c r="L61" s="1121"/>
      <c r="M61" s="1122"/>
      <c r="N61" s="1122"/>
      <c r="O61" s="1122"/>
      <c r="P61" s="319"/>
      <c r="Q61" s="1097"/>
      <c r="R61" s="1132" t="s">
        <v>743</v>
      </c>
      <c r="S61" s="1133"/>
      <c r="T61" s="1133"/>
      <c r="U61" s="1133"/>
      <c r="V61" s="457">
        <v>626145</v>
      </c>
      <c r="W61" s="1110"/>
      <c r="X61" s="278"/>
      <c r="Y61" s="302"/>
      <c r="Z61" s="290"/>
      <c r="AA61" s="301"/>
      <c r="AB61" s="302"/>
      <c r="AC61" s="303"/>
    </row>
    <row r="62" spans="1:29" ht="30" customHeight="1">
      <c r="A62" s="361"/>
      <c r="B62" s="317"/>
      <c r="C62" s="341"/>
      <c r="D62" s="342"/>
      <c r="E62" s="317"/>
      <c r="F62" s="318"/>
      <c r="G62" s="1165" t="s">
        <v>528</v>
      </c>
      <c r="H62" s="1091"/>
      <c r="I62" s="1091"/>
      <c r="J62" s="457">
        <f>6780668-401000</f>
        <v>6379668</v>
      </c>
      <c r="K62" s="1136"/>
      <c r="L62" s="430"/>
      <c r="M62" s="431"/>
      <c r="N62" s="431"/>
      <c r="O62" s="431"/>
      <c r="P62" s="319"/>
      <c r="Q62" s="1097"/>
      <c r="R62" s="1132"/>
      <c r="S62" s="1133"/>
      <c r="T62" s="1133"/>
      <c r="U62" s="1133"/>
      <c r="V62" s="457"/>
      <c r="W62" s="1110"/>
      <c r="X62" s="278"/>
      <c r="Y62" s="302"/>
      <c r="Z62" s="290"/>
      <c r="AA62" s="301"/>
      <c r="AB62" s="302"/>
      <c r="AC62" s="303"/>
    </row>
    <row r="63" spans="1:29" ht="26.25" customHeight="1">
      <c r="A63" s="1175" t="s">
        <v>482</v>
      </c>
      <c r="B63" s="1221"/>
      <c r="C63" s="1222"/>
      <c r="D63" s="347">
        <f>SUM('6. kiadások megbontása'!D85)</f>
        <v>201854213</v>
      </c>
      <c r="E63" s="297">
        <f>SUM('6. kiadások megbontása'!E85)</f>
        <v>1618884</v>
      </c>
      <c r="F63" s="298">
        <f>SUM(D63:E63)</f>
        <v>203473097</v>
      </c>
      <c r="G63" s="1165" t="s">
        <v>745</v>
      </c>
      <c r="H63" s="1091"/>
      <c r="I63" s="1091"/>
      <c r="J63" s="453">
        <v>24032378</v>
      </c>
      <c r="K63" s="1136"/>
      <c r="L63" s="340"/>
      <c r="M63" s="317"/>
      <c r="N63" s="317"/>
      <c r="O63" s="317"/>
      <c r="P63" s="317"/>
      <c r="Q63" s="1097"/>
      <c r="R63" s="1092"/>
      <c r="S63" s="1093"/>
      <c r="T63" s="1093"/>
      <c r="U63" s="1093"/>
      <c r="V63" s="278"/>
      <c r="W63" s="1110"/>
      <c r="X63" s="385">
        <f>SUM(W60+Q60+K60)</f>
        <v>172566843</v>
      </c>
      <c r="Y63" s="311">
        <v>0</v>
      </c>
      <c r="Z63" s="312">
        <f>SUM(X63:Y63)</f>
        <v>172566843</v>
      </c>
      <c r="AA63" s="386">
        <f>X63-D63</f>
        <v>-29287370</v>
      </c>
      <c r="AB63" s="311">
        <f>Y63-E63</f>
        <v>-1618884</v>
      </c>
      <c r="AC63" s="313">
        <f>SUM(AA63:AB63)</f>
        <v>-30906254</v>
      </c>
    </row>
    <row r="64" spans="1:29" ht="29.25" customHeight="1">
      <c r="A64" s="293"/>
      <c r="B64" s="387"/>
      <c r="C64" s="586"/>
      <c r="D64" s="347"/>
      <c r="E64" s="297"/>
      <c r="F64" s="298"/>
      <c r="G64" s="1165" t="s">
        <v>747</v>
      </c>
      <c r="H64" s="1091"/>
      <c r="I64" s="1091"/>
      <c r="J64" s="457">
        <v>18590000</v>
      </c>
      <c r="K64" s="1136"/>
      <c r="L64" s="340"/>
      <c r="M64" s="317"/>
      <c r="N64" s="317"/>
      <c r="O64" s="317"/>
      <c r="P64" s="388"/>
      <c r="Q64" s="1097"/>
      <c r="R64" s="1092"/>
      <c r="S64" s="1093"/>
      <c r="T64" s="1093"/>
      <c r="U64" s="1093"/>
      <c r="V64" s="384"/>
      <c r="W64" s="1110"/>
      <c r="X64" s="363"/>
      <c r="Y64" s="300"/>
      <c r="Z64" s="312"/>
      <c r="AA64" s="310"/>
      <c r="AB64" s="311"/>
      <c r="AC64" s="303"/>
    </row>
    <row r="65" spans="1:29" ht="36.75" customHeight="1">
      <c r="A65" s="293"/>
      <c r="B65" s="387"/>
      <c r="C65" s="586"/>
      <c r="D65" s="347"/>
      <c r="E65" s="297"/>
      <c r="F65" s="298"/>
      <c r="G65" s="1153" t="s">
        <v>906</v>
      </c>
      <c r="H65" s="1093"/>
      <c r="I65" s="1093"/>
      <c r="J65" s="457">
        <f>9248756-441334</f>
        <v>8807422</v>
      </c>
      <c r="K65" s="1136"/>
      <c r="L65" s="340"/>
      <c r="M65" s="317"/>
      <c r="N65" s="317"/>
      <c r="O65" s="317"/>
      <c r="P65" s="388"/>
      <c r="Q65" s="1097"/>
      <c r="R65" s="753"/>
      <c r="S65" s="754"/>
      <c r="T65" s="754"/>
      <c r="U65" s="754"/>
      <c r="V65" s="384"/>
      <c r="W65" s="1110"/>
      <c r="X65" s="363"/>
      <c r="Y65" s="300"/>
      <c r="Z65" s="312"/>
      <c r="AA65" s="310"/>
      <c r="AB65" s="311"/>
      <c r="AC65" s="303"/>
    </row>
    <row r="66" spans="1:223" s="429" customFormat="1" ht="18" customHeight="1">
      <c r="A66" s="861"/>
      <c r="B66" s="961"/>
      <c r="C66" s="962"/>
      <c r="D66" s="864"/>
      <c r="E66" s="953"/>
      <c r="F66" s="954"/>
      <c r="G66" s="1088" t="s">
        <v>1199</v>
      </c>
      <c r="H66" s="1089"/>
      <c r="I66" s="1089"/>
      <c r="J66" s="457">
        <v>1824296</v>
      </c>
      <c r="K66" s="1136"/>
      <c r="L66" s="963"/>
      <c r="M66" s="964"/>
      <c r="N66" s="964"/>
      <c r="O66" s="964"/>
      <c r="P66" s="965"/>
      <c r="Q66" s="1097"/>
      <c r="R66" s="756"/>
      <c r="S66" s="757"/>
      <c r="T66" s="757"/>
      <c r="U66" s="757"/>
      <c r="V66" s="966"/>
      <c r="W66" s="1110"/>
      <c r="X66" s="363"/>
      <c r="Y66" s="300"/>
      <c r="Z66" s="956"/>
      <c r="AA66" s="957"/>
      <c r="AB66" s="955"/>
      <c r="AC66" s="303"/>
      <c r="AD66" s="451"/>
      <c r="AE66" s="451"/>
      <c r="AF66" s="451"/>
      <c r="AG66" s="451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R66" s="451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  <c r="BV66" s="451"/>
      <c r="BW66" s="451"/>
      <c r="BX66" s="451"/>
      <c r="BY66" s="451"/>
      <c r="BZ66" s="451"/>
      <c r="CA66" s="451"/>
      <c r="CB66" s="451"/>
      <c r="CC66" s="451"/>
      <c r="CD66" s="451"/>
      <c r="CE66" s="451"/>
      <c r="CF66" s="451"/>
      <c r="CG66" s="451"/>
      <c r="CH66" s="451"/>
      <c r="CI66" s="451"/>
      <c r="CJ66" s="451"/>
      <c r="CK66" s="451"/>
      <c r="CL66" s="451"/>
      <c r="CM66" s="451"/>
      <c r="CN66" s="451"/>
      <c r="CO66" s="451"/>
      <c r="CP66" s="451"/>
      <c r="CQ66" s="451"/>
      <c r="CR66" s="451"/>
      <c r="CS66" s="451"/>
      <c r="CT66" s="451"/>
      <c r="CU66" s="451"/>
      <c r="CV66" s="451"/>
      <c r="CW66" s="451"/>
      <c r="CX66" s="451"/>
      <c r="CY66" s="451"/>
      <c r="CZ66" s="451"/>
      <c r="DA66" s="451"/>
      <c r="DB66" s="451"/>
      <c r="DC66" s="451"/>
      <c r="DD66" s="451"/>
      <c r="DE66" s="451"/>
      <c r="DF66" s="451"/>
      <c r="DG66" s="451"/>
      <c r="DH66" s="451"/>
      <c r="DI66" s="451"/>
      <c r="DJ66" s="451"/>
      <c r="DK66" s="451"/>
      <c r="DL66" s="451"/>
      <c r="DM66" s="451"/>
      <c r="DN66" s="451"/>
      <c r="DO66" s="451"/>
      <c r="DP66" s="451"/>
      <c r="DQ66" s="451"/>
      <c r="DR66" s="451"/>
      <c r="DS66" s="451"/>
      <c r="DT66" s="451"/>
      <c r="DU66" s="451"/>
      <c r="DV66" s="451"/>
      <c r="DW66" s="451"/>
      <c r="DX66" s="451"/>
      <c r="DY66" s="451"/>
      <c r="DZ66" s="451"/>
      <c r="EA66" s="451"/>
      <c r="EB66" s="451"/>
      <c r="EC66" s="451"/>
      <c r="ED66" s="451"/>
      <c r="EE66" s="451"/>
      <c r="EF66" s="451"/>
      <c r="EG66" s="451"/>
      <c r="EH66" s="451"/>
      <c r="EI66" s="451"/>
      <c r="EJ66" s="451"/>
      <c r="EK66" s="451"/>
      <c r="EL66" s="451"/>
      <c r="EM66" s="451"/>
      <c r="EN66" s="451"/>
      <c r="EO66" s="451"/>
      <c r="EP66" s="451"/>
      <c r="EQ66" s="451"/>
      <c r="ER66" s="451"/>
      <c r="ES66" s="451"/>
      <c r="ET66" s="451"/>
      <c r="EU66" s="451"/>
      <c r="EV66" s="451"/>
      <c r="EW66" s="451"/>
      <c r="EX66" s="451"/>
      <c r="EY66" s="451"/>
      <c r="EZ66" s="451"/>
      <c r="FA66" s="451"/>
      <c r="FB66" s="451"/>
      <c r="FC66" s="451"/>
      <c r="FD66" s="451"/>
      <c r="FE66" s="451"/>
      <c r="FF66" s="451"/>
      <c r="FG66" s="451"/>
      <c r="FH66" s="451"/>
      <c r="FI66" s="451"/>
      <c r="FJ66" s="451"/>
      <c r="FK66" s="451"/>
      <c r="FL66" s="451"/>
      <c r="FM66" s="451"/>
      <c r="FN66" s="451"/>
      <c r="FO66" s="451"/>
      <c r="FP66" s="451"/>
      <c r="FQ66" s="451"/>
      <c r="FR66" s="451"/>
      <c r="FS66" s="451"/>
      <c r="FT66" s="451"/>
      <c r="FU66" s="451"/>
      <c r="FV66" s="451"/>
      <c r="FW66" s="451"/>
      <c r="FX66" s="451"/>
      <c r="FY66" s="451"/>
      <c r="FZ66" s="451"/>
      <c r="GA66" s="451"/>
      <c r="GB66" s="451"/>
      <c r="GC66" s="451"/>
      <c r="GD66" s="451"/>
      <c r="GE66" s="451"/>
      <c r="GF66" s="451"/>
      <c r="GG66" s="451"/>
      <c r="GH66" s="451"/>
      <c r="GI66" s="451"/>
      <c r="GJ66" s="451"/>
      <c r="GK66" s="451"/>
      <c r="GL66" s="451"/>
      <c r="GM66" s="451"/>
      <c r="GN66" s="451"/>
      <c r="GO66" s="451"/>
      <c r="GP66" s="451"/>
      <c r="GQ66" s="451"/>
      <c r="GR66" s="451"/>
      <c r="GS66" s="451"/>
      <c r="GT66" s="451"/>
      <c r="GU66" s="451"/>
      <c r="GV66" s="451"/>
      <c r="GW66" s="451"/>
      <c r="GX66" s="451"/>
      <c r="GY66" s="451"/>
      <c r="GZ66" s="451"/>
      <c r="HA66" s="451"/>
      <c r="HB66" s="451"/>
      <c r="HC66" s="451"/>
      <c r="HD66" s="451"/>
      <c r="HE66" s="451"/>
      <c r="HF66" s="451"/>
      <c r="HG66" s="451"/>
      <c r="HH66" s="451"/>
      <c r="HI66" s="451"/>
      <c r="HJ66" s="451"/>
      <c r="HK66" s="451"/>
      <c r="HL66" s="451"/>
      <c r="HM66" s="451"/>
      <c r="HN66" s="451"/>
      <c r="HO66" s="451"/>
    </row>
    <row r="67" spans="1:29" ht="19.5" customHeight="1" thickBot="1">
      <c r="A67" s="293"/>
      <c r="B67" s="387"/>
      <c r="C67" s="586"/>
      <c r="D67" s="347"/>
      <c r="E67" s="297"/>
      <c r="F67" s="298"/>
      <c r="G67" s="1153" t="s">
        <v>899</v>
      </c>
      <c r="H67" s="1093"/>
      <c r="I67" s="1093"/>
      <c r="J67" s="278">
        <f>597022-78870-40212</f>
        <v>477940</v>
      </c>
      <c r="K67" s="1136"/>
      <c r="L67" s="340"/>
      <c r="M67" s="317"/>
      <c r="N67" s="317"/>
      <c r="O67" s="317"/>
      <c r="P67" s="388"/>
      <c r="Q67" s="1097"/>
      <c r="R67" s="280"/>
      <c r="S67" s="281"/>
      <c r="T67" s="281"/>
      <c r="U67" s="281"/>
      <c r="V67" s="384"/>
      <c r="W67" s="1111"/>
      <c r="X67" s="363"/>
      <c r="Y67" s="300"/>
      <c r="Z67" s="312"/>
      <c r="AA67" s="310"/>
      <c r="AB67" s="311"/>
      <c r="AC67" s="303"/>
    </row>
    <row r="68" spans="1:29" ht="15.75" customHeight="1">
      <c r="A68" s="1231" t="s">
        <v>483</v>
      </c>
      <c r="B68" s="1232"/>
      <c r="C68" s="1233"/>
      <c r="D68" s="1238">
        <f>'6. kiadások megbontása'!G85</f>
        <v>96646705</v>
      </c>
      <c r="E68" s="1238">
        <f>SUM('6. kiadások megbontása'!H85)</f>
        <v>5363162</v>
      </c>
      <c r="F68" s="1247">
        <f>SUM(D68:E68)</f>
        <v>102009867</v>
      </c>
      <c r="G68" s="1120" t="s">
        <v>806</v>
      </c>
      <c r="H68" s="1095"/>
      <c r="I68" s="1095"/>
      <c r="J68" s="713">
        <f>11287000-473000</f>
        <v>10814000</v>
      </c>
      <c r="K68" s="1252">
        <f>SUM(J68:J73)</f>
        <v>10901654</v>
      </c>
      <c r="L68" s="1220" t="s">
        <v>858</v>
      </c>
      <c r="M68" s="1167"/>
      <c r="N68" s="1167"/>
      <c r="O68" s="1167"/>
      <c r="P68" s="394">
        <v>6245115</v>
      </c>
      <c r="Q68" s="1143">
        <f>SUM(P68:P70)</f>
        <v>50394474</v>
      </c>
      <c r="R68" s="1094" t="s">
        <v>902</v>
      </c>
      <c r="S68" s="1095"/>
      <c r="T68" s="1095"/>
      <c r="U68" s="1095"/>
      <c r="V68" s="1118">
        <v>31099867</v>
      </c>
      <c r="W68" s="1109">
        <f>SUM(V68:V70)</f>
        <v>31169867</v>
      </c>
      <c r="X68" s="1112">
        <f>SUM(K68+Q68+W68)</f>
        <v>92465995</v>
      </c>
      <c r="Y68" s="1115">
        <f>Q71+W71</f>
        <v>4940977</v>
      </c>
      <c r="Z68" s="1104">
        <f>SUM(X68:Y70)</f>
        <v>97406972</v>
      </c>
      <c r="AA68" s="1112">
        <f>X68-D68</f>
        <v>-4180710</v>
      </c>
      <c r="AB68" s="1115">
        <f>Y68-E68</f>
        <v>-422185</v>
      </c>
      <c r="AC68" s="1104">
        <f>SUM(AA68:AB68)</f>
        <v>-4602895</v>
      </c>
    </row>
    <row r="69" spans="1:29" ht="15.75" customHeight="1">
      <c r="A69" s="1234"/>
      <c r="B69" s="1235"/>
      <c r="C69" s="1236"/>
      <c r="D69" s="1239"/>
      <c r="E69" s="1239"/>
      <c r="F69" s="1248"/>
      <c r="G69" s="901"/>
      <c r="H69" s="757"/>
      <c r="I69" s="757"/>
      <c r="J69" s="457"/>
      <c r="K69" s="1169"/>
      <c r="L69" s="1241" t="s">
        <v>1132</v>
      </c>
      <c r="M69" s="1145"/>
      <c r="N69" s="1145"/>
      <c r="O69" s="1145"/>
      <c r="P69" s="906">
        <v>742100</v>
      </c>
      <c r="Q69" s="1136"/>
      <c r="R69" s="1090"/>
      <c r="S69" s="1091"/>
      <c r="T69" s="1091"/>
      <c r="U69" s="1091"/>
      <c r="V69" s="1119"/>
      <c r="W69" s="1110"/>
      <c r="X69" s="1113"/>
      <c r="Y69" s="1116"/>
      <c r="Z69" s="1105"/>
      <c r="AA69" s="1113"/>
      <c r="AB69" s="1116"/>
      <c r="AC69" s="1105"/>
    </row>
    <row r="70" spans="1:29" ht="24.75" customHeight="1" thickBot="1">
      <c r="A70" s="1234"/>
      <c r="B70" s="1235"/>
      <c r="C70" s="1236"/>
      <c r="D70" s="1239"/>
      <c r="E70" s="1239"/>
      <c r="F70" s="1248"/>
      <c r="G70" s="1237" t="s">
        <v>905</v>
      </c>
      <c r="H70" s="1133"/>
      <c r="I70" s="1133"/>
      <c r="J70" s="457">
        <f>195364-195364</f>
        <v>0</v>
      </c>
      <c r="K70" s="1169"/>
      <c r="L70" s="1092" t="s">
        <v>896</v>
      </c>
      <c r="M70" s="1093"/>
      <c r="N70" s="1093"/>
      <c r="O70" s="1093"/>
      <c r="P70" s="278">
        <v>43407259</v>
      </c>
      <c r="Q70" s="1136"/>
      <c r="R70" s="1107" t="s">
        <v>1202</v>
      </c>
      <c r="S70" s="1108"/>
      <c r="T70" s="1108"/>
      <c r="U70" s="1108"/>
      <c r="V70" s="927">
        <v>70000</v>
      </c>
      <c r="W70" s="1111"/>
      <c r="X70" s="1113"/>
      <c r="Y70" s="1116"/>
      <c r="Z70" s="1105"/>
      <c r="AA70" s="1113"/>
      <c r="AB70" s="1116"/>
      <c r="AC70" s="1105"/>
    </row>
    <row r="71" spans="1:29" ht="16.5" customHeight="1">
      <c r="A71" s="861"/>
      <c r="B71" s="862"/>
      <c r="C71" s="863"/>
      <c r="D71" s="864"/>
      <c r="E71" s="866"/>
      <c r="F71" s="865"/>
      <c r="G71" s="860"/>
      <c r="H71" s="755"/>
      <c r="I71" s="755"/>
      <c r="J71" s="457"/>
      <c r="K71" s="1169"/>
      <c r="L71" s="1220" t="s">
        <v>992</v>
      </c>
      <c r="M71" s="1167"/>
      <c r="N71" s="1167"/>
      <c r="O71" s="1167"/>
      <c r="P71" s="394">
        <v>841234</v>
      </c>
      <c r="Q71" s="1143">
        <f>SUM(P71:P72)</f>
        <v>2528424</v>
      </c>
      <c r="R71" s="1094" t="s">
        <v>903</v>
      </c>
      <c r="S71" s="1095"/>
      <c r="T71" s="1095"/>
      <c r="U71" s="1095"/>
      <c r="V71" s="1118">
        <v>2412553</v>
      </c>
      <c r="W71" s="1109">
        <f>SUM(V71)</f>
        <v>2412553</v>
      </c>
      <c r="X71" s="1113"/>
      <c r="Y71" s="1116"/>
      <c r="Z71" s="1105"/>
      <c r="AA71" s="1113"/>
      <c r="AB71" s="1116"/>
      <c r="AC71" s="1105"/>
    </row>
    <row r="72" spans="1:29" ht="16.5" customHeight="1">
      <c r="A72" s="861"/>
      <c r="B72" s="862"/>
      <c r="C72" s="863"/>
      <c r="D72" s="864"/>
      <c r="E72" s="866"/>
      <c r="F72" s="865"/>
      <c r="G72" s="860"/>
      <c r="H72" s="755"/>
      <c r="I72" s="755"/>
      <c r="J72" s="457"/>
      <c r="K72" s="1169"/>
      <c r="L72" s="1090" t="s">
        <v>901</v>
      </c>
      <c r="M72" s="1091"/>
      <c r="N72" s="1091"/>
      <c r="O72" s="1091"/>
      <c r="P72" s="1119">
        <v>1687190</v>
      </c>
      <c r="Q72" s="1136"/>
      <c r="R72" s="1090"/>
      <c r="S72" s="1091"/>
      <c r="T72" s="1091"/>
      <c r="U72" s="1091"/>
      <c r="V72" s="1119"/>
      <c r="W72" s="1110"/>
      <c r="X72" s="1113"/>
      <c r="Y72" s="1116"/>
      <c r="Z72" s="1105"/>
      <c r="AA72" s="1113"/>
      <c r="AB72" s="1116"/>
      <c r="AC72" s="1105"/>
    </row>
    <row r="73" spans="1:29" ht="23.25" customHeight="1" thickBot="1">
      <c r="A73" s="758"/>
      <c r="B73" s="759"/>
      <c r="C73" s="760"/>
      <c r="D73" s="761"/>
      <c r="E73" s="769"/>
      <c r="F73" s="762"/>
      <c r="G73" s="1153" t="s">
        <v>907</v>
      </c>
      <c r="H73" s="1093"/>
      <c r="I73" s="1093"/>
      <c r="J73" s="772">
        <v>87654</v>
      </c>
      <c r="K73" s="1170"/>
      <c r="L73" s="1107"/>
      <c r="M73" s="1108"/>
      <c r="N73" s="1108"/>
      <c r="O73" s="1108"/>
      <c r="P73" s="1240"/>
      <c r="Q73" s="1137"/>
      <c r="R73" s="1107"/>
      <c r="S73" s="1108"/>
      <c r="T73" s="1108"/>
      <c r="U73" s="1108"/>
      <c r="V73" s="1240"/>
      <c r="W73" s="1111"/>
      <c r="X73" s="1114"/>
      <c r="Y73" s="1117"/>
      <c r="Z73" s="1106"/>
      <c r="AA73" s="1114"/>
      <c r="AB73" s="1117"/>
      <c r="AC73" s="1106"/>
    </row>
    <row r="74" spans="1:223" s="429" customFormat="1" ht="44.25" customHeight="1" thickBot="1" thickTop="1">
      <c r="A74" s="1225" t="s">
        <v>859</v>
      </c>
      <c r="B74" s="1226"/>
      <c r="C74" s="1227"/>
      <c r="D74" s="639">
        <f>SUM(D61:D70)</f>
        <v>298500918</v>
      </c>
      <c r="E74" s="640">
        <f>SUM(E61:E70)</f>
        <v>6982046</v>
      </c>
      <c r="F74" s="719">
        <f>SUM(D74:E74)</f>
        <v>305482964</v>
      </c>
      <c r="G74" s="770"/>
      <c r="H74" s="1196" t="s">
        <v>97</v>
      </c>
      <c r="I74" s="1197"/>
      <c r="J74" s="1198"/>
      <c r="K74" s="444">
        <f>SUM(K60:K70)</f>
        <v>178126558</v>
      </c>
      <c r="L74" s="443"/>
      <c r="M74" s="1141" t="s">
        <v>98</v>
      </c>
      <c r="N74" s="1141"/>
      <c r="O74" s="1141"/>
      <c r="P74" s="1142"/>
      <c r="Q74" s="444">
        <f>SUM(Q60:Q72)</f>
        <v>56415625</v>
      </c>
      <c r="R74" s="445"/>
      <c r="S74" s="1141" t="s">
        <v>99</v>
      </c>
      <c r="T74" s="1141"/>
      <c r="U74" s="1141"/>
      <c r="V74" s="1142"/>
      <c r="W74" s="446">
        <f>SUM(W60:W72)</f>
        <v>35431632</v>
      </c>
      <c r="X74" s="447">
        <f>SUM(X59:X68)</f>
        <v>265032838</v>
      </c>
      <c r="Y74" s="448">
        <f>SUM(Y59:Y68)</f>
        <v>4940977</v>
      </c>
      <c r="Z74" s="449">
        <f>SUM(X74:Y74)</f>
        <v>269973815</v>
      </c>
      <c r="AA74" s="447">
        <f>X74-D74</f>
        <v>-33468080</v>
      </c>
      <c r="AB74" s="450">
        <f>Y74-E74</f>
        <v>-2041069</v>
      </c>
      <c r="AC74" s="449">
        <f>SUM(AA74:AB74)</f>
        <v>-35509149</v>
      </c>
      <c r="AD74" s="451"/>
      <c r="AE74" s="451"/>
      <c r="AF74" s="451"/>
      <c r="AG74" s="451"/>
      <c r="AH74" s="451"/>
      <c r="AI74" s="451"/>
      <c r="AJ74" s="451"/>
      <c r="AK74" s="451"/>
      <c r="AL74" s="451"/>
      <c r="AM74" s="451"/>
      <c r="AN74" s="451"/>
      <c r="AO74" s="451"/>
      <c r="AP74" s="451"/>
      <c r="AQ74" s="451"/>
      <c r="AR74" s="451"/>
      <c r="AS74" s="451"/>
      <c r="AT74" s="451"/>
      <c r="AU74" s="451"/>
      <c r="AV74" s="451"/>
      <c r="AW74" s="451"/>
      <c r="AX74" s="451"/>
      <c r="AY74" s="451"/>
      <c r="AZ74" s="451"/>
      <c r="BA74" s="451"/>
      <c r="BB74" s="451"/>
      <c r="BC74" s="451"/>
      <c r="BD74" s="451"/>
      <c r="BE74" s="451"/>
      <c r="BF74" s="451"/>
      <c r="BG74" s="451"/>
      <c r="BH74" s="451"/>
      <c r="BI74" s="451"/>
      <c r="BJ74" s="451"/>
      <c r="BK74" s="451"/>
      <c r="BL74" s="451"/>
      <c r="BM74" s="451"/>
      <c r="BN74" s="451"/>
      <c r="BO74" s="451"/>
      <c r="BP74" s="451"/>
      <c r="BQ74" s="451"/>
      <c r="BR74" s="451"/>
      <c r="BS74" s="451"/>
      <c r="BT74" s="451"/>
      <c r="BU74" s="451"/>
      <c r="BV74" s="451"/>
      <c r="BW74" s="451"/>
      <c r="BX74" s="451"/>
      <c r="BY74" s="451"/>
      <c r="BZ74" s="451"/>
      <c r="CA74" s="451"/>
      <c r="CB74" s="451"/>
      <c r="CC74" s="451"/>
      <c r="CD74" s="451"/>
      <c r="CE74" s="451"/>
      <c r="CF74" s="451"/>
      <c r="CG74" s="451"/>
      <c r="CH74" s="451"/>
      <c r="CI74" s="451"/>
      <c r="CJ74" s="451"/>
      <c r="CK74" s="451"/>
      <c r="CL74" s="451"/>
      <c r="CM74" s="451"/>
      <c r="CN74" s="451"/>
      <c r="CO74" s="451"/>
      <c r="CP74" s="451"/>
      <c r="CQ74" s="451"/>
      <c r="CR74" s="451"/>
      <c r="CS74" s="451"/>
      <c r="CT74" s="451"/>
      <c r="CU74" s="451"/>
      <c r="CV74" s="451"/>
      <c r="CW74" s="451"/>
      <c r="CX74" s="451"/>
      <c r="CY74" s="451"/>
      <c r="CZ74" s="451"/>
      <c r="DA74" s="451"/>
      <c r="DB74" s="451"/>
      <c r="DC74" s="451"/>
      <c r="DD74" s="451"/>
      <c r="DE74" s="451"/>
      <c r="DF74" s="451"/>
      <c r="DG74" s="451"/>
      <c r="DH74" s="451"/>
      <c r="DI74" s="451"/>
      <c r="DJ74" s="451"/>
      <c r="DK74" s="451"/>
      <c r="DL74" s="451"/>
      <c r="DM74" s="451"/>
      <c r="DN74" s="451"/>
      <c r="DO74" s="451"/>
      <c r="DP74" s="451"/>
      <c r="DQ74" s="451"/>
      <c r="DR74" s="451"/>
      <c r="DS74" s="451"/>
      <c r="DT74" s="451"/>
      <c r="DU74" s="451"/>
      <c r="DV74" s="451"/>
      <c r="DW74" s="451"/>
      <c r="DX74" s="451"/>
      <c r="DY74" s="451"/>
      <c r="DZ74" s="451"/>
      <c r="EA74" s="451"/>
      <c r="EB74" s="451"/>
      <c r="EC74" s="451"/>
      <c r="ED74" s="451"/>
      <c r="EE74" s="451"/>
      <c r="EF74" s="451"/>
      <c r="EG74" s="451"/>
      <c r="EH74" s="451"/>
      <c r="EI74" s="451"/>
      <c r="EJ74" s="451"/>
      <c r="EK74" s="451"/>
      <c r="EL74" s="451"/>
      <c r="EM74" s="451"/>
      <c r="EN74" s="451"/>
      <c r="EO74" s="451"/>
      <c r="EP74" s="451"/>
      <c r="EQ74" s="451"/>
      <c r="ER74" s="451"/>
      <c r="ES74" s="451"/>
      <c r="ET74" s="451"/>
      <c r="EU74" s="451"/>
      <c r="EV74" s="451"/>
      <c r="EW74" s="451"/>
      <c r="EX74" s="451"/>
      <c r="EY74" s="451"/>
      <c r="EZ74" s="451"/>
      <c r="FA74" s="451"/>
      <c r="FB74" s="451"/>
      <c r="FC74" s="451"/>
      <c r="FD74" s="451"/>
      <c r="FE74" s="451"/>
      <c r="FF74" s="451"/>
      <c r="FG74" s="451"/>
      <c r="FH74" s="451"/>
      <c r="FI74" s="451"/>
      <c r="FJ74" s="451"/>
      <c r="FK74" s="451"/>
      <c r="FL74" s="451"/>
      <c r="FM74" s="451"/>
      <c r="FN74" s="451"/>
      <c r="FO74" s="451"/>
      <c r="FP74" s="451"/>
      <c r="FQ74" s="451"/>
      <c r="FR74" s="451"/>
      <c r="FS74" s="451"/>
      <c r="FT74" s="451"/>
      <c r="FU74" s="451"/>
      <c r="FV74" s="451"/>
      <c r="FW74" s="451"/>
      <c r="FX74" s="451"/>
      <c r="FY74" s="451"/>
      <c r="FZ74" s="451"/>
      <c r="GA74" s="451"/>
      <c r="GB74" s="451"/>
      <c r="GC74" s="451"/>
      <c r="GD74" s="451"/>
      <c r="GE74" s="451"/>
      <c r="GF74" s="451"/>
      <c r="GG74" s="451"/>
      <c r="GH74" s="451"/>
      <c r="GI74" s="451"/>
      <c r="GJ74" s="451"/>
      <c r="GK74" s="451"/>
      <c r="GL74" s="451"/>
      <c r="GM74" s="451"/>
      <c r="GN74" s="451"/>
      <c r="GO74" s="451"/>
      <c r="GP74" s="451"/>
      <c r="GQ74" s="451"/>
      <c r="GR74" s="451"/>
      <c r="GS74" s="451"/>
      <c r="GT74" s="451"/>
      <c r="GU74" s="451"/>
      <c r="GV74" s="451"/>
      <c r="GW74" s="451"/>
      <c r="GX74" s="451"/>
      <c r="GY74" s="451"/>
      <c r="GZ74" s="451"/>
      <c r="HA74" s="451"/>
      <c r="HB74" s="451"/>
      <c r="HC74" s="451"/>
      <c r="HD74" s="451"/>
      <c r="HE74" s="451"/>
      <c r="HF74" s="451"/>
      <c r="HG74" s="451"/>
      <c r="HH74" s="451"/>
      <c r="HI74" s="451"/>
      <c r="HJ74" s="451"/>
      <c r="HK74" s="451"/>
      <c r="HL74" s="451"/>
      <c r="HM74" s="451"/>
      <c r="HN74" s="451"/>
      <c r="HO74" s="451"/>
    </row>
    <row r="75" spans="1:29" ht="21" customHeight="1" thickBot="1" thickTop="1">
      <c r="A75" s="1228" t="s">
        <v>361</v>
      </c>
      <c r="B75" s="1229"/>
      <c r="C75" s="1230"/>
      <c r="D75" s="405">
        <f>SUM(D74,D48,D40,D56)</f>
        <v>1422060232</v>
      </c>
      <c r="E75" s="405">
        <f>SUM(E74,E48,E40,E56)</f>
        <v>915546050</v>
      </c>
      <c r="F75" s="641">
        <f>SUM(D75:E75)</f>
        <v>2337606282</v>
      </c>
      <c r="G75" s="771"/>
      <c r="H75" s="1244" t="s">
        <v>102</v>
      </c>
      <c r="I75" s="1245"/>
      <c r="J75" s="1246"/>
      <c r="K75" s="407">
        <f>SUM(K74,K48,K40,K56)</f>
        <v>569090688</v>
      </c>
      <c r="L75" s="406"/>
      <c r="M75" s="1249" t="s">
        <v>103</v>
      </c>
      <c r="N75" s="1249"/>
      <c r="O75" s="1249"/>
      <c r="P75" s="1250"/>
      <c r="Q75" s="407">
        <f>SUM(Q74,Q48,Q40,Q56)</f>
        <v>1028865359</v>
      </c>
      <c r="R75" s="408"/>
      <c r="S75" s="1249" t="s">
        <v>104</v>
      </c>
      <c r="T75" s="1249"/>
      <c r="U75" s="1249"/>
      <c r="V75" s="1250"/>
      <c r="W75" s="730">
        <f>SUM(W74,W48,W40,W56)</f>
        <v>739650235</v>
      </c>
      <c r="X75" s="731">
        <f>SUM(X74,X48,X40,X56)</f>
        <v>1421786724</v>
      </c>
      <c r="Y75" s="409">
        <f>SUM(Y74,Y48,Y40,Y56)</f>
        <v>915819558</v>
      </c>
      <c r="Z75" s="410">
        <f>SUM(W75+Q75+K75)</f>
        <v>2337606282</v>
      </c>
      <c r="AA75" s="409">
        <f>SUM(AA74,AA48,AA40,AA56)</f>
        <v>-273508</v>
      </c>
      <c r="AB75" s="409">
        <f>SUM(AB74,AB48,AB40,AB56)</f>
        <v>273508</v>
      </c>
      <c r="AC75" s="641">
        <f>SUM(AC74,AC48,AC40,AC56)</f>
        <v>0</v>
      </c>
    </row>
    <row r="76" spans="1:29" ht="19.5" thickTop="1">
      <c r="A76" s="1242"/>
      <c r="B76" s="1243"/>
      <c r="C76" s="1243"/>
      <c r="D76" s="382"/>
      <c r="E76" s="382"/>
      <c r="F76" s="382"/>
      <c r="G76" s="328"/>
      <c r="H76" s="328"/>
      <c r="I76" s="328"/>
      <c r="J76" s="411"/>
      <c r="K76" s="358"/>
      <c r="L76" s="326"/>
      <c r="M76" s="317"/>
      <c r="N76" s="317"/>
      <c r="O76" s="317"/>
      <c r="P76" s="317"/>
      <c r="Q76" s="317"/>
      <c r="R76" s="326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26"/>
    </row>
    <row r="77" spans="1:29" ht="15.75">
      <c r="A77" s="382"/>
      <c r="B77" s="382"/>
      <c r="C77" s="382"/>
      <c r="D77" s="1223" t="s">
        <v>480</v>
      </c>
      <c r="E77" s="1224"/>
      <c r="F77" s="1224"/>
      <c r="G77" s="281"/>
      <c r="H77" s="281"/>
      <c r="I77" s="281"/>
      <c r="J77" s="274"/>
      <c r="K77" s="358"/>
      <c r="L77" s="317"/>
      <c r="M77" s="317"/>
      <c r="N77" s="317"/>
      <c r="O77" s="317"/>
      <c r="P77" s="317"/>
      <c r="Q77" s="317"/>
      <c r="R77" s="317"/>
      <c r="S77" s="382"/>
      <c r="T77" s="382"/>
      <c r="U77" s="382"/>
      <c r="V77" s="382"/>
      <c r="W77" s="1223" t="s">
        <v>105</v>
      </c>
      <c r="X77" s="1224"/>
      <c r="Y77" s="1224"/>
      <c r="Z77" s="412"/>
      <c r="AA77" s="1223" t="s">
        <v>90</v>
      </c>
      <c r="AB77" s="1224"/>
      <c r="AC77" s="1224"/>
    </row>
    <row r="78" spans="1:29" ht="15.75">
      <c r="A78" s="382"/>
      <c r="B78" s="382"/>
      <c r="C78" s="382"/>
      <c r="D78" s="413" t="s">
        <v>91</v>
      </c>
      <c r="E78" s="413" t="s">
        <v>106</v>
      </c>
      <c r="F78" s="413" t="s">
        <v>92</v>
      </c>
      <c r="G78" s="281"/>
      <c r="H78" s="281"/>
      <c r="I78" s="281"/>
      <c r="J78" s="274"/>
      <c r="K78" s="358"/>
      <c r="L78" s="317"/>
      <c r="M78" s="317"/>
      <c r="N78" s="317"/>
      <c r="O78" s="317"/>
      <c r="P78" s="317"/>
      <c r="Q78" s="317"/>
      <c r="R78" s="317"/>
      <c r="S78" s="1251"/>
      <c r="T78" s="1251"/>
      <c r="U78" s="1251"/>
      <c r="V78" s="1251"/>
      <c r="W78" s="413" t="s">
        <v>91</v>
      </c>
      <c r="X78" s="413" t="s">
        <v>106</v>
      </c>
      <c r="Y78" s="413" t="s">
        <v>92</v>
      </c>
      <c r="Z78" s="414"/>
      <c r="AA78" s="413" t="s">
        <v>91</v>
      </c>
      <c r="AB78" s="413" t="s">
        <v>106</v>
      </c>
      <c r="AC78" s="413" t="s">
        <v>92</v>
      </c>
    </row>
    <row r="79" spans="1:29" ht="15.75">
      <c r="A79" s="382"/>
      <c r="B79" s="382"/>
      <c r="C79" s="415" t="s">
        <v>107</v>
      </c>
      <c r="D79" s="382"/>
      <c r="E79" s="382"/>
      <c r="F79" s="382"/>
      <c r="G79" s="281"/>
      <c r="H79" s="281"/>
      <c r="I79" s="281"/>
      <c r="J79" s="274"/>
      <c r="K79" s="358"/>
      <c r="L79" s="317"/>
      <c r="M79" s="317"/>
      <c r="N79" s="317"/>
      <c r="O79" s="317"/>
      <c r="P79" s="317"/>
      <c r="Q79" s="317"/>
      <c r="R79" s="317"/>
      <c r="S79" s="382"/>
      <c r="T79" s="415" t="s">
        <v>107</v>
      </c>
      <c r="U79" s="382"/>
      <c r="V79" s="1223"/>
      <c r="W79" s="1224"/>
      <c r="X79" s="382"/>
      <c r="Y79" s="382"/>
      <c r="Z79" s="382"/>
      <c r="AA79" s="382"/>
      <c r="AB79" s="382"/>
      <c r="AC79" s="317"/>
    </row>
    <row r="80" spans="1:29" ht="15.75">
      <c r="A80" s="382"/>
      <c r="B80" s="382"/>
      <c r="C80" s="382" t="s">
        <v>108</v>
      </c>
      <c r="D80" s="416">
        <f>SUM(D10)</f>
        <v>642508240</v>
      </c>
      <c r="E80" s="416">
        <f>SUM(E10)</f>
        <v>229707531</v>
      </c>
      <c r="F80" s="416">
        <f>SUM(D80:E80)</f>
        <v>872215771</v>
      </c>
      <c r="G80" s="281"/>
      <c r="H80" s="281"/>
      <c r="I80" s="281"/>
      <c r="J80" s="274"/>
      <c r="K80" s="358"/>
      <c r="L80" s="317"/>
      <c r="M80" s="317"/>
      <c r="N80" s="317"/>
      <c r="O80" s="317"/>
      <c r="P80" s="317"/>
      <c r="Q80" s="317"/>
      <c r="R80" s="317"/>
      <c r="S80" s="382"/>
      <c r="T80" s="382" t="s">
        <v>108</v>
      </c>
      <c r="U80" s="382"/>
      <c r="V80" s="382"/>
      <c r="W80" s="416">
        <f>SUM(X14)</f>
        <v>724784469</v>
      </c>
      <c r="X80" s="416">
        <f>Y14</f>
        <v>243556139</v>
      </c>
      <c r="Y80" s="416">
        <f>SUM(W80:X80)</f>
        <v>968340608</v>
      </c>
      <c r="Z80" s="365"/>
      <c r="AA80" s="416">
        <f aca="true" t="shared" si="0" ref="AA80:AB83">W80-D80</f>
        <v>82276229</v>
      </c>
      <c r="AB80" s="416">
        <f t="shared" si="0"/>
        <v>13848608</v>
      </c>
      <c r="AC80" s="365">
        <f>SUM(AA80:AB80)</f>
        <v>96124837</v>
      </c>
    </row>
    <row r="81" spans="1:29" ht="15.75">
      <c r="A81" s="382"/>
      <c r="B81" s="382"/>
      <c r="C81" s="382" t="s">
        <v>367</v>
      </c>
      <c r="D81" s="416">
        <f>SUM(D45)</f>
        <v>129626952</v>
      </c>
      <c r="E81" s="416">
        <f>SUM(E45)</f>
        <v>2499004</v>
      </c>
      <c r="F81" s="416">
        <f>SUM(D81:E81)</f>
        <v>132125956</v>
      </c>
      <c r="G81" s="281"/>
      <c r="H81" s="281"/>
      <c r="I81" s="281"/>
      <c r="J81" s="417"/>
      <c r="K81" s="358"/>
      <c r="L81" s="317"/>
      <c r="M81" s="317"/>
      <c r="N81" s="317"/>
      <c r="O81" s="317"/>
      <c r="P81" s="317"/>
      <c r="Q81" s="317"/>
      <c r="R81" s="317"/>
      <c r="S81" s="382"/>
      <c r="T81" s="382" t="s">
        <v>367</v>
      </c>
      <c r="U81" s="382"/>
      <c r="V81" s="382"/>
      <c r="W81" s="416">
        <f>SUM(X45)</f>
        <v>136655634</v>
      </c>
      <c r="X81" s="416">
        <f>Y45</f>
        <v>0</v>
      </c>
      <c r="Y81" s="416">
        <f>SUM(W81:X81)</f>
        <v>136655634</v>
      </c>
      <c r="Z81" s="365"/>
      <c r="AA81" s="416">
        <f t="shared" si="0"/>
        <v>7028682</v>
      </c>
      <c r="AB81" s="416">
        <f t="shared" si="0"/>
        <v>-2499004</v>
      </c>
      <c r="AC81" s="365">
        <f>SUM(AA81:AB81)</f>
        <v>4529678</v>
      </c>
    </row>
    <row r="82" spans="1:29" ht="15.75">
      <c r="A82" s="382"/>
      <c r="B82" s="382"/>
      <c r="C82" s="382" t="s">
        <v>802</v>
      </c>
      <c r="D82" s="416">
        <f>SUM(D53)</f>
        <v>12072523</v>
      </c>
      <c r="E82" s="416">
        <f>SUM(E53)</f>
        <v>0</v>
      </c>
      <c r="F82" s="416">
        <f>SUM(D82:E82)</f>
        <v>12072523</v>
      </c>
      <c r="G82" s="281"/>
      <c r="H82" s="281"/>
      <c r="I82" s="281"/>
      <c r="J82" s="417"/>
      <c r="K82" s="358"/>
      <c r="L82" s="317"/>
      <c r="M82" s="317"/>
      <c r="N82" s="317"/>
      <c r="O82" s="317"/>
      <c r="P82" s="317"/>
      <c r="Q82" s="317"/>
      <c r="R82" s="317"/>
      <c r="S82" s="382"/>
      <c r="T82" s="382" t="s">
        <v>855</v>
      </c>
      <c r="U82" s="382"/>
      <c r="V82" s="382"/>
      <c r="W82" s="416">
        <f>X53</f>
        <v>11824702</v>
      </c>
      <c r="X82" s="416">
        <f>Y53</f>
        <v>0</v>
      </c>
      <c r="Y82" s="416">
        <f>SUM(W82:X82)</f>
        <v>11824702</v>
      </c>
      <c r="Z82" s="365"/>
      <c r="AA82" s="416">
        <f>W82-D82</f>
        <v>-247821</v>
      </c>
      <c r="AB82" s="416">
        <f>X82-E82</f>
        <v>0</v>
      </c>
      <c r="AC82" s="365">
        <f>SUM(AA82:AB82)</f>
        <v>-247821</v>
      </c>
    </row>
    <row r="83" spans="1:29" ht="12.75">
      <c r="A83" s="382"/>
      <c r="B83" s="382"/>
      <c r="C83" s="418" t="s">
        <v>109</v>
      </c>
      <c r="D83" s="419">
        <f>SUM(D63)</f>
        <v>201854213</v>
      </c>
      <c r="E83" s="419">
        <f>SUM(E63)</f>
        <v>1618884</v>
      </c>
      <c r="F83" s="419">
        <f>SUM(D83:E83)</f>
        <v>203473097</v>
      </c>
      <c r="G83" s="382"/>
      <c r="H83" s="382"/>
      <c r="I83" s="382"/>
      <c r="J83" s="382"/>
      <c r="K83" s="317"/>
      <c r="L83" s="317"/>
      <c r="M83" s="317"/>
      <c r="N83" s="317"/>
      <c r="O83" s="317"/>
      <c r="P83" s="317"/>
      <c r="Q83" s="317"/>
      <c r="R83" s="317"/>
      <c r="S83" s="382"/>
      <c r="T83" s="418" t="s">
        <v>109</v>
      </c>
      <c r="U83" s="420"/>
      <c r="V83" s="420"/>
      <c r="W83" s="419">
        <f>SUM(X63)</f>
        <v>172566843</v>
      </c>
      <c r="X83" s="419">
        <f>Y63</f>
        <v>0</v>
      </c>
      <c r="Y83" s="419">
        <f>SUM(W83:X83)</f>
        <v>172566843</v>
      </c>
      <c r="Z83" s="365"/>
      <c r="AA83" s="419">
        <f t="shared" si="0"/>
        <v>-29287370</v>
      </c>
      <c r="AB83" s="419">
        <f t="shared" si="0"/>
        <v>-1618884</v>
      </c>
      <c r="AC83" s="419">
        <f>SUM(AA83:AB83)</f>
        <v>-30906254</v>
      </c>
    </row>
    <row r="84" spans="1:29" ht="12.75">
      <c r="A84" s="382"/>
      <c r="B84" s="382"/>
      <c r="C84" s="421" t="s">
        <v>360</v>
      </c>
      <c r="D84" s="416">
        <f>SUM(D80:D83)</f>
        <v>986061928</v>
      </c>
      <c r="E84" s="416">
        <f>SUM(E80:E83)</f>
        <v>233825419</v>
      </c>
      <c r="F84" s="416">
        <f>SUM(F80:F83)</f>
        <v>1219887347</v>
      </c>
      <c r="G84" s="382"/>
      <c r="H84" s="382"/>
      <c r="I84" s="382"/>
      <c r="J84" s="382"/>
      <c r="K84" s="317"/>
      <c r="L84" s="317"/>
      <c r="M84" s="317"/>
      <c r="N84" s="317"/>
      <c r="O84" s="317"/>
      <c r="P84" s="317"/>
      <c r="Q84" s="317"/>
      <c r="R84" s="317"/>
      <c r="S84" s="382"/>
      <c r="T84" s="421" t="s">
        <v>360</v>
      </c>
      <c r="U84" s="382"/>
      <c r="V84" s="421"/>
      <c r="W84" s="416">
        <f>SUM(W80:W83)</f>
        <v>1045831648</v>
      </c>
      <c r="X84" s="416">
        <f>SUM(X80:X83)</f>
        <v>243556139</v>
      </c>
      <c r="Y84" s="416">
        <f>SUM(Y80:Y83)</f>
        <v>1289387787</v>
      </c>
      <c r="Z84" s="365"/>
      <c r="AA84" s="416">
        <f>SUM(AA80:AA83)</f>
        <v>59769720</v>
      </c>
      <c r="AB84" s="416">
        <f>SUM(AB80:AB83)</f>
        <v>9730720</v>
      </c>
      <c r="AC84" s="416">
        <f>SUM(AC80:AC83)</f>
        <v>69500440</v>
      </c>
    </row>
    <row r="85" spans="1:29" ht="12.75">
      <c r="A85" s="382"/>
      <c r="B85" s="382"/>
      <c r="C85" s="421"/>
      <c r="D85" s="416"/>
      <c r="E85" s="416"/>
      <c r="F85" s="416"/>
      <c r="G85" s="382"/>
      <c r="H85" s="382"/>
      <c r="I85" s="382"/>
      <c r="J85" s="382"/>
      <c r="K85" s="382"/>
      <c r="L85" s="317"/>
      <c r="M85" s="317"/>
      <c r="N85" s="317"/>
      <c r="O85" s="317"/>
      <c r="P85" s="317"/>
      <c r="Q85" s="317"/>
      <c r="R85" s="317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17"/>
    </row>
    <row r="86" spans="1:29" ht="12.75">
      <c r="A86" s="382"/>
      <c r="B86" s="382"/>
      <c r="C86" s="415" t="s">
        <v>110</v>
      </c>
      <c r="D86" s="416"/>
      <c r="E86" s="416"/>
      <c r="F86" s="416"/>
      <c r="G86" s="382"/>
      <c r="H86" s="382"/>
      <c r="I86" s="382"/>
      <c r="J86" s="382"/>
      <c r="K86" s="382"/>
      <c r="L86" s="317"/>
      <c r="M86" s="317"/>
      <c r="N86" s="317"/>
      <c r="O86" s="317"/>
      <c r="P86" s="317"/>
      <c r="Q86" s="317"/>
      <c r="R86" s="317"/>
      <c r="S86" s="382"/>
      <c r="T86" s="415" t="s">
        <v>110</v>
      </c>
      <c r="U86" s="422"/>
      <c r="V86" s="415"/>
      <c r="W86" s="423"/>
      <c r="X86" s="423"/>
      <c r="Y86" s="382"/>
      <c r="Z86" s="382"/>
      <c r="AA86" s="382"/>
      <c r="AB86" s="382"/>
      <c r="AC86" s="317"/>
    </row>
    <row r="87" spans="1:29" ht="12.75">
      <c r="A87" s="382"/>
      <c r="B87" s="382"/>
      <c r="C87" s="382" t="s">
        <v>108</v>
      </c>
      <c r="D87" s="416">
        <f>SUM(D31)</f>
        <v>289045668</v>
      </c>
      <c r="E87" s="416">
        <f>SUM(E31)</f>
        <v>675626809</v>
      </c>
      <c r="F87" s="416">
        <f>SUM(D87:E87)</f>
        <v>964672477</v>
      </c>
      <c r="G87" s="382"/>
      <c r="H87" s="382"/>
      <c r="I87" s="382"/>
      <c r="J87" s="382"/>
      <c r="K87" s="382"/>
      <c r="L87" s="317"/>
      <c r="M87" s="317"/>
      <c r="N87" s="317"/>
      <c r="O87" s="317"/>
      <c r="P87" s="317"/>
      <c r="Q87" s="317"/>
      <c r="R87" s="317"/>
      <c r="S87" s="382"/>
      <c r="T87" s="382" t="s">
        <v>108</v>
      </c>
      <c r="U87" s="382"/>
      <c r="V87" s="382"/>
      <c r="W87" s="416">
        <f>SUM(X31)</f>
        <v>244523024</v>
      </c>
      <c r="X87" s="416">
        <f>Y31</f>
        <v>667322442</v>
      </c>
      <c r="Y87" s="416">
        <f>SUM(W87:X87)</f>
        <v>911845466</v>
      </c>
      <c r="Z87" s="365"/>
      <c r="AA87" s="416">
        <f aca="true" t="shared" si="1" ref="AA87:AB90">W87-D87</f>
        <v>-44522644</v>
      </c>
      <c r="AB87" s="416">
        <f t="shared" si="1"/>
        <v>-8304367</v>
      </c>
      <c r="AC87" s="365">
        <f>SUM(AA87:AB87)</f>
        <v>-52827011</v>
      </c>
    </row>
    <row r="88" spans="1:29" ht="12.75">
      <c r="A88" s="382"/>
      <c r="B88" s="382"/>
      <c r="C88" s="382" t="s">
        <v>367</v>
      </c>
      <c r="D88" s="416">
        <v>0</v>
      </c>
      <c r="E88" s="416">
        <v>0</v>
      </c>
      <c r="F88" s="416">
        <f>SUM(D88:E88)</f>
        <v>0</v>
      </c>
      <c r="G88" s="382"/>
      <c r="H88" s="382"/>
      <c r="I88" s="382"/>
      <c r="J88" s="382"/>
      <c r="K88" s="382"/>
      <c r="L88" s="317"/>
      <c r="M88" s="317"/>
      <c r="N88" s="317"/>
      <c r="O88" s="317"/>
      <c r="P88" s="317"/>
      <c r="Q88" s="317"/>
      <c r="R88" s="317"/>
      <c r="S88" s="382"/>
      <c r="T88" s="382" t="s">
        <v>367</v>
      </c>
      <c r="U88" s="382"/>
      <c r="V88" s="382"/>
      <c r="W88" s="416">
        <v>0</v>
      </c>
      <c r="X88" s="416">
        <v>0</v>
      </c>
      <c r="Y88" s="416">
        <f>SUM(W88:X88)</f>
        <v>0</v>
      </c>
      <c r="Z88" s="365"/>
      <c r="AA88" s="416">
        <f t="shared" si="1"/>
        <v>0</v>
      </c>
      <c r="AB88" s="416">
        <f t="shared" si="1"/>
        <v>0</v>
      </c>
      <c r="AC88" s="365">
        <f>SUM(AA88:AB88)</f>
        <v>0</v>
      </c>
    </row>
    <row r="89" spans="1:29" ht="12.75">
      <c r="A89" s="382"/>
      <c r="B89" s="382"/>
      <c r="C89" s="382" t="s">
        <v>802</v>
      </c>
      <c r="D89" s="416">
        <f>SUM(D55)</f>
        <v>39171</v>
      </c>
      <c r="E89" s="416">
        <f>SUM(E55)</f>
        <v>0</v>
      </c>
      <c r="F89" s="416">
        <f>SUM(D89:E89)</f>
        <v>39171</v>
      </c>
      <c r="G89" s="382"/>
      <c r="H89" s="382"/>
      <c r="I89" s="382"/>
      <c r="J89" s="382"/>
      <c r="K89" s="382"/>
      <c r="L89" s="317"/>
      <c r="M89" s="317"/>
      <c r="N89" s="317"/>
      <c r="O89" s="317"/>
      <c r="P89" s="317"/>
      <c r="Q89" s="317"/>
      <c r="R89" s="317"/>
      <c r="S89" s="382"/>
      <c r="T89" s="382" t="s">
        <v>855</v>
      </c>
      <c r="U89" s="382"/>
      <c r="V89" s="382"/>
      <c r="W89" s="416">
        <f>X54</f>
        <v>0</v>
      </c>
      <c r="X89" s="416">
        <f>Y55</f>
        <v>0</v>
      </c>
      <c r="Y89" s="416">
        <f>SUM(W89:X89)</f>
        <v>0</v>
      </c>
      <c r="Z89" s="365"/>
      <c r="AA89" s="416">
        <f>W89-D89</f>
        <v>-39171</v>
      </c>
      <c r="AB89" s="416">
        <f>X89-E89</f>
        <v>0</v>
      </c>
      <c r="AC89" s="365">
        <f>SUM(AA89:AB89)</f>
        <v>-39171</v>
      </c>
    </row>
    <row r="90" spans="1:29" ht="12.75">
      <c r="A90" s="382"/>
      <c r="B90" s="382"/>
      <c r="C90" s="418" t="s">
        <v>109</v>
      </c>
      <c r="D90" s="419">
        <f>SUM(D68)</f>
        <v>96646705</v>
      </c>
      <c r="E90" s="419">
        <f>SUM(E68)</f>
        <v>5363162</v>
      </c>
      <c r="F90" s="419">
        <f>SUM(D90:E90)</f>
        <v>102009867</v>
      </c>
      <c r="G90" s="382"/>
      <c r="H90" s="382"/>
      <c r="I90" s="382"/>
      <c r="J90" s="382"/>
      <c r="K90" s="382"/>
      <c r="L90" s="317"/>
      <c r="M90" s="317"/>
      <c r="N90" s="317"/>
      <c r="O90" s="317"/>
      <c r="P90" s="317"/>
      <c r="Q90" s="317"/>
      <c r="R90" s="317"/>
      <c r="S90" s="382"/>
      <c r="T90" s="418" t="s">
        <v>109</v>
      </c>
      <c r="U90" s="420"/>
      <c r="V90" s="420"/>
      <c r="W90" s="419">
        <f>SUM(X68)</f>
        <v>92465995</v>
      </c>
      <c r="X90" s="419">
        <f>Y68</f>
        <v>4940977</v>
      </c>
      <c r="Y90" s="419">
        <f>SUM(W90:X90)</f>
        <v>97406972</v>
      </c>
      <c r="Z90" s="365"/>
      <c r="AA90" s="419">
        <f t="shared" si="1"/>
        <v>-4180710</v>
      </c>
      <c r="AB90" s="419">
        <f t="shared" si="1"/>
        <v>-422185</v>
      </c>
      <c r="AC90" s="419">
        <f>SUM(AA90:AB90)</f>
        <v>-4602895</v>
      </c>
    </row>
    <row r="91" spans="1:29" ht="12.75">
      <c r="A91" s="382"/>
      <c r="B91" s="382"/>
      <c r="C91" s="421" t="s">
        <v>360</v>
      </c>
      <c r="D91" s="416">
        <f>SUM(D87:D90)</f>
        <v>385731544</v>
      </c>
      <c r="E91" s="416">
        <f>SUM(E87:E90)</f>
        <v>680989971</v>
      </c>
      <c r="F91" s="416">
        <f>SUM(F87:F90)</f>
        <v>1066721515</v>
      </c>
      <c r="G91" s="382"/>
      <c r="H91" s="382"/>
      <c r="I91" s="382"/>
      <c r="J91" s="382"/>
      <c r="K91" s="382"/>
      <c r="L91" s="317"/>
      <c r="M91" s="317"/>
      <c r="N91" s="317"/>
      <c r="O91" s="317"/>
      <c r="P91" s="317"/>
      <c r="Q91" s="317"/>
      <c r="R91" s="317"/>
      <c r="S91" s="382"/>
      <c r="T91" s="421" t="s">
        <v>360</v>
      </c>
      <c r="U91" s="382"/>
      <c r="V91" s="421"/>
      <c r="W91" s="416">
        <f>SUM(W87:W90)</f>
        <v>336989019</v>
      </c>
      <c r="X91" s="416">
        <f>SUM(X87:X90)</f>
        <v>672263419</v>
      </c>
      <c r="Y91" s="416">
        <f>SUM(Y87:Y90)</f>
        <v>1009252438</v>
      </c>
      <c r="Z91" s="365"/>
      <c r="AA91" s="416">
        <f>SUM(AA87:AA90)</f>
        <v>-48742525</v>
      </c>
      <c r="AB91" s="416">
        <f>SUM(AB87:AB90)</f>
        <v>-8726552</v>
      </c>
      <c r="AC91" s="416">
        <f>SUM(AC87:AC90)</f>
        <v>-57469077</v>
      </c>
    </row>
    <row r="92" spans="1:29" ht="12.75">
      <c r="A92" s="382"/>
      <c r="B92" s="382"/>
      <c r="C92" s="421"/>
      <c r="D92" s="416"/>
      <c r="E92" s="416"/>
      <c r="F92" s="416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17"/>
      <c r="AA92" s="416"/>
      <c r="AB92" s="416"/>
      <c r="AC92" s="317"/>
    </row>
    <row r="93" spans="1:29" ht="12.75">
      <c r="A93" s="382"/>
      <c r="B93" s="382"/>
      <c r="C93" s="415" t="s">
        <v>111</v>
      </c>
      <c r="D93" s="416"/>
      <c r="E93" s="416"/>
      <c r="F93" s="416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415" t="s">
        <v>111</v>
      </c>
      <c r="U93" s="382"/>
      <c r="V93" s="415"/>
      <c r="W93" s="382"/>
      <c r="X93" s="382"/>
      <c r="Y93" s="382"/>
      <c r="Z93" s="317"/>
      <c r="AA93" s="416"/>
      <c r="AB93" s="416"/>
      <c r="AC93" s="317"/>
    </row>
    <row r="94" spans="1:29" ht="12.75">
      <c r="A94" s="382"/>
      <c r="B94" s="382"/>
      <c r="C94" s="382" t="s">
        <v>108</v>
      </c>
      <c r="D94" s="416">
        <f>SUM(D24)</f>
        <v>50266760</v>
      </c>
      <c r="E94" s="416">
        <f>SUM(E24)</f>
        <v>730660</v>
      </c>
      <c r="F94" s="416">
        <f>SUM(D94:E94)</f>
        <v>50997420</v>
      </c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 t="s">
        <v>108</v>
      </c>
      <c r="U94" s="382"/>
      <c r="V94" s="382"/>
      <c r="W94" s="416">
        <f>SUM(X24)</f>
        <v>38966057</v>
      </c>
      <c r="X94" s="416">
        <v>0</v>
      </c>
      <c r="Y94" s="416">
        <f>SUM(W94:X94)</f>
        <v>38966057</v>
      </c>
      <c r="Z94" s="365"/>
      <c r="AA94" s="416">
        <f aca="true" t="shared" si="2" ref="AA94:AB97">W94-D94</f>
        <v>-11300703</v>
      </c>
      <c r="AB94" s="416">
        <f t="shared" si="2"/>
        <v>-730660</v>
      </c>
      <c r="AC94" s="365">
        <f>SUM(AA94:AB94)</f>
        <v>-12031363</v>
      </c>
    </row>
    <row r="95" spans="1:29" ht="12.75">
      <c r="A95" s="382"/>
      <c r="B95" s="382"/>
      <c r="C95" s="382" t="s">
        <v>367</v>
      </c>
      <c r="D95" s="416">
        <v>0</v>
      </c>
      <c r="E95" s="416">
        <v>0</v>
      </c>
      <c r="F95" s="416">
        <f>SUM(D95:E95)</f>
        <v>0</v>
      </c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 t="s">
        <v>367</v>
      </c>
      <c r="U95" s="382"/>
      <c r="V95" s="382"/>
      <c r="W95" s="416">
        <v>0</v>
      </c>
      <c r="X95" s="416">
        <v>0</v>
      </c>
      <c r="Y95" s="416">
        <f>SUM(W95:X95)</f>
        <v>0</v>
      </c>
      <c r="Z95" s="365"/>
      <c r="AA95" s="416">
        <f t="shared" si="2"/>
        <v>0</v>
      </c>
      <c r="AB95" s="416">
        <f t="shared" si="2"/>
        <v>0</v>
      </c>
      <c r="AC95" s="365">
        <f>SUM(AA95:AB95)</f>
        <v>0</v>
      </c>
    </row>
    <row r="96" spans="1:29" ht="12.75">
      <c r="A96" s="382"/>
      <c r="B96" s="382"/>
      <c r="C96" s="382" t="s">
        <v>802</v>
      </c>
      <c r="D96" s="416">
        <v>0</v>
      </c>
      <c r="E96" s="416">
        <v>0</v>
      </c>
      <c r="F96" s="416">
        <f>SUM(D96:E96)</f>
        <v>0</v>
      </c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 t="s">
        <v>855</v>
      </c>
      <c r="U96" s="382"/>
      <c r="V96" s="382"/>
      <c r="W96" s="416">
        <v>0</v>
      </c>
      <c r="X96" s="416">
        <v>0</v>
      </c>
      <c r="Y96" s="416">
        <f>SUM(W96:X96)</f>
        <v>0</v>
      </c>
      <c r="Z96" s="365"/>
      <c r="AA96" s="416">
        <f>W96-D96</f>
        <v>0</v>
      </c>
      <c r="AB96" s="416">
        <f>X96-E96</f>
        <v>0</v>
      </c>
      <c r="AC96" s="365">
        <f>SUM(AA96:AB96)</f>
        <v>0</v>
      </c>
    </row>
    <row r="97" spans="1:29" ht="12.75">
      <c r="A97" s="382"/>
      <c r="B97" s="382"/>
      <c r="C97" s="418" t="s">
        <v>109</v>
      </c>
      <c r="D97" s="419">
        <v>0</v>
      </c>
      <c r="E97" s="419">
        <v>0</v>
      </c>
      <c r="F97" s="419">
        <f>SUM(D97:E97)</f>
        <v>0</v>
      </c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418" t="s">
        <v>109</v>
      </c>
      <c r="U97" s="420"/>
      <c r="V97" s="420"/>
      <c r="W97" s="419">
        <v>0</v>
      </c>
      <c r="X97" s="419">
        <v>0</v>
      </c>
      <c r="Y97" s="419">
        <f>SUM(W97:X97)</f>
        <v>0</v>
      </c>
      <c r="Z97" s="365"/>
      <c r="AA97" s="419">
        <f t="shared" si="2"/>
        <v>0</v>
      </c>
      <c r="AB97" s="419">
        <f t="shared" si="2"/>
        <v>0</v>
      </c>
      <c r="AC97" s="419">
        <f>SUM(AA97:AB97)</f>
        <v>0</v>
      </c>
    </row>
    <row r="98" spans="1:29" ht="12.75">
      <c r="A98" s="382"/>
      <c r="B98" s="382"/>
      <c r="C98" s="421" t="s">
        <v>360</v>
      </c>
      <c r="D98" s="416">
        <f>SUM(D94:D97)</f>
        <v>50266760</v>
      </c>
      <c r="E98" s="416">
        <f>SUM(E94:E97)</f>
        <v>730660</v>
      </c>
      <c r="F98" s="416">
        <f>SUM(F94:F97)</f>
        <v>50997420</v>
      </c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421" t="s">
        <v>360</v>
      </c>
      <c r="U98" s="382"/>
      <c r="V98" s="421"/>
      <c r="W98" s="416">
        <f>SUM(W94:W97)</f>
        <v>38966057</v>
      </c>
      <c r="X98" s="416">
        <f>SUM(X94:X97)</f>
        <v>0</v>
      </c>
      <c r="Y98" s="416">
        <f>SUM(Y94:Y97)</f>
        <v>38966057</v>
      </c>
      <c r="Z98" s="365"/>
      <c r="AA98" s="416">
        <f>SUM(AA94:AA97)</f>
        <v>-11300703</v>
      </c>
      <c r="AB98" s="416">
        <f>SUM(AB94:AB97)</f>
        <v>-730660</v>
      </c>
      <c r="AC98" s="416">
        <f>SUM(AC94:AC97)</f>
        <v>-12031363</v>
      </c>
    </row>
    <row r="99" spans="1:29" ht="12.75">
      <c r="A99" s="382"/>
      <c r="B99" s="382"/>
      <c r="C99" s="421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17"/>
      <c r="AA99" s="416"/>
      <c r="AB99" s="416"/>
      <c r="AC99" s="317"/>
    </row>
    <row r="100" spans="1:29" ht="12.75">
      <c r="A100" s="382"/>
      <c r="B100" s="382"/>
      <c r="C100" s="424" t="s">
        <v>112</v>
      </c>
      <c r="D100" s="425">
        <f>SUM(D98,D91,D84)</f>
        <v>1422060232</v>
      </c>
      <c r="E100" s="425">
        <f>SUM(E98,E91,E84)</f>
        <v>915546050</v>
      </c>
      <c r="F100" s="425">
        <f>SUM(F98,F91,F84)</f>
        <v>2337606282</v>
      </c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 t="s">
        <v>112</v>
      </c>
      <c r="U100" s="424"/>
      <c r="V100" s="424"/>
      <c r="W100" s="425">
        <f>SUM(W98,W91,W84)</f>
        <v>1421786724</v>
      </c>
      <c r="X100" s="425">
        <f>SUM(X98,X91,X84)</f>
        <v>915819558</v>
      </c>
      <c r="Y100" s="425">
        <f>SUM(Y98,Y91,Y84)</f>
        <v>2337606282</v>
      </c>
      <c r="Z100" s="297"/>
      <c r="AA100" s="425">
        <f>SUM(AA98,AA91,AA84)</f>
        <v>-273508</v>
      </c>
      <c r="AB100" s="425">
        <f>SUM(AB98,AB91,AB84)</f>
        <v>273508</v>
      </c>
      <c r="AC100" s="425">
        <f>SUM(AC98,AC91,AC84)</f>
        <v>0</v>
      </c>
    </row>
    <row r="101" spans="1:29" ht="12.75">
      <c r="A101" s="424"/>
      <c r="B101" s="424"/>
      <c r="D101" s="382"/>
      <c r="E101" s="382"/>
      <c r="F101" s="382"/>
      <c r="G101" s="416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17"/>
    </row>
    <row r="102" spans="1:29" ht="12.75">
      <c r="A102" s="382"/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17"/>
    </row>
    <row r="103" spans="1:3" ht="12.75">
      <c r="A103" s="382"/>
      <c r="B103" s="382"/>
      <c r="C103" s="382"/>
    </row>
  </sheetData>
  <sheetProtection/>
  <mergeCells count="225">
    <mergeCell ref="L47:O47"/>
    <mergeCell ref="S48:V48"/>
    <mergeCell ref="K32:K39"/>
    <mergeCell ref="M40:P40"/>
    <mergeCell ref="L32:O32"/>
    <mergeCell ref="L49:Q50"/>
    <mergeCell ref="P43:P44"/>
    <mergeCell ref="B45:C45"/>
    <mergeCell ref="K51:K53"/>
    <mergeCell ref="L45:O45"/>
    <mergeCell ref="J43:J44"/>
    <mergeCell ref="A49:C50"/>
    <mergeCell ref="G52:I52"/>
    <mergeCell ref="G49:K50"/>
    <mergeCell ref="M48:P48"/>
    <mergeCell ref="W43:W47"/>
    <mergeCell ref="G43:I44"/>
    <mergeCell ref="L46:O46"/>
    <mergeCell ref="R47:U47"/>
    <mergeCell ref="Q43:Q47"/>
    <mergeCell ref="R43:U44"/>
    <mergeCell ref="G46:I46"/>
    <mergeCell ref="R45:U45"/>
    <mergeCell ref="K43:K47"/>
    <mergeCell ref="G45:I45"/>
    <mergeCell ref="AA49:AC49"/>
    <mergeCell ref="W54:W55"/>
    <mergeCell ref="L71:O71"/>
    <mergeCell ref="L53:O53"/>
    <mergeCell ref="L54:O54"/>
    <mergeCell ref="AA58:AC58"/>
    <mergeCell ref="X49:Z49"/>
    <mergeCell ref="V71:V73"/>
    <mergeCell ref="AB68:AB73"/>
    <mergeCell ref="R52:U52"/>
    <mergeCell ref="W51:W53"/>
    <mergeCell ref="K68:K73"/>
    <mergeCell ref="S74:V74"/>
    <mergeCell ref="M56:P56"/>
    <mergeCell ref="R62:U62"/>
    <mergeCell ref="K60:K67"/>
    <mergeCell ref="L60:O60"/>
    <mergeCell ref="L55:O55"/>
    <mergeCell ref="R71:U72"/>
    <mergeCell ref="L68:O68"/>
    <mergeCell ref="M75:P75"/>
    <mergeCell ref="G60:I60"/>
    <mergeCell ref="R64:U64"/>
    <mergeCell ref="V79:W79"/>
    <mergeCell ref="Q60:Q67"/>
    <mergeCell ref="R60:U60"/>
    <mergeCell ref="R61:U61"/>
    <mergeCell ref="S78:V78"/>
    <mergeCell ref="H74:J74"/>
    <mergeCell ref="M74:P74"/>
    <mergeCell ref="E68:E70"/>
    <mergeCell ref="A76:C76"/>
    <mergeCell ref="AA77:AC77"/>
    <mergeCell ref="G64:I64"/>
    <mergeCell ref="G63:I63"/>
    <mergeCell ref="G67:I67"/>
    <mergeCell ref="H75:J75"/>
    <mergeCell ref="F68:F70"/>
    <mergeCell ref="S75:V75"/>
    <mergeCell ref="W77:Y77"/>
    <mergeCell ref="R63:U63"/>
    <mergeCell ref="L72:O73"/>
    <mergeCell ref="P72:P73"/>
    <mergeCell ref="Q68:Q70"/>
    <mergeCell ref="Q71:Q73"/>
    <mergeCell ref="L69:O69"/>
    <mergeCell ref="L70:O70"/>
    <mergeCell ref="G65:I65"/>
    <mergeCell ref="A63:C63"/>
    <mergeCell ref="D77:F77"/>
    <mergeCell ref="A74:C74"/>
    <mergeCell ref="G68:I68"/>
    <mergeCell ref="A75:C75"/>
    <mergeCell ref="A68:C70"/>
    <mergeCell ref="G70:I70"/>
    <mergeCell ref="G73:I73"/>
    <mergeCell ref="D68:D70"/>
    <mergeCell ref="A55:C55"/>
    <mergeCell ref="G62:I62"/>
    <mergeCell ref="D58:F58"/>
    <mergeCell ref="G61:I61"/>
    <mergeCell ref="H48:J48"/>
    <mergeCell ref="G54:I54"/>
    <mergeCell ref="B53:C53"/>
    <mergeCell ref="G51:I51"/>
    <mergeCell ref="D49:F49"/>
    <mergeCell ref="S56:V56"/>
    <mergeCell ref="Q54:Q55"/>
    <mergeCell ref="R53:U53"/>
    <mergeCell ref="P51:P52"/>
    <mergeCell ref="V43:V44"/>
    <mergeCell ref="A58:C59"/>
    <mergeCell ref="A56:C56"/>
    <mergeCell ref="H56:J56"/>
    <mergeCell ref="G58:K59"/>
    <mergeCell ref="A48:C48"/>
    <mergeCell ref="AA41:AC41"/>
    <mergeCell ref="R41:W42"/>
    <mergeCell ref="X41:Z41"/>
    <mergeCell ref="W8:W18"/>
    <mergeCell ref="R18:U18"/>
    <mergeCell ref="A40:C40"/>
    <mergeCell ref="H40:J40"/>
    <mergeCell ref="D41:F41"/>
    <mergeCell ref="G41:K42"/>
    <mergeCell ref="A41:C42"/>
    <mergeCell ref="T1:AB1"/>
    <mergeCell ref="X6:Z6"/>
    <mergeCell ref="AA6:AC6"/>
    <mergeCell ref="R20:U20"/>
    <mergeCell ref="A6:C7"/>
    <mergeCell ref="L6:Q7"/>
    <mergeCell ref="R6:W7"/>
    <mergeCell ref="D6:F6"/>
    <mergeCell ref="K8:K18"/>
    <mergeCell ref="G19:I19"/>
    <mergeCell ref="L23:O23"/>
    <mergeCell ref="L38:O38"/>
    <mergeCell ref="R13:U13"/>
    <mergeCell ref="A39:C39"/>
    <mergeCell ref="L39:O39"/>
    <mergeCell ref="R14:U14"/>
    <mergeCell ref="G24:I24"/>
    <mergeCell ref="L13:O13"/>
    <mergeCell ref="R31:U31"/>
    <mergeCell ref="R32:U32"/>
    <mergeCell ref="W32:W39"/>
    <mergeCell ref="R26:U26"/>
    <mergeCell ref="B24:C24"/>
    <mergeCell ref="A31:C31"/>
    <mergeCell ref="L8:O8"/>
    <mergeCell ref="R11:U11"/>
    <mergeCell ref="R12:U12"/>
    <mergeCell ref="G9:I9"/>
    <mergeCell ref="W19:W22"/>
    <mergeCell ref="R39:U39"/>
    <mergeCell ref="R25:U25"/>
    <mergeCell ref="W25:W31"/>
    <mergeCell ref="R24:U24"/>
    <mergeCell ref="R27:U27"/>
    <mergeCell ref="R16:U16"/>
    <mergeCell ref="L12:O12"/>
    <mergeCell ref="L10:O10"/>
    <mergeCell ref="R10:U10"/>
    <mergeCell ref="G6:K7"/>
    <mergeCell ref="A3:AC3"/>
    <mergeCell ref="G8:I8"/>
    <mergeCell ref="G12:I12"/>
    <mergeCell ref="R8:U8"/>
    <mergeCell ref="L11:O11"/>
    <mergeCell ref="R17:U17"/>
    <mergeCell ref="R19:U19"/>
    <mergeCell ref="G18:I18"/>
    <mergeCell ref="G13:I13"/>
    <mergeCell ref="R9:U9"/>
    <mergeCell ref="G10:I10"/>
    <mergeCell ref="L9:O9"/>
    <mergeCell ref="L16:O16"/>
    <mergeCell ref="L17:O17"/>
    <mergeCell ref="Q8:Q18"/>
    <mergeCell ref="X58:Z58"/>
    <mergeCell ref="L58:Q59"/>
    <mergeCell ref="R51:U51"/>
    <mergeCell ref="Q51:Q53"/>
    <mergeCell ref="K54:K55"/>
    <mergeCell ref="G11:I11"/>
    <mergeCell ref="G17:I17"/>
    <mergeCell ref="G16:I16"/>
    <mergeCell ref="L22:O22"/>
    <mergeCell ref="G14:I14"/>
    <mergeCell ref="L43:O44"/>
    <mergeCell ref="S40:V40"/>
    <mergeCell ref="L37:O37"/>
    <mergeCell ref="Q32:Q39"/>
    <mergeCell ref="L14:O14"/>
    <mergeCell ref="G22:I22"/>
    <mergeCell ref="G23:I23"/>
    <mergeCell ref="L18:O18"/>
    <mergeCell ref="K19:K22"/>
    <mergeCell ref="R22:U22"/>
    <mergeCell ref="K23:K24"/>
    <mergeCell ref="K25:K31"/>
    <mergeCell ref="L28:O28"/>
    <mergeCell ref="L29:O29"/>
    <mergeCell ref="L27:O27"/>
    <mergeCell ref="Q23:Q24"/>
    <mergeCell ref="L24:O24"/>
    <mergeCell ref="Q25:Q31"/>
    <mergeCell ref="L25:O25"/>
    <mergeCell ref="L31:O31"/>
    <mergeCell ref="L19:N19"/>
    <mergeCell ref="W60:W67"/>
    <mergeCell ref="L61:O61"/>
    <mergeCell ref="R55:U55"/>
    <mergeCell ref="R58:W59"/>
    <mergeCell ref="L51:O52"/>
    <mergeCell ref="L26:O26"/>
    <mergeCell ref="L35:O35"/>
    <mergeCell ref="R49:W50"/>
    <mergeCell ref="R46:U46"/>
    <mergeCell ref="AC68:AC73"/>
    <mergeCell ref="R73:U73"/>
    <mergeCell ref="W68:W70"/>
    <mergeCell ref="X68:X73"/>
    <mergeCell ref="Z68:Z73"/>
    <mergeCell ref="AA68:AA73"/>
    <mergeCell ref="Y68:Y73"/>
    <mergeCell ref="W71:W73"/>
    <mergeCell ref="V68:V69"/>
    <mergeCell ref="R70:U70"/>
    <mergeCell ref="G66:I66"/>
    <mergeCell ref="R15:U15"/>
    <mergeCell ref="L34:O34"/>
    <mergeCell ref="L30:O30"/>
    <mergeCell ref="R68:U69"/>
    <mergeCell ref="L33:O33"/>
    <mergeCell ref="L21:O21"/>
    <mergeCell ref="Q19:Q22"/>
    <mergeCell ref="L41:Q42"/>
    <mergeCell ref="L36:O3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3"/>
  <sheetViews>
    <sheetView workbookViewId="0" topLeftCell="A1">
      <selection activeCell="M2" sqref="M2"/>
    </sheetView>
  </sheetViews>
  <sheetFormatPr defaultColWidth="9.00390625" defaultRowHeight="12.75"/>
  <cols>
    <col min="1" max="1" width="50.875" style="0" customWidth="1"/>
  </cols>
  <sheetData>
    <row r="1" spans="8:13" ht="15">
      <c r="H1" s="877"/>
      <c r="I1" s="877"/>
      <c r="J1" s="877"/>
      <c r="K1" s="877"/>
      <c r="L1" s="877"/>
      <c r="M1" s="5" t="s">
        <v>1217</v>
      </c>
    </row>
    <row r="2" spans="8:13" ht="12.75">
      <c r="H2" s="877"/>
      <c r="I2" s="877"/>
      <c r="J2" s="877"/>
      <c r="K2" s="877"/>
      <c r="L2" s="877"/>
      <c r="M2" s="1"/>
    </row>
    <row r="3" spans="1:13" ht="12.75">
      <c r="A3" s="1263" t="s">
        <v>1020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</row>
    <row r="4" spans="1:13" ht="12.75">
      <c r="A4" s="1263" t="s">
        <v>437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</row>
    <row r="5" spans="1:13" ht="12.75">
      <c r="A5" s="1263"/>
      <c r="B5" s="1263"/>
      <c r="C5" s="1263"/>
      <c r="D5" s="1263"/>
      <c r="E5" s="1263"/>
      <c r="F5" s="1263"/>
      <c r="G5" s="1263"/>
      <c r="H5" s="1263"/>
      <c r="I5" s="1263"/>
      <c r="J5" s="1263"/>
      <c r="K5" s="1263"/>
      <c r="L5" s="1263"/>
      <c r="M5" s="1263"/>
    </row>
    <row r="6" spans="1:13" ht="12.75">
      <c r="A6" s="878" t="s">
        <v>357</v>
      </c>
      <c r="B6" s="879" t="s">
        <v>1021</v>
      </c>
      <c r="C6" s="879" t="s">
        <v>1022</v>
      </c>
      <c r="D6" s="879" t="s">
        <v>1023</v>
      </c>
      <c r="E6" s="879" t="s">
        <v>1024</v>
      </c>
      <c r="F6" s="879" t="s">
        <v>1025</v>
      </c>
      <c r="G6" s="879" t="s">
        <v>1026</v>
      </c>
      <c r="H6" s="879" t="s">
        <v>1027</v>
      </c>
      <c r="I6" s="879" t="s">
        <v>1028</v>
      </c>
      <c r="J6" s="879" t="s">
        <v>1029</v>
      </c>
      <c r="K6" s="879" t="s">
        <v>1030</v>
      </c>
      <c r="L6" s="879" t="s">
        <v>1031</v>
      </c>
      <c r="M6" s="879" t="s">
        <v>1032</v>
      </c>
    </row>
    <row r="7" spans="1:13" ht="12.75">
      <c r="A7" s="880" t="s">
        <v>768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</row>
    <row r="8" spans="1:13" ht="12.75">
      <c r="A8" s="882" t="s">
        <v>1033</v>
      </c>
      <c r="B8" s="883"/>
      <c r="C8" s="883"/>
      <c r="D8" s="883"/>
      <c r="E8" s="883"/>
      <c r="F8" s="883"/>
      <c r="G8" s="883"/>
      <c r="H8" s="883"/>
      <c r="I8" s="883"/>
      <c r="J8" s="883"/>
      <c r="K8" s="883"/>
      <c r="L8" s="883"/>
      <c r="M8" s="883"/>
    </row>
    <row r="9" spans="1:13" ht="12.75">
      <c r="A9" s="884" t="s">
        <v>1034</v>
      </c>
      <c r="B9" s="885">
        <v>14</v>
      </c>
      <c r="C9" s="885">
        <v>14</v>
      </c>
      <c r="D9" s="885">
        <v>14</v>
      </c>
      <c r="E9" s="885">
        <v>14</v>
      </c>
      <c r="F9" s="885">
        <v>14</v>
      </c>
      <c r="G9" s="885">
        <v>14</v>
      </c>
      <c r="H9" s="885">
        <v>14</v>
      </c>
      <c r="I9" s="885">
        <v>14</v>
      </c>
      <c r="J9" s="885">
        <v>13</v>
      </c>
      <c r="K9" s="885">
        <v>13</v>
      </c>
      <c r="L9" s="885">
        <v>13</v>
      </c>
      <c r="M9" s="885">
        <v>13</v>
      </c>
    </row>
    <row r="10" spans="1:13" ht="12.75">
      <c r="A10" s="884" t="s">
        <v>1035</v>
      </c>
      <c r="B10" s="885">
        <v>2</v>
      </c>
      <c r="C10" s="885">
        <v>2</v>
      </c>
      <c r="D10" s="885">
        <v>2</v>
      </c>
      <c r="E10" s="885">
        <v>2</v>
      </c>
      <c r="F10" s="885">
        <v>2</v>
      </c>
      <c r="G10" s="885">
        <v>2</v>
      </c>
      <c r="H10" s="885">
        <v>2</v>
      </c>
      <c r="I10" s="885">
        <v>2</v>
      </c>
      <c r="J10" s="885">
        <v>2</v>
      </c>
      <c r="K10" s="885">
        <v>2</v>
      </c>
      <c r="L10" s="885">
        <v>2</v>
      </c>
      <c r="M10" s="885">
        <v>2</v>
      </c>
    </row>
    <row r="11" spans="1:13" ht="12.75">
      <c r="A11" s="886" t="s">
        <v>1036</v>
      </c>
      <c r="B11" s="885">
        <v>8</v>
      </c>
      <c r="C11" s="885">
        <v>8</v>
      </c>
      <c r="D11" s="885">
        <v>8</v>
      </c>
      <c r="E11" s="885">
        <v>8</v>
      </c>
      <c r="F11" s="885">
        <v>8</v>
      </c>
      <c r="G11" s="885">
        <v>8</v>
      </c>
      <c r="H11" s="885">
        <v>8</v>
      </c>
      <c r="I11" s="885">
        <v>8</v>
      </c>
      <c r="J11" s="885">
        <v>7</v>
      </c>
      <c r="K11" s="885">
        <v>7</v>
      </c>
      <c r="L11" s="885">
        <v>7</v>
      </c>
      <c r="M11" s="885">
        <v>7</v>
      </c>
    </row>
    <row r="12" spans="1:13" ht="12.75">
      <c r="A12" s="884" t="s">
        <v>1037</v>
      </c>
      <c r="B12" s="885">
        <v>1</v>
      </c>
      <c r="C12" s="885">
        <v>1</v>
      </c>
      <c r="D12" s="885">
        <v>1</v>
      </c>
      <c r="E12" s="885">
        <v>1</v>
      </c>
      <c r="F12" s="885">
        <v>1</v>
      </c>
      <c r="G12" s="885">
        <v>1</v>
      </c>
      <c r="H12" s="885">
        <v>1</v>
      </c>
      <c r="I12" s="885">
        <v>1</v>
      </c>
      <c r="J12" s="885">
        <v>1</v>
      </c>
      <c r="K12" s="885">
        <v>1</v>
      </c>
      <c r="L12" s="885">
        <v>1</v>
      </c>
      <c r="M12" s="885">
        <v>1</v>
      </c>
    </row>
    <row r="13" spans="1:13" ht="12.75">
      <c r="A13" s="884" t="s">
        <v>1038</v>
      </c>
      <c r="B13" s="885">
        <v>1</v>
      </c>
      <c r="C13" s="885">
        <v>1</v>
      </c>
      <c r="D13" s="885">
        <v>1</v>
      </c>
      <c r="E13" s="885">
        <v>1</v>
      </c>
      <c r="F13" s="885">
        <v>1</v>
      </c>
      <c r="G13" s="885">
        <v>1</v>
      </c>
      <c r="H13" s="885">
        <v>1</v>
      </c>
      <c r="I13" s="885">
        <v>1</v>
      </c>
      <c r="J13" s="885">
        <v>1</v>
      </c>
      <c r="K13" s="885">
        <v>1</v>
      </c>
      <c r="L13" s="885">
        <v>1</v>
      </c>
      <c r="M13" s="885">
        <v>1</v>
      </c>
    </row>
    <row r="14" spans="1:13" ht="12.75">
      <c r="A14" s="882" t="s">
        <v>1039</v>
      </c>
      <c r="B14" s="883"/>
      <c r="C14" s="883"/>
      <c r="D14" s="883"/>
      <c r="E14" s="883"/>
      <c r="F14" s="883"/>
      <c r="G14" s="883"/>
      <c r="H14" s="883"/>
      <c r="I14" s="883"/>
      <c r="J14" s="883"/>
      <c r="K14" s="883"/>
      <c r="L14" s="883"/>
      <c r="M14" s="883"/>
    </row>
    <row r="15" spans="1:13" ht="12.75">
      <c r="A15" s="884" t="s">
        <v>1040</v>
      </c>
      <c r="B15" s="885">
        <v>1</v>
      </c>
      <c r="C15" s="885">
        <v>1</v>
      </c>
      <c r="D15" s="885">
        <v>1</v>
      </c>
      <c r="E15" s="885">
        <v>1</v>
      </c>
      <c r="F15" s="885">
        <v>1</v>
      </c>
      <c r="G15" s="885">
        <v>1</v>
      </c>
      <c r="H15" s="885">
        <v>1</v>
      </c>
      <c r="I15" s="885">
        <v>1</v>
      </c>
      <c r="J15" s="885">
        <v>1</v>
      </c>
      <c r="K15" s="885">
        <v>1</v>
      </c>
      <c r="L15" s="885">
        <v>1</v>
      </c>
      <c r="M15" s="885">
        <v>1</v>
      </c>
    </row>
    <row r="16" spans="1:13" ht="12.75">
      <c r="A16" s="884" t="s">
        <v>1041</v>
      </c>
      <c r="B16" s="885">
        <v>1</v>
      </c>
      <c r="C16" s="885">
        <v>1</v>
      </c>
      <c r="D16" s="885">
        <v>1</v>
      </c>
      <c r="E16" s="885">
        <v>1</v>
      </c>
      <c r="F16" s="885">
        <v>1</v>
      </c>
      <c r="G16" s="885">
        <v>1</v>
      </c>
      <c r="H16" s="885">
        <v>1</v>
      </c>
      <c r="I16" s="885">
        <v>1</v>
      </c>
      <c r="J16" s="885">
        <v>1</v>
      </c>
      <c r="K16" s="885">
        <v>1</v>
      </c>
      <c r="L16" s="885">
        <v>1</v>
      </c>
      <c r="M16" s="885">
        <v>1</v>
      </c>
    </row>
    <row r="17" spans="1:13" ht="12.75">
      <c r="A17" s="884" t="s">
        <v>1042</v>
      </c>
      <c r="B17" s="885">
        <v>1</v>
      </c>
      <c r="C17" s="885">
        <v>1</v>
      </c>
      <c r="D17" s="885">
        <v>1</v>
      </c>
      <c r="E17" s="885">
        <v>1</v>
      </c>
      <c r="F17" s="885">
        <v>1</v>
      </c>
      <c r="G17" s="885">
        <v>1</v>
      </c>
      <c r="H17" s="885">
        <v>1</v>
      </c>
      <c r="I17" s="885">
        <v>1</v>
      </c>
      <c r="J17" s="885">
        <v>1</v>
      </c>
      <c r="K17" s="885">
        <v>1</v>
      </c>
      <c r="L17" s="885">
        <v>1</v>
      </c>
      <c r="M17" s="885">
        <v>1</v>
      </c>
    </row>
    <row r="18" spans="1:13" ht="12.75">
      <c r="A18" s="882" t="s">
        <v>1043</v>
      </c>
      <c r="B18" s="883"/>
      <c r="C18" s="883"/>
      <c r="D18" s="883"/>
      <c r="E18" s="883"/>
      <c r="F18" s="883"/>
      <c r="G18" s="883"/>
      <c r="H18" s="883"/>
      <c r="I18" s="883"/>
      <c r="J18" s="883"/>
      <c r="K18" s="883"/>
      <c r="L18" s="883"/>
      <c r="M18" s="883"/>
    </row>
    <row r="19" spans="1:13" ht="12.75">
      <c r="A19" s="884" t="s">
        <v>1044</v>
      </c>
      <c r="B19" s="885">
        <v>1</v>
      </c>
      <c r="C19" s="885">
        <v>1</v>
      </c>
      <c r="D19" s="885">
        <v>1</v>
      </c>
      <c r="E19" s="885">
        <v>1</v>
      </c>
      <c r="F19" s="885">
        <v>1</v>
      </c>
      <c r="G19" s="885">
        <v>1</v>
      </c>
      <c r="H19" s="885">
        <v>1</v>
      </c>
      <c r="I19" s="885">
        <v>1</v>
      </c>
      <c r="J19" s="885">
        <v>1</v>
      </c>
      <c r="K19" s="885">
        <v>1</v>
      </c>
      <c r="L19" s="885">
        <v>1</v>
      </c>
      <c r="M19" s="885">
        <v>1</v>
      </c>
    </row>
    <row r="20" spans="1:13" ht="12.75">
      <c r="A20" s="884" t="s">
        <v>1045</v>
      </c>
      <c r="B20" s="885">
        <v>1</v>
      </c>
      <c r="C20" s="885">
        <v>1</v>
      </c>
      <c r="D20" s="885">
        <v>1</v>
      </c>
      <c r="E20" s="885">
        <v>1</v>
      </c>
      <c r="F20" s="885">
        <v>1</v>
      </c>
      <c r="G20" s="885">
        <v>1</v>
      </c>
      <c r="H20" s="885">
        <v>1</v>
      </c>
      <c r="I20" s="885">
        <v>1</v>
      </c>
      <c r="J20" s="885">
        <v>1</v>
      </c>
      <c r="K20" s="885">
        <v>1</v>
      </c>
      <c r="L20" s="885">
        <v>1</v>
      </c>
      <c r="M20" s="885">
        <v>1</v>
      </c>
    </row>
    <row r="21" spans="1:13" ht="12.75">
      <c r="A21" s="882" t="s">
        <v>1046</v>
      </c>
      <c r="B21" s="883"/>
      <c r="C21" s="883"/>
      <c r="D21" s="883"/>
      <c r="E21" s="883"/>
      <c r="F21" s="883"/>
      <c r="G21" s="883"/>
      <c r="H21" s="883"/>
      <c r="I21" s="883"/>
      <c r="J21" s="883"/>
      <c r="K21" s="883"/>
      <c r="L21" s="883"/>
      <c r="M21" s="883"/>
    </row>
    <row r="22" spans="1:13" ht="12.75">
      <c r="A22" s="884" t="s">
        <v>1047</v>
      </c>
      <c r="B22" s="885">
        <v>2</v>
      </c>
      <c r="C22" s="885">
        <v>2</v>
      </c>
      <c r="D22" s="885">
        <v>2</v>
      </c>
      <c r="E22" s="885">
        <v>2</v>
      </c>
      <c r="F22" s="885">
        <v>2</v>
      </c>
      <c r="G22" s="885">
        <v>2</v>
      </c>
      <c r="H22" s="885">
        <v>2</v>
      </c>
      <c r="I22" s="885">
        <v>2</v>
      </c>
      <c r="J22" s="967">
        <v>0</v>
      </c>
      <c r="K22" s="967">
        <v>0</v>
      </c>
      <c r="L22" s="967">
        <v>0</v>
      </c>
      <c r="M22" s="967">
        <v>0</v>
      </c>
    </row>
    <row r="23" spans="1:13" ht="12.75">
      <c r="A23" s="884" t="s">
        <v>1048</v>
      </c>
      <c r="B23" s="885">
        <v>1</v>
      </c>
      <c r="C23" s="885">
        <v>1</v>
      </c>
      <c r="D23" s="885">
        <v>1</v>
      </c>
      <c r="E23" s="885">
        <v>1</v>
      </c>
      <c r="F23" s="885">
        <v>1</v>
      </c>
      <c r="G23" s="885">
        <v>1</v>
      </c>
      <c r="H23" s="885">
        <v>1</v>
      </c>
      <c r="I23" s="885">
        <v>1</v>
      </c>
      <c r="J23" s="967">
        <v>0</v>
      </c>
      <c r="K23" s="967">
        <v>0</v>
      </c>
      <c r="L23" s="967">
        <v>0</v>
      </c>
      <c r="M23" s="967">
        <v>0</v>
      </c>
    </row>
    <row r="24" spans="1:13" ht="12.75">
      <c r="A24" s="882" t="s">
        <v>584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</row>
    <row r="25" spans="1:13" ht="12.75">
      <c r="A25" s="884" t="s">
        <v>1049</v>
      </c>
      <c r="B25" s="885">
        <v>1</v>
      </c>
      <c r="C25" s="885">
        <v>1</v>
      </c>
      <c r="D25" s="885">
        <v>1</v>
      </c>
      <c r="E25" s="885">
        <v>1</v>
      </c>
      <c r="F25" s="885">
        <v>1</v>
      </c>
      <c r="G25" s="885">
        <v>1</v>
      </c>
      <c r="H25" s="885">
        <v>1</v>
      </c>
      <c r="I25" s="885">
        <v>1</v>
      </c>
      <c r="J25" s="885">
        <v>1</v>
      </c>
      <c r="K25" s="885">
        <v>1</v>
      </c>
      <c r="L25" s="885">
        <v>1</v>
      </c>
      <c r="M25" s="885">
        <v>1</v>
      </c>
    </row>
    <row r="26" spans="1:13" ht="12.75">
      <c r="A26" s="884" t="s">
        <v>1050</v>
      </c>
      <c r="B26" s="885">
        <v>2</v>
      </c>
      <c r="C26" s="885">
        <v>2</v>
      </c>
      <c r="D26" s="885">
        <v>2</v>
      </c>
      <c r="E26" s="885">
        <v>2</v>
      </c>
      <c r="F26" s="885">
        <v>2</v>
      </c>
      <c r="G26" s="885">
        <v>2</v>
      </c>
      <c r="H26" s="885">
        <v>2</v>
      </c>
      <c r="I26" s="885">
        <v>2</v>
      </c>
      <c r="J26" s="885">
        <v>2</v>
      </c>
      <c r="K26" s="885">
        <v>2</v>
      </c>
      <c r="L26" s="885">
        <v>2</v>
      </c>
      <c r="M26" s="885">
        <v>2</v>
      </c>
    </row>
    <row r="27" spans="1:13" ht="25.5">
      <c r="A27" s="884" t="s">
        <v>1051</v>
      </c>
      <c r="B27" s="885">
        <v>0.5</v>
      </c>
      <c r="C27" s="885">
        <v>0.5</v>
      </c>
      <c r="D27" s="885">
        <v>0.5</v>
      </c>
      <c r="E27" s="885">
        <v>0.5</v>
      </c>
      <c r="F27" s="885">
        <v>0.5</v>
      </c>
      <c r="G27" s="885">
        <v>0.5</v>
      </c>
      <c r="H27" s="885">
        <v>0.5</v>
      </c>
      <c r="I27" s="885">
        <v>0.5</v>
      </c>
      <c r="J27" s="885">
        <v>0.5</v>
      </c>
      <c r="K27" s="885">
        <v>0.5</v>
      </c>
      <c r="L27" s="885">
        <v>0.5</v>
      </c>
      <c r="M27" s="885">
        <v>0.5</v>
      </c>
    </row>
    <row r="28" spans="1:13" ht="25.5">
      <c r="A28" s="884" t="s">
        <v>1052</v>
      </c>
      <c r="B28" s="885">
        <v>0.625</v>
      </c>
      <c r="C28" s="885">
        <v>0.625</v>
      </c>
      <c r="D28" s="885">
        <v>0.625</v>
      </c>
      <c r="E28" s="885">
        <v>0.625</v>
      </c>
      <c r="F28" s="885">
        <v>0.625</v>
      </c>
      <c r="G28" s="885">
        <v>0.625</v>
      </c>
      <c r="H28" s="885">
        <v>0.625</v>
      </c>
      <c r="I28" s="885">
        <v>0.625</v>
      </c>
      <c r="J28" s="885">
        <v>0.625</v>
      </c>
      <c r="K28" s="885">
        <v>0.625</v>
      </c>
      <c r="L28" s="885">
        <v>0.625</v>
      </c>
      <c r="M28" s="885">
        <v>0.625</v>
      </c>
    </row>
    <row r="29" spans="1:13" ht="12.75">
      <c r="A29" s="882" t="s">
        <v>706</v>
      </c>
      <c r="B29" s="883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</row>
    <row r="30" spans="1:13" ht="12.75">
      <c r="A30" s="884" t="s">
        <v>1053</v>
      </c>
      <c r="B30" s="885">
        <v>0.5</v>
      </c>
      <c r="C30" s="885">
        <v>0.5</v>
      </c>
      <c r="D30" s="885">
        <v>0.5</v>
      </c>
      <c r="E30" s="885">
        <v>0.5</v>
      </c>
      <c r="F30" s="885">
        <v>0.5</v>
      </c>
      <c r="G30" s="885">
        <v>0.5</v>
      </c>
      <c r="H30" s="885">
        <v>0.5</v>
      </c>
      <c r="I30" s="885">
        <v>0.5</v>
      </c>
      <c r="J30" s="885">
        <v>0.5</v>
      </c>
      <c r="K30" s="885">
        <v>0.5</v>
      </c>
      <c r="L30" s="885">
        <v>0.5</v>
      </c>
      <c r="M30" s="885">
        <v>0.5</v>
      </c>
    </row>
    <row r="31" spans="1:13" ht="12.75">
      <c r="A31" s="884" t="s">
        <v>1054</v>
      </c>
      <c r="B31" s="885">
        <v>3</v>
      </c>
      <c r="C31" s="885">
        <v>4</v>
      </c>
      <c r="D31" s="885">
        <v>4</v>
      </c>
      <c r="E31" s="885">
        <v>4</v>
      </c>
      <c r="F31" s="885">
        <v>4</v>
      </c>
      <c r="G31" s="885">
        <v>4</v>
      </c>
      <c r="H31" s="885">
        <v>4</v>
      </c>
      <c r="I31" s="885">
        <v>4</v>
      </c>
      <c r="J31" s="885">
        <v>4</v>
      </c>
      <c r="K31" s="885">
        <v>4</v>
      </c>
      <c r="L31" s="885">
        <v>4</v>
      </c>
      <c r="M31" s="885">
        <v>4</v>
      </c>
    </row>
    <row r="32" spans="1:13" ht="38.25">
      <c r="A32" s="884" t="s">
        <v>1197</v>
      </c>
      <c r="B32" s="885">
        <v>0</v>
      </c>
      <c r="C32" s="885">
        <v>0</v>
      </c>
      <c r="D32" s="885">
        <v>0</v>
      </c>
      <c r="E32" s="885">
        <v>0</v>
      </c>
      <c r="F32" s="885">
        <v>0</v>
      </c>
      <c r="G32" s="885">
        <v>0</v>
      </c>
      <c r="H32" s="885">
        <v>0</v>
      </c>
      <c r="I32" s="885">
        <v>0</v>
      </c>
      <c r="J32" s="885">
        <v>0</v>
      </c>
      <c r="K32" s="885">
        <v>2</v>
      </c>
      <c r="L32" s="885">
        <v>2</v>
      </c>
      <c r="M32" s="885">
        <v>2</v>
      </c>
    </row>
    <row r="33" spans="1:13" ht="25.5">
      <c r="A33" s="887" t="s">
        <v>1055</v>
      </c>
      <c r="B33" s="888"/>
      <c r="C33" s="888"/>
      <c r="D33" s="888"/>
      <c r="E33" s="888"/>
      <c r="F33" s="888"/>
      <c r="G33" s="888"/>
      <c r="H33" s="888"/>
      <c r="I33" s="888"/>
      <c r="J33" s="888"/>
      <c r="K33" s="888"/>
      <c r="L33" s="888"/>
      <c r="M33" s="888"/>
    </row>
    <row r="34" spans="1:13" ht="12.75">
      <c r="A34" s="884" t="s">
        <v>1056</v>
      </c>
      <c r="B34" s="885">
        <v>0</v>
      </c>
      <c r="C34" s="885">
        <v>3</v>
      </c>
      <c r="D34" s="885">
        <v>3</v>
      </c>
      <c r="E34" s="885">
        <v>3</v>
      </c>
      <c r="F34" s="885">
        <v>3</v>
      </c>
      <c r="G34" s="885">
        <v>3</v>
      </c>
      <c r="H34" s="885">
        <v>3</v>
      </c>
      <c r="I34" s="885">
        <v>3</v>
      </c>
      <c r="J34" s="885">
        <v>3</v>
      </c>
      <c r="K34" s="885">
        <v>3</v>
      </c>
      <c r="L34" s="885">
        <v>3</v>
      </c>
      <c r="M34" s="885">
        <v>3</v>
      </c>
    </row>
    <row r="35" spans="1:13" ht="12.75">
      <c r="A35" s="884" t="s">
        <v>1057</v>
      </c>
      <c r="B35" s="885">
        <v>0</v>
      </c>
      <c r="C35" s="885">
        <v>1</v>
      </c>
      <c r="D35" s="885">
        <v>1</v>
      </c>
      <c r="E35" s="885">
        <v>1</v>
      </c>
      <c r="F35" s="885">
        <v>1</v>
      </c>
      <c r="G35" s="885">
        <v>1</v>
      </c>
      <c r="H35" s="885">
        <v>0</v>
      </c>
      <c r="I35" s="885">
        <v>0</v>
      </c>
      <c r="J35" s="885">
        <v>1</v>
      </c>
      <c r="K35" s="885">
        <v>1</v>
      </c>
      <c r="L35" s="885">
        <v>1</v>
      </c>
      <c r="M35" s="885">
        <v>1</v>
      </c>
    </row>
    <row r="36" spans="1:13" ht="25.5">
      <c r="A36" s="887" t="s">
        <v>1058</v>
      </c>
      <c r="B36" s="888"/>
      <c r="C36" s="888"/>
      <c r="D36" s="888"/>
      <c r="E36" s="888"/>
      <c r="F36" s="888"/>
      <c r="G36" s="888"/>
      <c r="H36" s="888"/>
      <c r="I36" s="888"/>
      <c r="J36" s="888"/>
      <c r="K36" s="888"/>
      <c r="L36" s="888"/>
      <c r="M36" s="888"/>
    </row>
    <row r="37" spans="1:13" ht="12.75">
      <c r="A37" s="884" t="s">
        <v>1059</v>
      </c>
      <c r="B37" s="885">
        <v>1.5</v>
      </c>
      <c r="C37" s="885">
        <v>1.5</v>
      </c>
      <c r="D37" s="885">
        <v>1.5</v>
      </c>
      <c r="E37" s="885">
        <v>1.5</v>
      </c>
      <c r="F37" s="885">
        <v>1.5</v>
      </c>
      <c r="G37" s="885">
        <v>1.5</v>
      </c>
      <c r="H37" s="885">
        <v>1.5</v>
      </c>
      <c r="I37" s="885">
        <v>1.5</v>
      </c>
      <c r="J37" s="885">
        <v>1.5</v>
      </c>
      <c r="K37" s="885">
        <v>1.5</v>
      </c>
      <c r="L37" s="885">
        <v>1.5</v>
      </c>
      <c r="M37" s="885">
        <v>1.5</v>
      </c>
    </row>
    <row r="38" spans="1:13" ht="25.5">
      <c r="A38" s="889" t="s">
        <v>800</v>
      </c>
      <c r="B38" s="890">
        <f>SUM(B9:B37)</f>
        <v>43.125</v>
      </c>
      <c r="C38" s="890">
        <f aca="true" t="shared" si="0" ref="C38:M38">SUM(C9:C37)</f>
        <v>48.125</v>
      </c>
      <c r="D38" s="890">
        <f t="shared" si="0"/>
        <v>48.125</v>
      </c>
      <c r="E38" s="890">
        <f t="shared" si="0"/>
        <v>48.125</v>
      </c>
      <c r="F38" s="890">
        <f t="shared" si="0"/>
        <v>48.125</v>
      </c>
      <c r="G38" s="890">
        <f t="shared" si="0"/>
        <v>48.125</v>
      </c>
      <c r="H38" s="890">
        <f t="shared" si="0"/>
        <v>47.125</v>
      </c>
      <c r="I38" s="890">
        <f t="shared" si="0"/>
        <v>47.125</v>
      </c>
      <c r="J38" s="890">
        <f t="shared" si="0"/>
        <v>43.125</v>
      </c>
      <c r="K38" s="890">
        <f t="shared" si="0"/>
        <v>45.125</v>
      </c>
      <c r="L38" s="890">
        <f t="shared" si="0"/>
        <v>45.125</v>
      </c>
      <c r="M38" s="890">
        <f t="shared" si="0"/>
        <v>45.125</v>
      </c>
    </row>
    <row r="39" spans="1:13" ht="12.75">
      <c r="A39" s="891"/>
      <c r="B39" s="885"/>
      <c r="C39" s="885"/>
      <c r="D39" s="885"/>
      <c r="E39" s="885"/>
      <c r="F39" s="885"/>
      <c r="G39" s="885"/>
      <c r="H39" s="885"/>
      <c r="I39" s="885"/>
      <c r="J39" s="885"/>
      <c r="K39" s="885"/>
      <c r="L39" s="885"/>
      <c r="M39" s="885"/>
    </row>
    <row r="40" spans="1:13" ht="12.75">
      <c r="A40" s="880" t="s">
        <v>367</v>
      </c>
      <c r="B40" s="881"/>
      <c r="C40" s="881"/>
      <c r="D40" s="881"/>
      <c r="E40" s="881"/>
      <c r="F40" s="881"/>
      <c r="G40" s="881"/>
      <c r="H40" s="881"/>
      <c r="I40" s="881"/>
      <c r="J40" s="881"/>
      <c r="K40" s="881"/>
      <c r="L40" s="881"/>
      <c r="M40" s="881"/>
    </row>
    <row r="41" spans="1:13" ht="12.75">
      <c r="A41" s="884" t="s">
        <v>1060</v>
      </c>
      <c r="B41" s="885">
        <v>23</v>
      </c>
      <c r="C41" s="885">
        <v>23</v>
      </c>
      <c r="D41" s="885">
        <v>23</v>
      </c>
      <c r="E41" s="885">
        <v>23</v>
      </c>
      <c r="F41" s="885">
        <v>23</v>
      </c>
      <c r="G41" s="885">
        <v>23</v>
      </c>
      <c r="H41" s="885">
        <v>23</v>
      </c>
      <c r="I41" s="885">
        <v>23</v>
      </c>
      <c r="J41" s="885">
        <v>23</v>
      </c>
      <c r="K41" s="885">
        <v>23</v>
      </c>
      <c r="L41" s="885">
        <v>23</v>
      </c>
      <c r="M41" s="885">
        <v>23</v>
      </c>
    </row>
    <row r="42" spans="1:13" ht="12.75">
      <c r="A42" s="884" t="s">
        <v>1061</v>
      </c>
      <c r="B42" s="885">
        <v>1</v>
      </c>
      <c r="C42" s="885">
        <v>1</v>
      </c>
      <c r="D42" s="885">
        <v>1</v>
      </c>
      <c r="E42" s="885">
        <v>2</v>
      </c>
      <c r="F42" s="885">
        <v>2</v>
      </c>
      <c r="G42" s="885">
        <v>2</v>
      </c>
      <c r="H42" s="885">
        <v>2</v>
      </c>
      <c r="I42" s="885">
        <v>2</v>
      </c>
      <c r="J42" s="885">
        <v>2</v>
      </c>
      <c r="K42" s="885">
        <v>2</v>
      </c>
      <c r="L42" s="885">
        <v>2</v>
      </c>
      <c r="M42" s="885">
        <v>2</v>
      </c>
    </row>
    <row r="43" spans="1:13" ht="12.75">
      <c r="A43" s="880" t="s">
        <v>492</v>
      </c>
      <c r="B43" s="890">
        <f>SUM(B41:B42)</f>
        <v>24</v>
      </c>
      <c r="C43" s="890">
        <f aca="true" t="shared" si="1" ref="C43:M43">SUM(C41:C42)</f>
        <v>24</v>
      </c>
      <c r="D43" s="890">
        <f t="shared" si="1"/>
        <v>24</v>
      </c>
      <c r="E43" s="890">
        <f t="shared" si="1"/>
        <v>25</v>
      </c>
      <c r="F43" s="890">
        <f t="shared" si="1"/>
        <v>25</v>
      </c>
      <c r="G43" s="890">
        <f t="shared" si="1"/>
        <v>25</v>
      </c>
      <c r="H43" s="890">
        <f t="shared" si="1"/>
        <v>25</v>
      </c>
      <c r="I43" s="890">
        <f t="shared" si="1"/>
        <v>25</v>
      </c>
      <c r="J43" s="890">
        <f t="shared" si="1"/>
        <v>25</v>
      </c>
      <c r="K43" s="890">
        <f t="shared" si="1"/>
        <v>25</v>
      </c>
      <c r="L43" s="890">
        <f t="shared" si="1"/>
        <v>25</v>
      </c>
      <c r="M43" s="890">
        <f t="shared" si="1"/>
        <v>25</v>
      </c>
    </row>
    <row r="44" spans="1:13" ht="12.75">
      <c r="A44" s="892"/>
      <c r="B44" s="893"/>
      <c r="C44" s="893"/>
      <c r="D44" s="893"/>
      <c r="E44" s="893"/>
      <c r="F44" s="893"/>
      <c r="G44" s="893"/>
      <c r="H44" s="893"/>
      <c r="I44" s="893"/>
      <c r="J44" s="893"/>
      <c r="K44" s="893"/>
      <c r="L44" s="893"/>
      <c r="M44" s="893"/>
    </row>
    <row r="45" spans="1:13" ht="12.75">
      <c r="A45" s="880" t="s">
        <v>435</v>
      </c>
      <c r="B45" s="881"/>
      <c r="C45" s="881"/>
      <c r="D45" s="881"/>
      <c r="E45" s="881"/>
      <c r="F45" s="881"/>
      <c r="G45" s="881"/>
      <c r="H45" s="881"/>
      <c r="I45" s="881"/>
      <c r="J45" s="881"/>
      <c r="K45" s="881"/>
      <c r="L45" s="881"/>
      <c r="M45" s="881"/>
    </row>
    <row r="46" spans="1:13" ht="12.75">
      <c r="A46" s="887" t="s">
        <v>1062</v>
      </c>
      <c r="B46" s="888"/>
      <c r="C46" s="888"/>
      <c r="D46" s="888"/>
      <c r="E46" s="888"/>
      <c r="F46" s="888"/>
      <c r="G46" s="888"/>
      <c r="H46" s="888"/>
      <c r="I46" s="888"/>
      <c r="J46" s="888"/>
      <c r="K46" s="888"/>
      <c r="L46" s="888"/>
      <c r="M46" s="888"/>
    </row>
    <row r="47" spans="1:13" ht="12.75">
      <c r="A47" s="884" t="s">
        <v>1063</v>
      </c>
      <c r="B47" s="885">
        <v>1</v>
      </c>
      <c r="C47" s="885">
        <v>1</v>
      </c>
      <c r="D47" s="885">
        <v>1</v>
      </c>
      <c r="E47" s="885">
        <v>1</v>
      </c>
      <c r="F47" s="885">
        <v>1</v>
      </c>
      <c r="G47" s="885">
        <v>1</v>
      </c>
      <c r="H47" s="885">
        <v>1</v>
      </c>
      <c r="I47" s="885">
        <v>1</v>
      </c>
      <c r="J47" s="885">
        <v>1</v>
      </c>
      <c r="K47" s="885">
        <v>1</v>
      </c>
      <c r="L47" s="885">
        <v>1</v>
      </c>
      <c r="M47" s="885">
        <v>1</v>
      </c>
    </row>
    <row r="48" spans="1:13" ht="12.75">
      <c r="A48" s="894" t="s">
        <v>1064</v>
      </c>
      <c r="B48" s="885">
        <v>1</v>
      </c>
      <c r="C48" s="885">
        <v>1</v>
      </c>
      <c r="D48" s="885">
        <v>1</v>
      </c>
      <c r="E48" s="885">
        <v>1</v>
      </c>
      <c r="F48" s="885">
        <v>1</v>
      </c>
      <c r="G48" s="885">
        <v>1</v>
      </c>
      <c r="H48" s="885">
        <v>1</v>
      </c>
      <c r="I48" s="885">
        <v>1</v>
      </c>
      <c r="J48" s="885">
        <v>1</v>
      </c>
      <c r="K48" s="885">
        <v>1</v>
      </c>
      <c r="L48" s="885">
        <v>1</v>
      </c>
      <c r="M48" s="885">
        <v>1</v>
      </c>
    </row>
    <row r="49" spans="1:13" ht="12.75">
      <c r="A49" s="887" t="s">
        <v>1065</v>
      </c>
      <c r="B49" s="888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</row>
    <row r="50" spans="1:13" ht="12.75">
      <c r="A50" s="894" t="s">
        <v>1066</v>
      </c>
      <c r="B50" s="885">
        <v>12</v>
      </c>
      <c r="C50" s="885">
        <v>12</v>
      </c>
      <c r="D50" s="885">
        <v>12</v>
      </c>
      <c r="E50" s="885">
        <v>12</v>
      </c>
      <c r="F50" s="885">
        <v>12</v>
      </c>
      <c r="G50" s="885">
        <v>12</v>
      </c>
      <c r="H50" s="885">
        <v>12</v>
      </c>
      <c r="I50" s="885">
        <v>12</v>
      </c>
      <c r="J50" s="885">
        <v>12</v>
      </c>
      <c r="K50" s="885">
        <v>12</v>
      </c>
      <c r="L50" s="885">
        <v>12</v>
      </c>
      <c r="M50" s="885">
        <v>12</v>
      </c>
    </row>
    <row r="51" spans="1:13" ht="12.75">
      <c r="A51" s="887" t="s">
        <v>1067</v>
      </c>
      <c r="B51" s="888"/>
      <c r="C51" s="888"/>
      <c r="D51" s="888"/>
      <c r="E51" s="888"/>
      <c r="F51" s="888"/>
      <c r="G51" s="888"/>
      <c r="H51" s="888"/>
      <c r="I51" s="888"/>
      <c r="J51" s="888"/>
      <c r="K51" s="888"/>
      <c r="L51" s="888"/>
      <c r="M51" s="888"/>
    </row>
    <row r="52" spans="1:13" ht="25.5">
      <c r="A52" s="884" t="s">
        <v>1068</v>
      </c>
      <c r="B52" s="885">
        <v>1</v>
      </c>
      <c r="C52" s="885">
        <v>1</v>
      </c>
      <c r="D52" s="885">
        <v>1</v>
      </c>
      <c r="E52" s="885">
        <v>1</v>
      </c>
      <c r="F52" s="885">
        <v>1</v>
      </c>
      <c r="G52" s="885">
        <v>1</v>
      </c>
      <c r="H52" s="885">
        <v>1</v>
      </c>
      <c r="I52" s="885">
        <v>1</v>
      </c>
      <c r="J52" s="885">
        <v>1</v>
      </c>
      <c r="K52" s="885">
        <v>1</v>
      </c>
      <c r="L52" s="885">
        <v>1</v>
      </c>
      <c r="M52" s="885">
        <v>1</v>
      </c>
    </row>
    <row r="53" spans="1:13" ht="12.75">
      <c r="A53" s="887" t="s">
        <v>1069</v>
      </c>
      <c r="B53" s="888"/>
      <c r="C53" s="888"/>
      <c r="D53" s="888"/>
      <c r="E53" s="888"/>
      <c r="F53" s="888"/>
      <c r="G53" s="888"/>
      <c r="H53" s="888"/>
      <c r="I53" s="888"/>
      <c r="J53" s="888"/>
      <c r="K53" s="888"/>
      <c r="L53" s="888"/>
      <c r="M53" s="888"/>
    </row>
    <row r="54" spans="1:13" ht="25.5">
      <c r="A54" s="884" t="s">
        <v>1070</v>
      </c>
      <c r="B54" s="885">
        <v>1</v>
      </c>
      <c r="C54" s="885">
        <v>1</v>
      </c>
      <c r="D54" s="885">
        <v>1</v>
      </c>
      <c r="E54" s="885">
        <v>1</v>
      </c>
      <c r="F54" s="885">
        <v>1</v>
      </c>
      <c r="G54" s="885">
        <v>1</v>
      </c>
      <c r="H54" s="885">
        <v>1</v>
      </c>
      <c r="I54" s="885">
        <v>1</v>
      </c>
      <c r="J54" s="885">
        <v>1</v>
      </c>
      <c r="K54" s="885">
        <v>1</v>
      </c>
      <c r="L54" s="885">
        <v>1</v>
      </c>
      <c r="M54" s="885">
        <v>1</v>
      </c>
    </row>
    <row r="55" spans="1:13" ht="12.75">
      <c r="A55" s="887" t="s">
        <v>1071</v>
      </c>
      <c r="B55" s="888"/>
      <c r="C55" s="888"/>
      <c r="D55" s="888"/>
      <c r="E55" s="888"/>
      <c r="F55" s="888"/>
      <c r="G55" s="888"/>
      <c r="H55" s="888"/>
      <c r="I55" s="888"/>
      <c r="J55" s="888"/>
      <c r="K55" s="888"/>
      <c r="L55" s="888"/>
      <c r="M55" s="888"/>
    </row>
    <row r="56" spans="1:13" ht="12.75">
      <c r="A56" s="884" t="s">
        <v>1072</v>
      </c>
      <c r="B56" s="885">
        <v>1</v>
      </c>
      <c r="C56" s="885">
        <v>1</v>
      </c>
      <c r="D56" s="885">
        <v>1</v>
      </c>
      <c r="E56" s="885">
        <v>1</v>
      </c>
      <c r="F56" s="885">
        <v>1</v>
      </c>
      <c r="G56" s="885">
        <v>1</v>
      </c>
      <c r="H56" s="885">
        <v>1</v>
      </c>
      <c r="I56" s="885">
        <v>1</v>
      </c>
      <c r="J56" s="885">
        <v>1</v>
      </c>
      <c r="K56" s="885">
        <v>1</v>
      </c>
      <c r="L56" s="885">
        <v>1</v>
      </c>
      <c r="M56" s="885">
        <v>1</v>
      </c>
    </row>
    <row r="57" spans="1:13" ht="12.75">
      <c r="A57" s="884" t="s">
        <v>1073</v>
      </c>
      <c r="B57" s="885">
        <v>1</v>
      </c>
      <c r="C57" s="885">
        <v>1</v>
      </c>
      <c r="D57" s="885">
        <v>1</v>
      </c>
      <c r="E57" s="885">
        <v>1</v>
      </c>
      <c r="F57" s="885">
        <v>1</v>
      </c>
      <c r="G57" s="885">
        <v>1</v>
      </c>
      <c r="H57" s="885">
        <v>1</v>
      </c>
      <c r="I57" s="885">
        <v>1</v>
      </c>
      <c r="J57" s="885">
        <v>1</v>
      </c>
      <c r="K57" s="885">
        <v>1</v>
      </c>
      <c r="L57" s="885">
        <v>1</v>
      </c>
      <c r="M57" s="885">
        <v>1</v>
      </c>
    </row>
    <row r="58" spans="1:13" ht="12.75">
      <c r="A58" s="887" t="s">
        <v>1074</v>
      </c>
      <c r="B58" s="888"/>
      <c r="C58" s="888"/>
      <c r="D58" s="888"/>
      <c r="E58" s="888"/>
      <c r="F58" s="888"/>
      <c r="G58" s="888"/>
      <c r="H58" s="888"/>
      <c r="I58" s="888"/>
      <c r="J58" s="888"/>
      <c r="K58" s="888"/>
      <c r="L58" s="888"/>
      <c r="M58" s="888"/>
    </row>
    <row r="59" spans="1:13" ht="12.75">
      <c r="A59" s="895" t="s">
        <v>1075</v>
      </c>
      <c r="B59" s="885">
        <v>1</v>
      </c>
      <c r="C59" s="885">
        <v>1</v>
      </c>
      <c r="D59" s="885">
        <v>1</v>
      </c>
      <c r="E59" s="885">
        <v>1</v>
      </c>
      <c r="F59" s="885">
        <v>1</v>
      </c>
      <c r="G59" s="885">
        <v>1</v>
      </c>
      <c r="H59" s="885">
        <v>1</v>
      </c>
      <c r="I59" s="885">
        <v>1</v>
      </c>
      <c r="J59" s="885">
        <v>1</v>
      </c>
      <c r="K59" s="885">
        <v>1</v>
      </c>
      <c r="L59" s="885">
        <v>1</v>
      </c>
      <c r="M59" s="885">
        <v>1</v>
      </c>
    </row>
    <row r="60" spans="1:13" ht="12.75">
      <c r="A60" s="887" t="s">
        <v>1076</v>
      </c>
      <c r="B60" s="888"/>
      <c r="C60" s="888"/>
      <c r="D60" s="888"/>
      <c r="E60" s="888"/>
      <c r="F60" s="888"/>
      <c r="G60" s="888"/>
      <c r="H60" s="888"/>
      <c r="I60" s="888"/>
      <c r="J60" s="888"/>
      <c r="K60" s="888"/>
      <c r="L60" s="888"/>
      <c r="M60" s="888"/>
    </row>
    <row r="61" spans="1:13" ht="12.75">
      <c r="A61" s="895" t="s">
        <v>1077</v>
      </c>
      <c r="B61" s="896">
        <v>5</v>
      </c>
      <c r="C61" s="896">
        <v>5</v>
      </c>
      <c r="D61" s="896">
        <v>5</v>
      </c>
      <c r="E61" s="896">
        <v>5</v>
      </c>
      <c r="F61" s="896">
        <v>5</v>
      </c>
      <c r="G61" s="896">
        <v>5</v>
      </c>
      <c r="H61" s="885">
        <v>5</v>
      </c>
      <c r="I61" s="885">
        <v>5</v>
      </c>
      <c r="J61" s="885">
        <v>5</v>
      </c>
      <c r="K61" s="885">
        <v>5</v>
      </c>
      <c r="L61" s="885">
        <v>5</v>
      </c>
      <c r="M61" s="885">
        <v>5</v>
      </c>
    </row>
    <row r="62" spans="1:13" ht="38.25">
      <c r="A62" s="887" t="s">
        <v>1078</v>
      </c>
      <c r="B62" s="888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</row>
    <row r="63" spans="1:13" ht="12.75">
      <c r="A63" s="895" t="s">
        <v>1079</v>
      </c>
      <c r="B63" s="896">
        <v>0.5</v>
      </c>
      <c r="C63" s="896">
        <v>0.5</v>
      </c>
      <c r="D63" s="896">
        <v>0.5</v>
      </c>
      <c r="E63" s="896">
        <v>0.5</v>
      </c>
      <c r="F63" s="896">
        <v>0.5</v>
      </c>
      <c r="G63" s="896">
        <v>0.5</v>
      </c>
      <c r="H63" s="885">
        <v>0.5</v>
      </c>
      <c r="I63" s="885">
        <v>0.5</v>
      </c>
      <c r="J63" s="885">
        <v>0.5</v>
      </c>
      <c r="K63" s="885">
        <v>0.5</v>
      </c>
      <c r="L63" s="885">
        <v>0.5</v>
      </c>
      <c r="M63" s="885">
        <v>0.5</v>
      </c>
    </row>
    <row r="64" spans="1:13" ht="12.75">
      <c r="A64" s="895" t="s">
        <v>1080</v>
      </c>
      <c r="B64" s="896">
        <v>0.5</v>
      </c>
      <c r="C64" s="896">
        <v>0.5</v>
      </c>
      <c r="D64" s="896">
        <v>0.5</v>
      </c>
      <c r="E64" s="896">
        <v>0.5</v>
      </c>
      <c r="F64" s="896">
        <v>0.5</v>
      </c>
      <c r="G64" s="896">
        <v>0.5</v>
      </c>
      <c r="H64" s="885">
        <v>0.5</v>
      </c>
      <c r="I64" s="885">
        <v>0.5</v>
      </c>
      <c r="J64" s="885">
        <v>0.5</v>
      </c>
      <c r="K64" s="885">
        <v>0.5</v>
      </c>
      <c r="L64" s="885">
        <v>0.5</v>
      </c>
      <c r="M64" s="885">
        <v>0.5</v>
      </c>
    </row>
    <row r="65" spans="1:13" ht="12.75">
      <c r="A65" s="884" t="s">
        <v>1049</v>
      </c>
      <c r="B65" s="896">
        <v>1</v>
      </c>
      <c r="C65" s="896">
        <v>1</v>
      </c>
      <c r="D65" s="896">
        <v>1</v>
      </c>
      <c r="E65" s="896">
        <v>1</v>
      </c>
      <c r="F65" s="896">
        <v>1</v>
      </c>
      <c r="G65" s="896">
        <v>1</v>
      </c>
      <c r="H65" s="896">
        <v>1</v>
      </c>
      <c r="I65" s="896">
        <v>1</v>
      </c>
      <c r="J65" s="896">
        <v>1</v>
      </c>
      <c r="K65" s="896">
        <v>1</v>
      </c>
      <c r="L65" s="896">
        <v>1</v>
      </c>
      <c r="M65" s="896">
        <v>1</v>
      </c>
    </row>
    <row r="66" spans="1:13" ht="12.75">
      <c r="A66" s="884" t="s">
        <v>1081</v>
      </c>
      <c r="B66" s="896">
        <v>1</v>
      </c>
      <c r="C66" s="896">
        <v>2</v>
      </c>
      <c r="D66" s="896">
        <v>2</v>
      </c>
      <c r="E66" s="896">
        <v>2</v>
      </c>
      <c r="F66" s="896">
        <v>2</v>
      </c>
      <c r="G66" s="896">
        <v>2</v>
      </c>
      <c r="H66" s="896">
        <v>2</v>
      </c>
      <c r="I66" s="896">
        <v>2</v>
      </c>
      <c r="J66" s="896">
        <v>2</v>
      </c>
      <c r="K66" s="896">
        <v>2</v>
      </c>
      <c r="L66" s="896">
        <v>2</v>
      </c>
      <c r="M66" s="896">
        <v>2</v>
      </c>
    </row>
    <row r="67" spans="1:13" ht="12.75">
      <c r="A67" s="884" t="s">
        <v>1082</v>
      </c>
      <c r="B67" s="896">
        <v>1</v>
      </c>
      <c r="C67" s="896">
        <v>1</v>
      </c>
      <c r="D67" s="896">
        <v>1</v>
      </c>
      <c r="E67" s="896">
        <v>1</v>
      </c>
      <c r="F67" s="896">
        <v>1</v>
      </c>
      <c r="G67" s="896">
        <v>1</v>
      </c>
      <c r="H67" s="896">
        <v>1</v>
      </c>
      <c r="I67" s="896">
        <v>1</v>
      </c>
      <c r="J67" s="896">
        <v>1</v>
      </c>
      <c r="K67" s="896">
        <v>1</v>
      </c>
      <c r="L67" s="896">
        <v>1</v>
      </c>
      <c r="M67" s="896">
        <v>1</v>
      </c>
    </row>
    <row r="68" spans="1:13" ht="12.75">
      <c r="A68" s="884" t="s">
        <v>1083</v>
      </c>
      <c r="B68" s="896">
        <v>0.5</v>
      </c>
      <c r="C68" s="896">
        <v>0.5</v>
      </c>
      <c r="D68" s="896">
        <v>0.5</v>
      </c>
      <c r="E68" s="896">
        <v>0.5</v>
      </c>
      <c r="F68" s="896">
        <v>0.5</v>
      </c>
      <c r="G68" s="896">
        <v>0.5</v>
      </c>
      <c r="H68" s="896">
        <v>0.5</v>
      </c>
      <c r="I68" s="896">
        <v>0.5</v>
      </c>
      <c r="J68" s="896">
        <v>0.5</v>
      </c>
      <c r="K68" s="896">
        <v>0.5</v>
      </c>
      <c r="L68" s="896">
        <v>0.5</v>
      </c>
      <c r="M68" s="896">
        <v>0.5</v>
      </c>
    </row>
    <row r="69" spans="1:13" ht="12.75">
      <c r="A69" s="895" t="s">
        <v>1084</v>
      </c>
      <c r="B69" s="896">
        <v>0</v>
      </c>
      <c r="C69" s="896">
        <v>1</v>
      </c>
      <c r="D69" s="896">
        <v>1</v>
      </c>
      <c r="E69" s="896">
        <v>1</v>
      </c>
      <c r="F69" s="896">
        <v>1</v>
      </c>
      <c r="G69" s="896">
        <v>1</v>
      </c>
      <c r="H69" s="896">
        <v>1</v>
      </c>
      <c r="I69" s="896">
        <v>1</v>
      </c>
      <c r="J69" s="896">
        <v>1</v>
      </c>
      <c r="K69" s="896">
        <v>1</v>
      </c>
      <c r="L69" s="896">
        <v>1</v>
      </c>
      <c r="M69" s="896">
        <v>1</v>
      </c>
    </row>
    <row r="70" spans="1:13" ht="25.5">
      <c r="A70" s="887" t="s">
        <v>1085</v>
      </c>
      <c r="B70" s="888"/>
      <c r="C70" s="888"/>
      <c r="D70" s="888"/>
      <c r="E70" s="888"/>
      <c r="F70" s="888"/>
      <c r="G70" s="888"/>
      <c r="H70" s="888"/>
      <c r="I70" s="888"/>
      <c r="J70" s="888"/>
      <c r="K70" s="888"/>
      <c r="L70" s="888"/>
      <c r="M70" s="888"/>
    </row>
    <row r="71" spans="1:13" ht="12.75">
      <c r="A71" s="895" t="s">
        <v>1086</v>
      </c>
      <c r="B71" s="896">
        <v>0</v>
      </c>
      <c r="C71" s="896">
        <v>0</v>
      </c>
      <c r="D71" s="896">
        <v>0</v>
      </c>
      <c r="E71" s="896">
        <v>2</v>
      </c>
      <c r="F71" s="896">
        <v>2</v>
      </c>
      <c r="G71" s="896">
        <v>2</v>
      </c>
      <c r="H71" s="896">
        <v>2</v>
      </c>
      <c r="I71" s="896">
        <v>2</v>
      </c>
      <c r="J71" s="896">
        <v>2</v>
      </c>
      <c r="K71" s="896">
        <v>2</v>
      </c>
      <c r="L71" s="896">
        <v>2</v>
      </c>
      <c r="M71" s="896">
        <v>2</v>
      </c>
    </row>
    <row r="72" spans="1:13" ht="12.75">
      <c r="A72" s="895" t="s">
        <v>1087</v>
      </c>
      <c r="B72" s="896">
        <v>0</v>
      </c>
      <c r="C72" s="896">
        <v>0</v>
      </c>
      <c r="D72" s="896">
        <v>0</v>
      </c>
      <c r="E72" s="896">
        <v>1</v>
      </c>
      <c r="F72" s="896">
        <v>1</v>
      </c>
      <c r="G72" s="896">
        <v>1</v>
      </c>
      <c r="H72" s="896">
        <v>1</v>
      </c>
      <c r="I72" s="896">
        <v>1</v>
      </c>
      <c r="J72" s="896">
        <v>1</v>
      </c>
      <c r="K72" s="896">
        <v>1</v>
      </c>
      <c r="L72" s="896">
        <v>1</v>
      </c>
      <c r="M72" s="896">
        <v>1</v>
      </c>
    </row>
    <row r="73" spans="1:13" ht="12.75">
      <c r="A73" s="895" t="s">
        <v>1088</v>
      </c>
      <c r="B73" s="896">
        <v>0</v>
      </c>
      <c r="C73" s="896">
        <v>0</v>
      </c>
      <c r="D73" s="896">
        <v>0</v>
      </c>
      <c r="E73" s="896">
        <v>1</v>
      </c>
      <c r="F73" s="896">
        <v>1</v>
      </c>
      <c r="G73" s="896">
        <v>1</v>
      </c>
      <c r="H73" s="896">
        <v>1</v>
      </c>
      <c r="I73" s="896">
        <v>1</v>
      </c>
      <c r="J73" s="896">
        <v>1</v>
      </c>
      <c r="K73" s="896">
        <v>1</v>
      </c>
      <c r="L73" s="896">
        <v>1</v>
      </c>
      <c r="M73" s="896">
        <v>1</v>
      </c>
    </row>
    <row r="74" spans="1:13" ht="12.75">
      <c r="A74" s="895" t="s">
        <v>1089</v>
      </c>
      <c r="B74" s="896">
        <v>0</v>
      </c>
      <c r="C74" s="896">
        <v>0</v>
      </c>
      <c r="D74" s="896">
        <v>0</v>
      </c>
      <c r="E74" s="896">
        <v>1</v>
      </c>
      <c r="F74" s="896">
        <v>1</v>
      </c>
      <c r="G74" s="896">
        <v>1</v>
      </c>
      <c r="H74" s="896">
        <v>1</v>
      </c>
      <c r="I74" s="896">
        <v>1</v>
      </c>
      <c r="J74" s="896">
        <v>1</v>
      </c>
      <c r="K74" s="896">
        <v>1</v>
      </c>
      <c r="L74" s="896">
        <v>1</v>
      </c>
      <c r="M74" s="896">
        <v>1</v>
      </c>
    </row>
    <row r="75" spans="1:13" ht="25.5">
      <c r="A75" s="887" t="s">
        <v>1090</v>
      </c>
      <c r="B75" s="888"/>
      <c r="C75" s="888"/>
      <c r="D75" s="888"/>
      <c r="E75" s="888"/>
      <c r="F75" s="888"/>
      <c r="G75" s="888"/>
      <c r="H75" s="888"/>
      <c r="I75" s="888"/>
      <c r="J75" s="888"/>
      <c r="K75" s="888"/>
      <c r="L75" s="888"/>
      <c r="M75" s="888"/>
    </row>
    <row r="76" spans="1:13" ht="12.75">
      <c r="A76" s="895" t="s">
        <v>1091</v>
      </c>
      <c r="B76" s="896">
        <v>0</v>
      </c>
      <c r="C76" s="896">
        <v>0</v>
      </c>
      <c r="D76" s="896">
        <v>1</v>
      </c>
      <c r="E76" s="896">
        <v>1</v>
      </c>
      <c r="F76" s="896">
        <v>1</v>
      </c>
      <c r="G76" s="896">
        <v>1</v>
      </c>
      <c r="H76" s="896">
        <v>1</v>
      </c>
      <c r="I76" s="896">
        <v>1</v>
      </c>
      <c r="J76" s="896">
        <v>1</v>
      </c>
      <c r="K76" s="896">
        <v>1</v>
      </c>
      <c r="L76" s="896">
        <v>1</v>
      </c>
      <c r="M76" s="896">
        <v>1</v>
      </c>
    </row>
    <row r="77" spans="1:13" ht="25.5">
      <c r="A77" s="887" t="s">
        <v>1196</v>
      </c>
      <c r="B77" s="888"/>
      <c r="C77" s="888"/>
      <c r="D77" s="888"/>
      <c r="E77" s="888"/>
      <c r="F77" s="888"/>
      <c r="G77" s="888"/>
      <c r="H77" s="888"/>
      <c r="I77" s="888"/>
      <c r="J77" s="888"/>
      <c r="K77" s="888"/>
      <c r="L77" s="888"/>
      <c r="M77" s="888"/>
    </row>
    <row r="78" spans="1:13" s="968" customFormat="1" ht="12.75">
      <c r="A78" s="895" t="s">
        <v>1206</v>
      </c>
      <c r="B78" s="896">
        <v>0</v>
      </c>
      <c r="C78" s="896">
        <v>0</v>
      </c>
      <c r="D78" s="896">
        <v>0</v>
      </c>
      <c r="E78" s="896">
        <v>0</v>
      </c>
      <c r="F78" s="896">
        <v>0</v>
      </c>
      <c r="G78" s="896">
        <v>0</v>
      </c>
      <c r="H78" s="896">
        <v>0</v>
      </c>
      <c r="I78" s="896">
        <v>0</v>
      </c>
      <c r="J78" s="896">
        <v>1</v>
      </c>
      <c r="K78" s="896">
        <v>1</v>
      </c>
      <c r="L78" s="896">
        <v>1</v>
      </c>
      <c r="M78" s="896">
        <v>1</v>
      </c>
    </row>
    <row r="79" spans="1:13" ht="25.5">
      <c r="A79" s="887" t="s">
        <v>1055</v>
      </c>
      <c r="B79" s="888"/>
      <c r="C79" s="888"/>
      <c r="D79" s="888"/>
      <c r="E79" s="888"/>
      <c r="F79" s="888"/>
      <c r="G79" s="888"/>
      <c r="H79" s="888"/>
      <c r="I79" s="888"/>
      <c r="J79" s="888"/>
      <c r="K79" s="888"/>
      <c r="L79" s="888"/>
      <c r="M79" s="888"/>
    </row>
    <row r="80" spans="1:13" s="968" customFormat="1" ht="12.75">
      <c r="A80" s="895" t="s">
        <v>1207</v>
      </c>
      <c r="B80" s="896">
        <v>0</v>
      </c>
      <c r="C80" s="896">
        <v>0</v>
      </c>
      <c r="D80" s="896">
        <v>0</v>
      </c>
      <c r="E80" s="896">
        <v>0</v>
      </c>
      <c r="F80" s="896">
        <v>0</v>
      </c>
      <c r="G80" s="896">
        <v>0</v>
      </c>
      <c r="H80" s="896">
        <v>0</v>
      </c>
      <c r="I80" s="896">
        <v>0</v>
      </c>
      <c r="J80" s="896">
        <v>0</v>
      </c>
      <c r="K80" s="896">
        <v>2</v>
      </c>
      <c r="L80" s="896">
        <v>2</v>
      </c>
      <c r="M80" s="896">
        <v>2</v>
      </c>
    </row>
    <row r="81" spans="1:13" s="968" customFormat="1" ht="12.75">
      <c r="A81" s="895" t="s">
        <v>1208</v>
      </c>
      <c r="B81" s="896">
        <v>0</v>
      </c>
      <c r="C81" s="896">
        <v>0</v>
      </c>
      <c r="D81" s="896">
        <v>0</v>
      </c>
      <c r="E81" s="896">
        <v>0</v>
      </c>
      <c r="F81" s="896">
        <v>0</v>
      </c>
      <c r="G81" s="896">
        <v>0</v>
      </c>
      <c r="H81" s="896">
        <v>0</v>
      </c>
      <c r="I81" s="896">
        <v>0</v>
      </c>
      <c r="J81" s="896">
        <v>0</v>
      </c>
      <c r="K81" s="896">
        <v>4</v>
      </c>
      <c r="L81" s="896">
        <v>4</v>
      </c>
      <c r="M81" s="896">
        <v>4</v>
      </c>
    </row>
    <row r="82" spans="1:13" ht="12.75">
      <c r="A82" s="880" t="s">
        <v>380</v>
      </c>
      <c r="B82" s="890">
        <f>SUM(B47:B76)</f>
        <v>28.5</v>
      </c>
      <c r="C82" s="890">
        <f aca="true" t="shared" si="2" ref="C82:M82">SUM(C47:C76)</f>
        <v>30.5</v>
      </c>
      <c r="D82" s="890">
        <f t="shared" si="2"/>
        <v>31.5</v>
      </c>
      <c r="E82" s="890">
        <f t="shared" si="2"/>
        <v>36.5</v>
      </c>
      <c r="F82" s="890">
        <f t="shared" si="2"/>
        <v>36.5</v>
      </c>
      <c r="G82" s="890">
        <f t="shared" si="2"/>
        <v>36.5</v>
      </c>
      <c r="H82" s="890">
        <f t="shared" si="2"/>
        <v>36.5</v>
      </c>
      <c r="I82" s="890">
        <f t="shared" si="2"/>
        <v>36.5</v>
      </c>
      <c r="J82" s="890">
        <f t="shared" si="2"/>
        <v>36.5</v>
      </c>
      <c r="K82" s="890">
        <f t="shared" si="2"/>
        <v>36.5</v>
      </c>
      <c r="L82" s="890">
        <f t="shared" si="2"/>
        <v>36.5</v>
      </c>
      <c r="M82" s="890">
        <f t="shared" si="2"/>
        <v>36.5</v>
      </c>
    </row>
    <row r="83" spans="1:13" ht="12.75">
      <c r="A83" s="891"/>
      <c r="B83" s="885"/>
      <c r="C83" s="885"/>
      <c r="D83" s="885"/>
      <c r="E83" s="885"/>
      <c r="F83" s="885"/>
      <c r="G83" s="885"/>
      <c r="H83" s="885"/>
      <c r="I83" s="885"/>
      <c r="J83" s="885"/>
      <c r="K83" s="885"/>
      <c r="L83" s="885"/>
      <c r="M83" s="885"/>
    </row>
    <row r="84" spans="1:13" ht="12.75">
      <c r="A84" s="880" t="s">
        <v>853</v>
      </c>
      <c r="B84" s="881"/>
      <c r="C84" s="881"/>
      <c r="D84" s="881"/>
      <c r="E84" s="881"/>
      <c r="F84" s="881"/>
      <c r="G84" s="881"/>
      <c r="H84" s="881"/>
      <c r="I84" s="881"/>
      <c r="J84" s="881"/>
      <c r="K84" s="881"/>
      <c r="L84" s="881"/>
      <c r="M84" s="881"/>
    </row>
    <row r="85" spans="1:13" ht="12.75">
      <c r="A85" s="884" t="s">
        <v>1092</v>
      </c>
      <c r="B85" s="885">
        <v>1</v>
      </c>
      <c r="C85" s="885">
        <v>1</v>
      </c>
      <c r="D85" s="885">
        <v>1</v>
      </c>
      <c r="E85" s="885">
        <v>1</v>
      </c>
      <c r="F85" s="885">
        <v>1</v>
      </c>
      <c r="G85" s="885">
        <v>1</v>
      </c>
      <c r="H85" s="885">
        <v>1</v>
      </c>
      <c r="I85" s="885">
        <v>1</v>
      </c>
      <c r="J85" s="885">
        <v>1</v>
      </c>
      <c r="K85" s="885">
        <v>1</v>
      </c>
      <c r="L85" s="885">
        <v>1</v>
      </c>
      <c r="M85" s="885">
        <v>1</v>
      </c>
    </row>
    <row r="86" spans="1:13" ht="12.75">
      <c r="A86" s="884" t="s">
        <v>1093</v>
      </c>
      <c r="B86" s="885">
        <v>1</v>
      </c>
      <c r="C86" s="885">
        <v>1</v>
      </c>
      <c r="D86" s="885">
        <v>1</v>
      </c>
      <c r="E86" s="885">
        <v>1</v>
      </c>
      <c r="F86" s="885">
        <v>1</v>
      </c>
      <c r="G86" s="885">
        <v>1</v>
      </c>
      <c r="H86" s="885">
        <v>1</v>
      </c>
      <c r="I86" s="885">
        <v>1</v>
      </c>
      <c r="J86" s="885">
        <v>1</v>
      </c>
      <c r="K86" s="885">
        <v>1</v>
      </c>
      <c r="L86" s="885">
        <v>1</v>
      </c>
      <c r="M86" s="885">
        <v>1</v>
      </c>
    </row>
    <row r="87" spans="1:13" ht="12.75">
      <c r="A87" s="884" t="s">
        <v>1094</v>
      </c>
      <c r="B87" s="885">
        <v>1</v>
      </c>
      <c r="C87" s="885">
        <v>1</v>
      </c>
      <c r="D87" s="885">
        <v>1</v>
      </c>
      <c r="E87" s="885">
        <v>1</v>
      </c>
      <c r="F87" s="885">
        <v>1</v>
      </c>
      <c r="G87" s="885">
        <v>1</v>
      </c>
      <c r="H87" s="885">
        <v>1</v>
      </c>
      <c r="I87" s="885">
        <v>1</v>
      </c>
      <c r="J87" s="885">
        <v>1</v>
      </c>
      <c r="K87" s="885">
        <v>1</v>
      </c>
      <c r="L87" s="885">
        <v>1</v>
      </c>
      <c r="M87" s="885">
        <v>1</v>
      </c>
    </row>
    <row r="88" spans="1:13" ht="12.75">
      <c r="A88" s="884" t="s">
        <v>1095</v>
      </c>
      <c r="B88" s="885">
        <v>1</v>
      </c>
      <c r="C88" s="885">
        <v>1</v>
      </c>
      <c r="D88" s="885">
        <v>1</v>
      </c>
      <c r="E88" s="885">
        <v>1</v>
      </c>
      <c r="F88" s="885">
        <v>1</v>
      </c>
      <c r="G88" s="885">
        <v>1</v>
      </c>
      <c r="H88" s="885">
        <v>1</v>
      </c>
      <c r="I88" s="885">
        <v>1</v>
      </c>
      <c r="J88" s="885">
        <v>1</v>
      </c>
      <c r="K88" s="885">
        <v>1</v>
      </c>
      <c r="L88" s="885">
        <v>1</v>
      </c>
      <c r="M88" s="885">
        <v>1</v>
      </c>
    </row>
    <row r="89" spans="1:13" ht="12.75">
      <c r="A89" s="880" t="s">
        <v>854</v>
      </c>
      <c r="B89" s="890">
        <f aca="true" t="shared" si="3" ref="B89:M89">SUM(B85:B88)</f>
        <v>4</v>
      </c>
      <c r="C89" s="890">
        <f t="shared" si="3"/>
        <v>4</v>
      </c>
      <c r="D89" s="890">
        <f t="shared" si="3"/>
        <v>4</v>
      </c>
      <c r="E89" s="890">
        <f t="shared" si="3"/>
        <v>4</v>
      </c>
      <c r="F89" s="890">
        <f t="shared" si="3"/>
        <v>4</v>
      </c>
      <c r="G89" s="890">
        <f t="shared" si="3"/>
        <v>4</v>
      </c>
      <c r="H89" s="890">
        <f t="shared" si="3"/>
        <v>4</v>
      </c>
      <c r="I89" s="890">
        <f t="shared" si="3"/>
        <v>4</v>
      </c>
      <c r="J89" s="890">
        <f t="shared" si="3"/>
        <v>4</v>
      </c>
      <c r="K89" s="890">
        <f t="shared" si="3"/>
        <v>4</v>
      </c>
      <c r="L89" s="890">
        <f t="shared" si="3"/>
        <v>4</v>
      </c>
      <c r="M89" s="890">
        <f t="shared" si="3"/>
        <v>4</v>
      </c>
    </row>
    <row r="90" spans="1:13" ht="12.75">
      <c r="A90" s="897" t="s">
        <v>1096</v>
      </c>
      <c r="B90" s="898">
        <f aca="true" t="shared" si="4" ref="B90:M90">SUM(B89,B82,B43,B38)</f>
        <v>99.625</v>
      </c>
      <c r="C90" s="898">
        <f t="shared" si="4"/>
        <v>106.625</v>
      </c>
      <c r="D90" s="898">
        <f t="shared" si="4"/>
        <v>107.625</v>
      </c>
      <c r="E90" s="898">
        <f t="shared" si="4"/>
        <v>113.625</v>
      </c>
      <c r="F90" s="898">
        <f t="shared" si="4"/>
        <v>113.625</v>
      </c>
      <c r="G90" s="898">
        <f t="shared" si="4"/>
        <v>113.625</v>
      </c>
      <c r="H90" s="898">
        <f t="shared" si="4"/>
        <v>112.625</v>
      </c>
      <c r="I90" s="898">
        <f t="shared" si="4"/>
        <v>112.625</v>
      </c>
      <c r="J90" s="898">
        <f t="shared" si="4"/>
        <v>108.625</v>
      </c>
      <c r="K90" s="898">
        <f t="shared" si="4"/>
        <v>110.625</v>
      </c>
      <c r="L90" s="898">
        <f t="shared" si="4"/>
        <v>110.625</v>
      </c>
      <c r="M90" s="898">
        <f t="shared" si="4"/>
        <v>110.625</v>
      </c>
    </row>
    <row r="91" spans="1:13" ht="12.75">
      <c r="A91" s="891"/>
      <c r="B91" s="885"/>
      <c r="C91" s="885"/>
      <c r="D91" s="885"/>
      <c r="E91" s="885"/>
      <c r="F91" s="885"/>
      <c r="G91" s="885"/>
      <c r="H91" s="885"/>
      <c r="I91" s="885"/>
      <c r="J91" s="885"/>
      <c r="K91" s="885"/>
      <c r="L91" s="885"/>
      <c r="M91" s="885"/>
    </row>
    <row r="92" spans="1:13" ht="12.75">
      <c r="A92" s="880" t="s">
        <v>1097</v>
      </c>
      <c r="B92" s="881"/>
      <c r="C92" s="881"/>
      <c r="D92" s="881"/>
      <c r="E92" s="881"/>
      <c r="F92" s="881"/>
      <c r="G92" s="881"/>
      <c r="H92" s="881"/>
      <c r="I92" s="881"/>
      <c r="J92" s="881"/>
      <c r="K92" s="881"/>
      <c r="L92" s="881"/>
      <c r="M92" s="881"/>
    </row>
    <row r="93" spans="1:13" ht="25.5">
      <c r="A93" s="882" t="s">
        <v>1098</v>
      </c>
      <c r="B93" s="883"/>
      <c r="C93" s="883"/>
      <c r="D93" s="883"/>
      <c r="E93" s="883"/>
      <c r="F93" s="883"/>
      <c r="G93" s="883"/>
      <c r="H93" s="883"/>
      <c r="I93" s="883"/>
      <c r="J93" s="883"/>
      <c r="K93" s="883"/>
      <c r="L93" s="883"/>
      <c r="M93" s="883"/>
    </row>
    <row r="94" spans="1:13" ht="12.75">
      <c r="A94" s="899" t="s">
        <v>1099</v>
      </c>
      <c r="B94" s="900">
        <v>12</v>
      </c>
      <c r="C94" s="900">
        <v>12</v>
      </c>
      <c r="D94" s="900">
        <v>0</v>
      </c>
      <c r="E94" s="900">
        <v>0</v>
      </c>
      <c r="F94" s="900">
        <v>0</v>
      </c>
      <c r="G94" s="900">
        <v>0</v>
      </c>
      <c r="H94" s="900">
        <v>0</v>
      </c>
      <c r="I94" s="900">
        <v>0</v>
      </c>
      <c r="J94" s="900">
        <v>0</v>
      </c>
      <c r="K94" s="900">
        <v>0</v>
      </c>
      <c r="L94" s="900">
        <v>0</v>
      </c>
      <c r="M94" s="900">
        <v>0</v>
      </c>
    </row>
    <row r="95" spans="1:13" ht="12.75">
      <c r="A95" s="899" t="s">
        <v>1100</v>
      </c>
      <c r="B95" s="900">
        <v>15</v>
      </c>
      <c r="C95" s="900">
        <v>15</v>
      </c>
      <c r="D95" s="900">
        <v>0</v>
      </c>
      <c r="E95" s="900">
        <v>0</v>
      </c>
      <c r="F95" s="900">
        <v>0</v>
      </c>
      <c r="G95" s="900">
        <v>0</v>
      </c>
      <c r="H95" s="900">
        <v>0</v>
      </c>
      <c r="I95" s="900">
        <v>0</v>
      </c>
      <c r="J95" s="900">
        <v>0</v>
      </c>
      <c r="K95" s="900">
        <v>0</v>
      </c>
      <c r="L95" s="900">
        <v>0</v>
      </c>
      <c r="M95" s="900">
        <v>0</v>
      </c>
    </row>
    <row r="96" spans="1:13" ht="12.75">
      <c r="A96" s="899" t="s">
        <v>1101</v>
      </c>
      <c r="B96" s="900">
        <v>15</v>
      </c>
      <c r="C96" s="900">
        <v>15</v>
      </c>
      <c r="D96" s="900">
        <v>0</v>
      </c>
      <c r="E96" s="900">
        <v>0</v>
      </c>
      <c r="F96" s="900">
        <v>0</v>
      </c>
      <c r="G96" s="900">
        <v>0</v>
      </c>
      <c r="H96" s="900">
        <v>0</v>
      </c>
      <c r="I96" s="900">
        <v>0</v>
      </c>
      <c r="J96" s="900">
        <v>0</v>
      </c>
      <c r="K96" s="900">
        <v>0</v>
      </c>
      <c r="L96" s="900">
        <v>0</v>
      </c>
      <c r="M96" s="900">
        <v>0</v>
      </c>
    </row>
    <row r="97" spans="1:13" ht="25.5">
      <c r="A97" s="882" t="s">
        <v>1102</v>
      </c>
      <c r="B97" s="883"/>
      <c r="C97" s="883"/>
      <c r="D97" s="883"/>
      <c r="E97" s="883"/>
      <c r="F97" s="883"/>
      <c r="G97" s="883"/>
      <c r="H97" s="883"/>
      <c r="I97" s="883"/>
      <c r="J97" s="883"/>
      <c r="K97" s="883"/>
      <c r="L97" s="883"/>
      <c r="M97" s="883"/>
    </row>
    <row r="98" spans="1:13" ht="12.75">
      <c r="A98" s="899" t="s">
        <v>1099</v>
      </c>
      <c r="B98" s="900">
        <v>0</v>
      </c>
      <c r="C98" s="900">
        <v>0</v>
      </c>
      <c r="D98" s="900">
        <v>11</v>
      </c>
      <c r="E98" s="900">
        <v>11</v>
      </c>
      <c r="F98" s="900">
        <v>11</v>
      </c>
      <c r="G98" s="900">
        <v>11</v>
      </c>
      <c r="H98" s="900">
        <v>11</v>
      </c>
      <c r="I98" s="900">
        <v>11</v>
      </c>
      <c r="J98" s="900">
        <v>11</v>
      </c>
      <c r="K98" s="900">
        <v>11</v>
      </c>
      <c r="L98" s="900">
        <v>11</v>
      </c>
      <c r="M98" s="900">
        <v>11</v>
      </c>
    </row>
    <row r="99" spans="1:13" ht="12.75">
      <c r="A99" s="899" t="s">
        <v>1100</v>
      </c>
      <c r="B99" s="900">
        <v>0</v>
      </c>
      <c r="C99" s="900">
        <v>0</v>
      </c>
      <c r="D99" s="900">
        <v>11</v>
      </c>
      <c r="E99" s="900">
        <v>11</v>
      </c>
      <c r="F99" s="900">
        <v>11</v>
      </c>
      <c r="G99" s="900">
        <v>11</v>
      </c>
      <c r="H99" s="900">
        <v>11</v>
      </c>
      <c r="I99" s="900">
        <v>11</v>
      </c>
      <c r="J99" s="900">
        <v>11</v>
      </c>
      <c r="K99" s="900">
        <v>11</v>
      </c>
      <c r="L99" s="900">
        <v>11</v>
      </c>
      <c r="M99" s="900">
        <v>11</v>
      </c>
    </row>
    <row r="100" spans="1:13" ht="12.75">
      <c r="A100" s="899" t="s">
        <v>1101</v>
      </c>
      <c r="B100" s="900">
        <v>0</v>
      </c>
      <c r="C100" s="900">
        <v>0</v>
      </c>
      <c r="D100" s="900">
        <v>11</v>
      </c>
      <c r="E100" s="900">
        <v>11</v>
      </c>
      <c r="F100" s="900">
        <v>11</v>
      </c>
      <c r="G100" s="900">
        <v>11</v>
      </c>
      <c r="H100" s="900">
        <v>11</v>
      </c>
      <c r="I100" s="900">
        <v>11</v>
      </c>
      <c r="J100" s="900">
        <v>11</v>
      </c>
      <c r="K100" s="900">
        <v>11</v>
      </c>
      <c r="L100" s="900">
        <v>11</v>
      </c>
      <c r="M100" s="900">
        <v>11</v>
      </c>
    </row>
    <row r="101" spans="1:13" ht="12.75">
      <c r="A101" s="899" t="s">
        <v>1103</v>
      </c>
      <c r="B101" s="900">
        <v>0</v>
      </c>
      <c r="C101" s="900">
        <v>0</v>
      </c>
      <c r="D101" s="900">
        <v>5</v>
      </c>
      <c r="E101" s="900">
        <v>5</v>
      </c>
      <c r="F101" s="900">
        <v>5</v>
      </c>
      <c r="G101" s="900">
        <v>5</v>
      </c>
      <c r="H101" s="900">
        <v>5</v>
      </c>
      <c r="I101" s="900">
        <v>5</v>
      </c>
      <c r="J101" s="900">
        <v>5</v>
      </c>
      <c r="K101" s="900">
        <v>5</v>
      </c>
      <c r="L101" s="900">
        <v>5</v>
      </c>
      <c r="M101" s="900">
        <v>5</v>
      </c>
    </row>
    <row r="102" spans="1:13" ht="25.5">
      <c r="A102" s="882" t="s">
        <v>1104</v>
      </c>
      <c r="B102" s="883"/>
      <c r="C102" s="883"/>
      <c r="D102" s="883"/>
      <c r="E102" s="883"/>
      <c r="F102" s="883"/>
      <c r="G102" s="883"/>
      <c r="H102" s="883"/>
      <c r="I102" s="883"/>
      <c r="J102" s="883"/>
      <c r="K102" s="883"/>
      <c r="L102" s="883"/>
      <c r="M102" s="883"/>
    </row>
    <row r="103" spans="1:13" ht="12.75">
      <c r="A103" s="899" t="s">
        <v>1105</v>
      </c>
      <c r="B103" s="900">
        <v>12</v>
      </c>
      <c r="C103" s="900">
        <v>12</v>
      </c>
      <c r="D103" s="900">
        <v>0</v>
      </c>
      <c r="E103" s="900">
        <v>0</v>
      </c>
      <c r="F103" s="900">
        <v>0</v>
      </c>
      <c r="G103" s="900">
        <v>0</v>
      </c>
      <c r="H103" s="900">
        <v>0</v>
      </c>
      <c r="I103" s="900">
        <v>0</v>
      </c>
      <c r="J103" s="900">
        <v>0</v>
      </c>
      <c r="K103" s="900">
        <v>0</v>
      </c>
      <c r="L103" s="900">
        <v>0</v>
      </c>
      <c r="M103" s="900">
        <v>0</v>
      </c>
    </row>
    <row r="104" spans="1:13" ht="12.75">
      <c r="A104" s="899" t="s">
        <v>1106</v>
      </c>
      <c r="B104" s="900">
        <v>72</v>
      </c>
      <c r="C104" s="900">
        <v>72</v>
      </c>
      <c r="D104" s="900">
        <v>0</v>
      </c>
      <c r="E104" s="900">
        <v>0</v>
      </c>
      <c r="F104" s="900">
        <v>0</v>
      </c>
      <c r="G104" s="900">
        <v>0</v>
      </c>
      <c r="H104" s="900">
        <v>0</v>
      </c>
      <c r="I104" s="900">
        <v>0</v>
      </c>
      <c r="J104" s="900">
        <v>0</v>
      </c>
      <c r="K104" s="900">
        <v>0</v>
      </c>
      <c r="L104" s="900">
        <v>0</v>
      </c>
      <c r="M104" s="900">
        <v>0</v>
      </c>
    </row>
    <row r="105" spans="1:13" ht="25.5">
      <c r="A105" s="882" t="s">
        <v>1107</v>
      </c>
      <c r="B105" s="883"/>
      <c r="C105" s="883"/>
      <c r="D105" s="883"/>
      <c r="E105" s="883"/>
      <c r="F105" s="883"/>
      <c r="G105" s="883"/>
      <c r="H105" s="883"/>
      <c r="I105" s="883"/>
      <c r="J105" s="883"/>
      <c r="K105" s="883"/>
      <c r="L105" s="883"/>
      <c r="M105" s="883"/>
    </row>
    <row r="106" spans="1:13" ht="12.75">
      <c r="A106" s="899" t="s">
        <v>1140</v>
      </c>
      <c r="B106" s="900">
        <v>0</v>
      </c>
      <c r="C106" s="900">
        <v>0</v>
      </c>
      <c r="D106" s="900">
        <v>94</v>
      </c>
      <c r="E106" s="900">
        <v>94</v>
      </c>
      <c r="F106" s="900">
        <v>94</v>
      </c>
      <c r="G106" s="900">
        <v>94</v>
      </c>
      <c r="H106" s="900">
        <v>20</v>
      </c>
      <c r="I106" s="900">
        <v>20</v>
      </c>
      <c r="J106" s="900">
        <v>20</v>
      </c>
      <c r="K106" s="900">
        <v>20</v>
      </c>
      <c r="L106" s="900">
        <v>20</v>
      </c>
      <c r="M106" s="900">
        <v>20</v>
      </c>
    </row>
    <row r="107" spans="1:13" ht="25.5">
      <c r="A107" s="882" t="s">
        <v>1118</v>
      </c>
      <c r="B107" s="883"/>
      <c r="C107" s="883"/>
      <c r="D107" s="883"/>
      <c r="E107" s="883"/>
      <c r="F107" s="883"/>
      <c r="G107" s="883"/>
      <c r="H107" s="883"/>
      <c r="I107" s="883"/>
      <c r="J107" s="883"/>
      <c r="K107" s="883"/>
      <c r="L107" s="883"/>
      <c r="M107" s="883"/>
    </row>
    <row r="108" spans="1:13" ht="12.75">
      <c r="A108" s="899" t="s">
        <v>1119</v>
      </c>
      <c r="B108" s="900">
        <v>0</v>
      </c>
      <c r="C108" s="900">
        <v>0</v>
      </c>
      <c r="D108" s="900">
        <v>0</v>
      </c>
      <c r="E108" s="900">
        <v>0</v>
      </c>
      <c r="F108" s="900">
        <v>0</v>
      </c>
      <c r="G108" s="900">
        <v>0</v>
      </c>
      <c r="H108" s="900">
        <v>23</v>
      </c>
      <c r="I108" s="900">
        <v>23</v>
      </c>
      <c r="J108" s="900">
        <v>23</v>
      </c>
      <c r="K108" s="900">
        <v>23</v>
      </c>
      <c r="L108" s="900">
        <v>23</v>
      </c>
      <c r="M108" s="900">
        <v>23</v>
      </c>
    </row>
    <row r="109" spans="1:13" ht="24" customHeight="1">
      <c r="A109" s="897" t="s">
        <v>1108</v>
      </c>
      <c r="B109" s="898">
        <f>SUM(B93:B108)</f>
        <v>126</v>
      </c>
      <c r="C109" s="898">
        <f aca="true" t="shared" si="5" ref="C109:M109">SUM(C93:C108)</f>
        <v>126</v>
      </c>
      <c r="D109" s="898">
        <f t="shared" si="5"/>
        <v>132</v>
      </c>
      <c r="E109" s="898">
        <f t="shared" si="5"/>
        <v>132</v>
      </c>
      <c r="F109" s="898">
        <f t="shared" si="5"/>
        <v>132</v>
      </c>
      <c r="G109" s="898">
        <f t="shared" si="5"/>
        <v>132</v>
      </c>
      <c r="H109" s="898">
        <f t="shared" si="5"/>
        <v>81</v>
      </c>
      <c r="I109" s="898">
        <f t="shared" si="5"/>
        <v>81</v>
      </c>
      <c r="J109" s="898">
        <f t="shared" si="5"/>
        <v>81</v>
      </c>
      <c r="K109" s="898">
        <f t="shared" si="5"/>
        <v>81</v>
      </c>
      <c r="L109" s="898">
        <f t="shared" si="5"/>
        <v>81</v>
      </c>
      <c r="M109" s="898">
        <f t="shared" si="5"/>
        <v>81</v>
      </c>
    </row>
    <row r="110" spans="1:13" ht="12.75">
      <c r="A110" s="662"/>
      <c r="M110" s="919"/>
    </row>
    <row r="111" spans="1:14" s="908" customFormat="1" ht="25.5" customHeight="1">
      <c r="A111" s="880" t="s">
        <v>1130</v>
      </c>
      <c r="B111" s="881"/>
      <c r="C111" s="881"/>
      <c r="D111" s="881"/>
      <c r="E111" s="881"/>
      <c r="F111" s="881"/>
      <c r="G111" s="881"/>
      <c r="H111" s="881"/>
      <c r="I111" s="881"/>
      <c r="J111" s="881"/>
      <c r="K111" s="881"/>
      <c r="L111" s="881"/>
      <c r="M111" s="881"/>
      <c r="N111" s="907"/>
    </row>
    <row r="112" spans="1:14" s="910" customFormat="1" ht="28.5" customHeight="1">
      <c r="A112" s="899" t="s">
        <v>768</v>
      </c>
      <c r="B112" s="900">
        <v>0</v>
      </c>
      <c r="C112" s="900">
        <v>0</v>
      </c>
      <c r="D112" s="900">
        <v>0</v>
      </c>
      <c r="E112" s="900">
        <v>0</v>
      </c>
      <c r="F112" s="900">
        <v>0</v>
      </c>
      <c r="G112" s="900">
        <v>0</v>
      </c>
      <c r="H112" s="900">
        <v>3</v>
      </c>
      <c r="I112" s="900">
        <v>3</v>
      </c>
      <c r="J112" s="900">
        <v>0</v>
      </c>
      <c r="K112" s="900">
        <v>0</v>
      </c>
      <c r="L112" s="900">
        <v>0</v>
      </c>
      <c r="M112" s="900">
        <v>0</v>
      </c>
      <c r="N112" s="909"/>
    </row>
    <row r="113" spans="1:14" s="908" customFormat="1" ht="32.25" customHeight="1">
      <c r="A113" s="897" t="s">
        <v>1133</v>
      </c>
      <c r="B113" s="898">
        <f>SUM(B112)</f>
        <v>0</v>
      </c>
      <c r="C113" s="898">
        <f aca="true" t="shared" si="6" ref="C113:M113">SUM(C112)</f>
        <v>0</v>
      </c>
      <c r="D113" s="898">
        <f t="shared" si="6"/>
        <v>0</v>
      </c>
      <c r="E113" s="898">
        <f t="shared" si="6"/>
        <v>0</v>
      </c>
      <c r="F113" s="898">
        <f t="shared" si="6"/>
        <v>0</v>
      </c>
      <c r="G113" s="898">
        <f t="shared" si="6"/>
        <v>0</v>
      </c>
      <c r="H113" s="898">
        <f t="shared" si="6"/>
        <v>3</v>
      </c>
      <c r="I113" s="898">
        <f t="shared" si="6"/>
        <v>3</v>
      </c>
      <c r="J113" s="898">
        <f t="shared" si="6"/>
        <v>0</v>
      </c>
      <c r="K113" s="898">
        <f t="shared" si="6"/>
        <v>0</v>
      </c>
      <c r="L113" s="898">
        <f t="shared" si="6"/>
        <v>0</v>
      </c>
      <c r="M113" s="898">
        <f t="shared" si="6"/>
        <v>0</v>
      </c>
      <c r="N113" s="907"/>
    </row>
  </sheetData>
  <sheetProtection/>
  <mergeCells count="3"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4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77" bestFit="1" customWidth="1"/>
    <col min="2" max="2" width="2.375" style="2" customWidth="1"/>
    <col min="3" max="3" width="88.625" style="2" customWidth="1"/>
    <col min="4" max="4" width="15.625" style="2" bestFit="1" customWidth="1"/>
    <col min="5" max="16384" width="8.875" style="2" customWidth="1"/>
  </cols>
  <sheetData>
    <row r="1" spans="3:5" ht="15">
      <c r="C1" s="1013" t="s">
        <v>1218</v>
      </c>
      <c r="D1" s="1268"/>
      <c r="E1" s="76"/>
    </row>
    <row r="2" spans="3:5" ht="15">
      <c r="C2" s="5"/>
      <c r="D2" s="124"/>
      <c r="E2" s="76"/>
    </row>
    <row r="3" spans="2:4" ht="15.75">
      <c r="B3" s="1272" t="s">
        <v>816</v>
      </c>
      <c r="C3" s="1272"/>
      <c r="D3" s="1272"/>
    </row>
    <row r="4" spans="2:4" ht="15">
      <c r="B4" s="128"/>
      <c r="C4" s="128"/>
      <c r="D4" s="128"/>
    </row>
    <row r="5" ht="15.75" thickBot="1">
      <c r="D5" s="5"/>
    </row>
    <row r="6" spans="1:4" s="3" customFormat="1" ht="14.25">
      <c r="A6" s="1276" t="s">
        <v>426</v>
      </c>
      <c r="B6" s="1273" t="s">
        <v>357</v>
      </c>
      <c r="C6" s="1273"/>
      <c r="D6" s="6" t="s">
        <v>369</v>
      </c>
    </row>
    <row r="7" spans="1:4" s="88" customFormat="1" ht="12">
      <c r="A7" s="1277"/>
      <c r="B7" s="1274" t="s">
        <v>420</v>
      </c>
      <c r="C7" s="1275"/>
      <c r="D7" s="87" t="s">
        <v>421</v>
      </c>
    </row>
    <row r="8" spans="1:4" s="3" customFormat="1" ht="14.25">
      <c r="A8" s="89">
        <v>1</v>
      </c>
      <c r="B8" s="920" t="s">
        <v>363</v>
      </c>
      <c r="C8" s="10"/>
      <c r="D8" s="261"/>
    </row>
    <row r="9" spans="1:4" s="12" customFormat="1" ht="15">
      <c r="A9" s="89">
        <v>2</v>
      </c>
      <c r="B9" s="921" t="s">
        <v>435</v>
      </c>
      <c r="C9" s="11"/>
      <c r="D9" s="262"/>
    </row>
    <row r="10" spans="1:4" ht="27.75" customHeight="1">
      <c r="A10" s="89">
        <v>3</v>
      </c>
      <c r="B10" s="918" t="s">
        <v>370</v>
      </c>
      <c r="C10" s="119" t="s">
        <v>820</v>
      </c>
      <c r="D10" s="642">
        <f>242490975+151044</f>
        <v>242642019</v>
      </c>
    </row>
    <row r="11" spans="1:4" ht="27.75" customHeight="1">
      <c r="A11" s="89">
        <v>4</v>
      </c>
      <c r="B11" s="918" t="s">
        <v>370</v>
      </c>
      <c r="C11" s="119" t="s">
        <v>821</v>
      </c>
      <c r="D11" s="642">
        <f>3832400+192470000</f>
        <v>196302400</v>
      </c>
    </row>
    <row r="12" spans="1:4" ht="27.75" customHeight="1">
      <c r="A12" s="89">
        <v>5</v>
      </c>
      <c r="B12" s="918" t="s">
        <v>370</v>
      </c>
      <c r="C12" s="119" t="s">
        <v>822</v>
      </c>
      <c r="D12" s="642">
        <v>17861888</v>
      </c>
    </row>
    <row r="13" spans="1:4" ht="27.75" customHeight="1">
      <c r="A13" s="89">
        <v>6</v>
      </c>
      <c r="B13" s="918" t="s">
        <v>370</v>
      </c>
      <c r="C13" s="119" t="s">
        <v>734</v>
      </c>
      <c r="D13" s="642">
        <f>17462500-5238750</f>
        <v>12223750</v>
      </c>
    </row>
    <row r="14" spans="1:4" ht="33" customHeight="1">
      <c r="A14" s="89">
        <v>7</v>
      </c>
      <c r="B14" s="918" t="s">
        <v>370</v>
      </c>
      <c r="C14" s="119" t="s">
        <v>1170</v>
      </c>
      <c r="D14" s="642">
        <f>525300+387985</f>
        <v>913285</v>
      </c>
    </row>
    <row r="15" spans="1:4" ht="27.75" customHeight="1">
      <c r="A15" s="89">
        <v>8</v>
      </c>
      <c r="B15" s="918" t="s">
        <v>370</v>
      </c>
      <c r="C15" s="119" t="s">
        <v>735</v>
      </c>
      <c r="D15" s="642">
        <v>3225085</v>
      </c>
    </row>
    <row r="16" spans="1:4" ht="18.75" customHeight="1">
      <c r="A16" s="89">
        <v>9</v>
      </c>
      <c r="B16" s="918" t="s">
        <v>370</v>
      </c>
      <c r="C16" s="119" t="s">
        <v>823</v>
      </c>
      <c r="D16" s="642">
        <f>5419000+106200000</f>
        <v>111619000</v>
      </c>
    </row>
    <row r="17" spans="1:4" ht="45">
      <c r="A17" s="89">
        <v>10</v>
      </c>
      <c r="B17" s="918" t="s">
        <v>370</v>
      </c>
      <c r="C17" s="119" t="s">
        <v>880</v>
      </c>
      <c r="D17" s="642">
        <f>335750+495250</f>
        <v>831000</v>
      </c>
    </row>
    <row r="18" spans="1:4" ht="30">
      <c r="A18" s="89">
        <v>11</v>
      </c>
      <c r="B18" s="918" t="s">
        <v>370</v>
      </c>
      <c r="C18" s="119" t="s">
        <v>1010</v>
      </c>
      <c r="D18" s="642">
        <f>76200+233830</f>
        <v>310030</v>
      </c>
    </row>
    <row r="19" spans="1:4" ht="21.75" customHeight="1">
      <c r="A19" s="89">
        <v>12</v>
      </c>
      <c r="B19" s="918" t="s">
        <v>370</v>
      </c>
      <c r="C19" s="119" t="s">
        <v>826</v>
      </c>
      <c r="D19" s="642">
        <v>1023620</v>
      </c>
    </row>
    <row r="20" spans="1:4" ht="28.5" customHeight="1">
      <c r="A20" s="89">
        <v>13</v>
      </c>
      <c r="B20" s="918" t="s">
        <v>370</v>
      </c>
      <c r="C20" s="119" t="s">
        <v>997</v>
      </c>
      <c r="D20" s="642">
        <v>235153</v>
      </c>
    </row>
    <row r="21" spans="1:4" ht="21" customHeight="1">
      <c r="A21" s="89">
        <v>14</v>
      </c>
      <c r="B21" s="918" t="s">
        <v>370</v>
      </c>
      <c r="C21" s="119" t="s">
        <v>827</v>
      </c>
      <c r="D21" s="642">
        <v>3250000</v>
      </c>
    </row>
    <row r="22" spans="1:4" ht="28.5" customHeight="1">
      <c r="A22" s="89">
        <v>15</v>
      </c>
      <c r="B22" s="918" t="s">
        <v>370</v>
      </c>
      <c r="C22" s="119" t="s">
        <v>996</v>
      </c>
      <c r="D22" s="642">
        <f>101600+150000-49500</f>
        <v>202100</v>
      </c>
    </row>
    <row r="23" spans="1:4" ht="28.5" customHeight="1">
      <c r="A23" s="89">
        <v>16</v>
      </c>
      <c r="B23" s="918" t="s">
        <v>370</v>
      </c>
      <c r="C23" s="119" t="s">
        <v>1168</v>
      </c>
      <c r="D23" s="642">
        <f>10986734+15</f>
        <v>10986749</v>
      </c>
    </row>
    <row r="24" spans="1:4" ht="15.75" customHeight="1">
      <c r="A24" s="89">
        <v>17</v>
      </c>
      <c r="B24" s="918" t="s">
        <v>370</v>
      </c>
      <c r="C24" s="119" t="s">
        <v>909</v>
      </c>
      <c r="D24" s="642">
        <f>299888+25400</f>
        <v>325288</v>
      </c>
    </row>
    <row r="25" spans="1:4" ht="15.75" customHeight="1">
      <c r="A25" s="89">
        <v>18</v>
      </c>
      <c r="B25" s="918" t="s">
        <v>370</v>
      </c>
      <c r="C25" s="119" t="s">
        <v>910</v>
      </c>
      <c r="D25" s="642">
        <f>1846997+914</f>
        <v>1847911</v>
      </c>
    </row>
    <row r="26" spans="1:4" ht="30" customHeight="1">
      <c r="A26" s="89">
        <v>19</v>
      </c>
      <c r="B26" s="918" t="s">
        <v>370</v>
      </c>
      <c r="C26" s="119" t="s">
        <v>1180</v>
      </c>
      <c r="D26" s="642">
        <f>8983129+6000000</f>
        <v>14983129</v>
      </c>
    </row>
    <row r="27" spans="1:4" ht="17.25" customHeight="1">
      <c r="A27" s="89">
        <v>20</v>
      </c>
      <c r="B27" s="918" t="s">
        <v>370</v>
      </c>
      <c r="C27" s="119" t="s">
        <v>912</v>
      </c>
      <c r="D27" s="642">
        <v>2497100</v>
      </c>
    </row>
    <row r="28" spans="1:4" ht="17.25" customHeight="1">
      <c r="A28" s="89">
        <v>21</v>
      </c>
      <c r="B28" s="918" t="s">
        <v>370</v>
      </c>
      <c r="C28" s="119" t="s">
        <v>1122</v>
      </c>
      <c r="D28" s="642">
        <f>2893619+1250000</f>
        <v>4143619</v>
      </c>
    </row>
    <row r="29" spans="1:4" ht="30.75" customHeight="1">
      <c r="A29" s="89">
        <v>22</v>
      </c>
      <c r="B29" s="918" t="s">
        <v>370</v>
      </c>
      <c r="C29" s="119" t="s">
        <v>1178</v>
      </c>
      <c r="D29" s="642">
        <f>120000+73660+29000</f>
        <v>222660</v>
      </c>
    </row>
    <row r="30" spans="1:4" ht="17.25" customHeight="1">
      <c r="A30" s="89">
        <v>23</v>
      </c>
      <c r="B30" s="918" t="s">
        <v>370</v>
      </c>
      <c r="C30" s="119" t="s">
        <v>1179</v>
      </c>
      <c r="D30" s="642">
        <v>5990</v>
      </c>
    </row>
    <row r="31" spans="1:4" ht="30">
      <c r="A31" s="89">
        <v>24</v>
      </c>
      <c r="B31" s="918" t="s">
        <v>370</v>
      </c>
      <c r="C31" s="119" t="s">
        <v>1003</v>
      </c>
      <c r="D31" s="642">
        <v>1920000</v>
      </c>
    </row>
    <row r="32" spans="1:4" ht="15">
      <c r="A32" s="89">
        <v>25</v>
      </c>
      <c r="B32" s="918" t="s">
        <v>370</v>
      </c>
      <c r="C32" s="119" t="s">
        <v>1177</v>
      </c>
      <c r="D32" s="642">
        <v>830000</v>
      </c>
    </row>
    <row r="33" spans="1:4" ht="16.5" customHeight="1">
      <c r="A33" s="89">
        <v>26</v>
      </c>
      <c r="B33" s="911" t="s">
        <v>370</v>
      </c>
      <c r="C33" s="868" t="s">
        <v>995</v>
      </c>
      <c r="D33" s="642">
        <v>30000</v>
      </c>
    </row>
    <row r="34" spans="1:4" ht="16.5" customHeight="1">
      <c r="A34" s="89">
        <v>27</v>
      </c>
      <c r="B34" s="911" t="s">
        <v>370</v>
      </c>
      <c r="C34" s="868" t="s">
        <v>1120</v>
      </c>
      <c r="D34" s="642">
        <v>3863162</v>
      </c>
    </row>
    <row r="35" spans="1:4" ht="16.5" customHeight="1">
      <c r="A35" s="89">
        <v>28</v>
      </c>
      <c r="B35" s="911" t="s">
        <v>370</v>
      </c>
      <c r="C35" s="868" t="s">
        <v>1121</v>
      </c>
      <c r="D35" s="642">
        <v>1910826</v>
      </c>
    </row>
    <row r="36" spans="1:4" ht="16.5" customHeight="1">
      <c r="A36" s="89">
        <v>29</v>
      </c>
      <c r="B36" s="911" t="s">
        <v>370</v>
      </c>
      <c r="C36" s="868" t="s">
        <v>1139</v>
      </c>
      <c r="D36" s="642">
        <v>162433</v>
      </c>
    </row>
    <row r="37" spans="1:4" ht="16.5" customHeight="1">
      <c r="A37" s="89">
        <v>30</v>
      </c>
      <c r="B37" s="911" t="s">
        <v>370</v>
      </c>
      <c r="C37" s="119" t="s">
        <v>1169</v>
      </c>
      <c r="D37" s="642">
        <v>152400</v>
      </c>
    </row>
    <row r="38" spans="1:4" ht="16.5" customHeight="1">
      <c r="A38" s="89">
        <v>31</v>
      </c>
      <c r="B38" s="911" t="s">
        <v>370</v>
      </c>
      <c r="C38" s="119" t="s">
        <v>1172</v>
      </c>
      <c r="D38" s="642">
        <v>200000</v>
      </c>
    </row>
    <row r="39" spans="1:4" ht="34.5" customHeight="1">
      <c r="A39" s="89">
        <v>32</v>
      </c>
      <c r="B39" s="911" t="s">
        <v>370</v>
      </c>
      <c r="C39" s="119" t="s">
        <v>1173</v>
      </c>
      <c r="D39" s="642">
        <f>197100-30+49530</f>
        <v>246600</v>
      </c>
    </row>
    <row r="40" spans="1:4" ht="16.5" customHeight="1">
      <c r="A40" s="89">
        <v>33</v>
      </c>
      <c r="B40" s="911" t="s">
        <v>370</v>
      </c>
      <c r="C40" s="119" t="s">
        <v>1174</v>
      </c>
      <c r="D40" s="642">
        <f>1595000+5715000</f>
        <v>7310000</v>
      </c>
    </row>
    <row r="41" spans="1:4" ht="16.5" customHeight="1">
      <c r="A41" s="89">
        <v>34</v>
      </c>
      <c r="B41" s="918" t="s">
        <v>370</v>
      </c>
      <c r="C41" s="119" t="s">
        <v>1175</v>
      </c>
      <c r="D41" s="642">
        <v>103900</v>
      </c>
    </row>
    <row r="42" spans="1:4" s="35" customFormat="1" ht="15">
      <c r="A42" s="89">
        <v>35</v>
      </c>
      <c r="B42" s="918"/>
      <c r="C42" s="14" t="s">
        <v>380</v>
      </c>
      <c r="D42" s="263">
        <f>SUM(D10:D41)</f>
        <v>642381097</v>
      </c>
    </row>
    <row r="43" spans="1:4" s="35" customFormat="1" ht="15">
      <c r="A43" s="89">
        <v>36</v>
      </c>
      <c r="B43" s="1265" t="s">
        <v>367</v>
      </c>
      <c r="C43" s="1266"/>
      <c r="D43" s="1267"/>
    </row>
    <row r="44" spans="1:4" ht="18.75" customHeight="1">
      <c r="A44" s="89">
        <v>37</v>
      </c>
      <c r="B44" s="918" t="s">
        <v>370</v>
      </c>
      <c r="C44" s="119" t="s">
        <v>828</v>
      </c>
      <c r="D44" s="642">
        <f>1229404-139700</f>
        <v>1089704</v>
      </c>
    </row>
    <row r="45" spans="1:4" ht="18.75" customHeight="1">
      <c r="A45" s="89">
        <v>38</v>
      </c>
      <c r="B45" s="918" t="s">
        <v>370</v>
      </c>
      <c r="C45" s="119" t="s">
        <v>1012</v>
      </c>
      <c r="D45" s="642">
        <f>139700</f>
        <v>139700</v>
      </c>
    </row>
    <row r="46" spans="1:4" ht="18.75" customHeight="1">
      <c r="A46" s="89">
        <v>39</v>
      </c>
      <c r="B46" s="918" t="s">
        <v>370</v>
      </c>
      <c r="C46" s="119" t="s">
        <v>1123</v>
      </c>
      <c r="D46" s="642">
        <v>1269600</v>
      </c>
    </row>
    <row r="47" spans="1:4" s="35" customFormat="1" ht="15">
      <c r="A47" s="89">
        <v>40</v>
      </c>
      <c r="B47" s="918"/>
      <c r="C47" s="14" t="s">
        <v>492</v>
      </c>
      <c r="D47" s="263">
        <f>SUM(D44:D46)</f>
        <v>2499004</v>
      </c>
    </row>
    <row r="48" spans="1:4" s="35" customFormat="1" ht="15">
      <c r="A48" s="89">
        <v>41</v>
      </c>
      <c r="B48" s="1265" t="s">
        <v>768</v>
      </c>
      <c r="C48" s="1266"/>
      <c r="D48" s="1267"/>
    </row>
    <row r="49" spans="1:4" ht="32.25" customHeight="1">
      <c r="A49" s="89">
        <v>42</v>
      </c>
      <c r="B49" s="918" t="s">
        <v>370</v>
      </c>
      <c r="C49" s="119" t="s">
        <v>1001</v>
      </c>
      <c r="D49" s="642">
        <f>139700+84541+79900</f>
        <v>304141</v>
      </c>
    </row>
    <row r="50" spans="1:4" ht="19.5" customHeight="1">
      <c r="A50" s="89">
        <v>43</v>
      </c>
      <c r="B50" s="918" t="s">
        <v>370</v>
      </c>
      <c r="C50" s="119" t="s">
        <v>1013</v>
      </c>
      <c r="D50" s="642">
        <f>123070+198285-39190</f>
        <v>282165</v>
      </c>
    </row>
    <row r="51" spans="1:4" ht="18.75" customHeight="1">
      <c r="A51" s="89">
        <v>44</v>
      </c>
      <c r="B51" s="918" t="s">
        <v>370</v>
      </c>
      <c r="C51" s="119" t="s">
        <v>999</v>
      </c>
      <c r="D51" s="642">
        <f>88900+152273</f>
        <v>241173</v>
      </c>
    </row>
    <row r="52" spans="1:4" ht="18.75" customHeight="1">
      <c r="A52" s="89">
        <v>45</v>
      </c>
      <c r="B52" s="918" t="s">
        <v>370</v>
      </c>
      <c r="C52" s="119" t="s">
        <v>1000</v>
      </c>
      <c r="D52" s="642">
        <f>76200+151629</f>
        <v>227829</v>
      </c>
    </row>
    <row r="53" spans="1:4" ht="30" customHeight="1">
      <c r="A53" s="89">
        <v>46</v>
      </c>
      <c r="B53" s="918" t="s">
        <v>370</v>
      </c>
      <c r="C53" s="119" t="s">
        <v>1182</v>
      </c>
      <c r="D53" s="642">
        <f>76969+35900</f>
        <v>112869</v>
      </c>
    </row>
    <row r="54" spans="1:4" ht="18.75" customHeight="1">
      <c r="A54" s="89">
        <v>47</v>
      </c>
      <c r="B54" s="918" t="s">
        <v>370</v>
      </c>
      <c r="C54" s="119" t="s">
        <v>998</v>
      </c>
      <c r="D54" s="642">
        <v>195000</v>
      </c>
    </row>
    <row r="55" spans="1:4" ht="30">
      <c r="A55" s="89">
        <v>48</v>
      </c>
      <c r="B55" s="918" t="s">
        <v>370</v>
      </c>
      <c r="C55" s="119" t="s">
        <v>914</v>
      </c>
      <c r="D55" s="642">
        <v>1687190</v>
      </c>
    </row>
    <row r="56" spans="1:4" ht="15">
      <c r="A56" s="89">
        <v>49</v>
      </c>
      <c r="B56" s="918" t="s">
        <v>370</v>
      </c>
      <c r="C56" s="119" t="s">
        <v>915</v>
      </c>
      <c r="D56" s="642">
        <v>2412553</v>
      </c>
    </row>
    <row r="57" spans="1:4" ht="19.5" customHeight="1">
      <c r="A57" s="89">
        <v>50</v>
      </c>
      <c r="B57" s="918" t="s">
        <v>370</v>
      </c>
      <c r="C57" s="119" t="s">
        <v>1181</v>
      </c>
      <c r="D57" s="642">
        <v>768772</v>
      </c>
    </row>
    <row r="58" spans="1:4" s="35" customFormat="1" ht="15">
      <c r="A58" s="89">
        <v>51</v>
      </c>
      <c r="B58" s="922"/>
      <c r="C58" s="14" t="s">
        <v>913</v>
      </c>
      <c r="D58" s="263">
        <f>SUM(D49:D57)</f>
        <v>6231692</v>
      </c>
    </row>
    <row r="59" spans="1:4" s="3" customFormat="1" ht="15" thickBot="1">
      <c r="A59" s="90">
        <v>52</v>
      </c>
      <c r="B59" s="15" t="s">
        <v>360</v>
      </c>
      <c r="C59" s="15"/>
      <c r="D59" s="264">
        <f>SUM(D58+D47+D42)</f>
        <v>651111793</v>
      </c>
    </row>
    <row r="60" spans="1:4" ht="15">
      <c r="A60" s="529">
        <v>53</v>
      </c>
      <c r="B60" s="1269" t="s">
        <v>368</v>
      </c>
      <c r="C60" s="1270"/>
      <c r="D60" s="1271"/>
    </row>
    <row r="61" spans="1:4" s="12" customFormat="1" ht="15">
      <c r="A61" s="89">
        <v>54</v>
      </c>
      <c r="B61" s="97" t="s">
        <v>435</v>
      </c>
      <c r="C61" s="13"/>
      <c r="D61" s="7"/>
    </row>
    <row r="62" spans="1:4" ht="18.75" customHeight="1">
      <c r="A62" s="89">
        <v>55</v>
      </c>
      <c r="B62" s="918" t="s">
        <v>370</v>
      </c>
      <c r="C62" s="119" t="s">
        <v>736</v>
      </c>
      <c r="D62" s="642">
        <v>254000</v>
      </c>
    </row>
    <row r="63" spans="1:4" ht="18.75" customHeight="1">
      <c r="A63" s="89">
        <v>56</v>
      </c>
      <c r="B63" s="918" t="s">
        <v>370</v>
      </c>
      <c r="C63" s="119" t="s">
        <v>817</v>
      </c>
      <c r="D63" s="642">
        <v>254000</v>
      </c>
    </row>
    <row r="64" spans="1:4" s="35" customFormat="1" ht="29.25" customHeight="1">
      <c r="A64" s="89">
        <v>57</v>
      </c>
      <c r="B64" s="918" t="s">
        <v>370</v>
      </c>
      <c r="C64" s="119" t="s">
        <v>1176</v>
      </c>
      <c r="D64" s="642">
        <f>2500000+47500000</f>
        <v>50000000</v>
      </c>
    </row>
    <row r="65" spans="1:4" s="35" customFormat="1" ht="45">
      <c r="A65" s="89">
        <v>58</v>
      </c>
      <c r="B65" s="918" t="s">
        <v>370</v>
      </c>
      <c r="C65" s="119" t="s">
        <v>879</v>
      </c>
      <c r="D65" s="642">
        <f>22279919+850900</f>
        <v>23130819</v>
      </c>
    </row>
    <row r="66" spans="1:4" s="35" customFormat="1" ht="29.25" customHeight="1">
      <c r="A66" s="89">
        <v>59</v>
      </c>
      <c r="B66" s="918" t="s">
        <v>370</v>
      </c>
      <c r="C66" s="119" t="s">
        <v>825</v>
      </c>
      <c r="D66" s="642">
        <f>2606050+95000000</f>
        <v>97606050</v>
      </c>
    </row>
    <row r="67" spans="1:4" ht="18.75" customHeight="1">
      <c r="A67" s="89">
        <v>60</v>
      </c>
      <c r="B67" s="918" t="s">
        <v>370</v>
      </c>
      <c r="C67" s="119" t="s">
        <v>824</v>
      </c>
      <c r="D67" s="642">
        <v>389000</v>
      </c>
    </row>
    <row r="68" spans="1:4" ht="18.75" customHeight="1">
      <c r="A68" s="89">
        <v>61</v>
      </c>
      <c r="B68" s="918" t="s">
        <v>370</v>
      </c>
      <c r="C68" s="119" t="s">
        <v>830</v>
      </c>
      <c r="D68" s="642">
        <v>17634204</v>
      </c>
    </row>
    <row r="69" spans="1:4" ht="18.75" customHeight="1">
      <c r="A69" s="89">
        <v>62</v>
      </c>
      <c r="B69" s="918" t="s">
        <v>370</v>
      </c>
      <c r="C69" s="119" t="s">
        <v>883</v>
      </c>
      <c r="D69" s="642">
        <f>3000000-387985-900000-197100-545000-444500</f>
        <v>525415</v>
      </c>
    </row>
    <row r="70" spans="1:4" ht="18.75" customHeight="1">
      <c r="A70" s="89">
        <v>63</v>
      </c>
      <c r="B70" s="918" t="s">
        <v>370</v>
      </c>
      <c r="C70" s="119" t="s">
        <v>1171</v>
      </c>
      <c r="D70" s="642">
        <f>5000000+900000</f>
        <v>5900000</v>
      </c>
    </row>
    <row r="71" spans="1:4" ht="30">
      <c r="A71" s="89">
        <v>64</v>
      </c>
      <c r="B71" s="918" t="s">
        <v>370</v>
      </c>
      <c r="C71" s="119" t="s">
        <v>911</v>
      </c>
      <c r="D71" s="642">
        <v>6528562</v>
      </c>
    </row>
    <row r="72" spans="1:4" ht="19.5" customHeight="1">
      <c r="A72" s="89">
        <v>65</v>
      </c>
      <c r="B72" s="918" t="s">
        <v>370</v>
      </c>
      <c r="C72" s="119" t="s">
        <v>1136</v>
      </c>
      <c r="D72" s="642">
        <f>1576197+29947750</f>
        <v>31523947</v>
      </c>
    </row>
    <row r="73" spans="1:4" s="12" customFormat="1" ht="15">
      <c r="A73" s="89">
        <v>66</v>
      </c>
      <c r="B73" s="923"/>
      <c r="C73" s="4" t="s">
        <v>380</v>
      </c>
      <c r="D73" s="265">
        <f>SUM(D60:D72)</f>
        <v>233745997</v>
      </c>
    </row>
    <row r="74" spans="1:5" s="12" customFormat="1" ht="15">
      <c r="A74" s="869">
        <v>67</v>
      </c>
      <c r="B74" s="924"/>
      <c r="C74" s="1265" t="s">
        <v>768</v>
      </c>
      <c r="D74" s="1267"/>
      <c r="E74" s="870"/>
    </row>
    <row r="75" spans="1:4" ht="18.75" customHeight="1">
      <c r="A75" s="89">
        <v>68</v>
      </c>
      <c r="B75" s="918" t="s">
        <v>370</v>
      </c>
      <c r="C75" s="119" t="s">
        <v>1002</v>
      </c>
      <c r="D75" s="642">
        <f>700924+49430</f>
        <v>750354</v>
      </c>
    </row>
    <row r="76" spans="1:4" s="12" customFormat="1" ht="15">
      <c r="A76" s="869">
        <v>69</v>
      </c>
      <c r="B76" s="875"/>
      <c r="C76" s="14" t="s">
        <v>913</v>
      </c>
      <c r="D76" s="876">
        <f>SUM(D75)</f>
        <v>750354</v>
      </c>
    </row>
    <row r="77" spans="1:4" ht="15.75" thickBot="1">
      <c r="A77" s="90">
        <v>70</v>
      </c>
      <c r="B77" s="874" t="s">
        <v>360</v>
      </c>
      <c r="C77" s="874"/>
      <c r="D77" s="266">
        <f>SUM(D73+D76)</f>
        <v>234496351</v>
      </c>
    </row>
    <row r="78" spans="1:4" ht="15">
      <c r="A78" s="89">
        <v>71</v>
      </c>
      <c r="B78" s="1269" t="s">
        <v>116</v>
      </c>
      <c r="C78" s="1270"/>
      <c r="D78" s="1271"/>
    </row>
    <row r="79" spans="1:4" s="12" customFormat="1" ht="15">
      <c r="A79" s="89">
        <v>72</v>
      </c>
      <c r="B79" s="925" t="s">
        <v>435</v>
      </c>
      <c r="C79" s="13"/>
      <c r="D79" s="8"/>
    </row>
    <row r="80" spans="1:4" s="35" customFormat="1" ht="20.25" customHeight="1">
      <c r="A80" s="89">
        <v>73</v>
      </c>
      <c r="B80" s="918" t="s">
        <v>370</v>
      </c>
      <c r="C80" s="119" t="s">
        <v>416</v>
      </c>
      <c r="D80" s="643">
        <v>449520</v>
      </c>
    </row>
    <row r="81" spans="1:4" ht="27.75" customHeight="1">
      <c r="A81" s="89">
        <v>74</v>
      </c>
      <c r="B81" s="918" t="s">
        <v>370</v>
      </c>
      <c r="C81" s="119" t="s">
        <v>1004</v>
      </c>
      <c r="D81" s="642">
        <v>18081467</v>
      </c>
    </row>
    <row r="82" spans="1:4" s="3" customFormat="1" ht="15" thickBot="1">
      <c r="A82" s="90">
        <v>75</v>
      </c>
      <c r="B82" s="15" t="s">
        <v>360</v>
      </c>
      <c r="C82" s="15"/>
      <c r="D82" s="267">
        <f>SUM(D80:D81)</f>
        <v>18530987</v>
      </c>
    </row>
    <row r="83" spans="1:4" ht="15" hidden="1">
      <c r="A83" s="529">
        <v>45</v>
      </c>
      <c r="B83" s="1269" t="s">
        <v>417</v>
      </c>
      <c r="C83" s="1270"/>
      <c r="D83" s="1271"/>
    </row>
    <row r="84" spans="1:4" s="12" customFormat="1" ht="15" hidden="1">
      <c r="A84" s="89">
        <v>46</v>
      </c>
      <c r="B84" s="918"/>
      <c r="C84" s="18"/>
      <c r="D84" s="17"/>
    </row>
    <row r="85" spans="1:4" s="3" customFormat="1" ht="15" hidden="1" thickBot="1">
      <c r="A85" s="89">
        <v>47</v>
      </c>
      <c r="B85" s="15" t="s">
        <v>360</v>
      </c>
      <c r="C85" s="15"/>
      <c r="D85" s="9">
        <f>SUM(D84:D84)</f>
        <v>0</v>
      </c>
    </row>
    <row r="86" spans="1:4" ht="15">
      <c r="A86" s="89">
        <v>76</v>
      </c>
      <c r="B86" s="1269" t="s">
        <v>418</v>
      </c>
      <c r="C86" s="1270"/>
      <c r="D86" s="1271"/>
    </row>
    <row r="87" spans="1:4" ht="15">
      <c r="A87" s="89">
        <v>77</v>
      </c>
      <c r="B87" s="925" t="s">
        <v>435</v>
      </c>
      <c r="C87" s="86"/>
      <c r="D87" s="85"/>
    </row>
    <row r="88" spans="1:4" ht="30">
      <c r="A88" s="89">
        <v>78</v>
      </c>
      <c r="B88" s="918" t="s">
        <v>370</v>
      </c>
      <c r="C88" s="79" t="s">
        <v>829</v>
      </c>
      <c r="D88" s="871">
        <f>5000000-1269600+3500000</f>
        <v>7230400</v>
      </c>
    </row>
    <row r="89" spans="1:4" ht="30">
      <c r="A89" s="869">
        <v>79</v>
      </c>
      <c r="B89" s="918" t="s">
        <v>370</v>
      </c>
      <c r="C89" s="79" t="s">
        <v>1005</v>
      </c>
      <c r="D89" s="871">
        <v>4176519</v>
      </c>
    </row>
    <row r="90" spans="1:4" s="3" customFormat="1" ht="15" thickBot="1">
      <c r="A90" s="90">
        <v>80</v>
      </c>
      <c r="B90" s="15" t="s">
        <v>360</v>
      </c>
      <c r="C90" s="15"/>
      <c r="D90" s="267">
        <f>SUM(D88:D89)</f>
        <v>11406919</v>
      </c>
    </row>
    <row r="91" spans="1:4" ht="21" customHeight="1" thickBot="1">
      <c r="A91" s="90">
        <v>81</v>
      </c>
      <c r="B91" s="926" t="s">
        <v>361</v>
      </c>
      <c r="C91" s="16"/>
      <c r="D91" s="267">
        <f>SUM(D90+D82+D77+D59)</f>
        <v>915546050</v>
      </c>
    </row>
    <row r="93" ht="21" customHeight="1"/>
    <row r="95" spans="2:4" ht="15">
      <c r="B95" s="1264"/>
      <c r="C95" s="1264"/>
      <c r="D95" s="1264"/>
    </row>
    <row r="97" ht="15">
      <c r="H97" s="78"/>
    </row>
  </sheetData>
  <sheetProtection/>
  <mergeCells count="13">
    <mergeCell ref="A6:A7"/>
    <mergeCell ref="B83:D83"/>
    <mergeCell ref="B86:D86"/>
    <mergeCell ref="B95:D95"/>
    <mergeCell ref="B48:D48"/>
    <mergeCell ref="C1:D1"/>
    <mergeCell ref="B78:D78"/>
    <mergeCell ref="B3:D3"/>
    <mergeCell ref="B6:C6"/>
    <mergeCell ref="B60:D60"/>
    <mergeCell ref="B7:C7"/>
    <mergeCell ref="B43:D43"/>
    <mergeCell ref="C74:D7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2018-11-16T07:49:31Z</cp:lastPrinted>
  <dcterms:created xsi:type="dcterms:W3CDTF">2001-11-30T10:27:10Z</dcterms:created>
  <dcterms:modified xsi:type="dcterms:W3CDTF">2018-11-23T10:38:43Z</dcterms:modified>
  <cp:category/>
  <cp:version/>
  <cp:contentType/>
  <cp:contentStatus/>
</cp:coreProperties>
</file>