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7050" tabRatio="928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'1'!$A$1:$N$56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29">'30'!$A$1:$N$52</definedName>
    <definedName name="_xlnm.Print_Area" localSheetId="30">'31'!$A$1:$N$52</definedName>
    <definedName name="_xlnm.Print_Area" localSheetId="31">'32'!$A$1:$N$52</definedName>
    <definedName name="_xlnm.Print_Area" localSheetId="33">'34'!$A$1:$N$52</definedName>
    <definedName name="_xlnm.Print_Area" localSheetId="34">'35'!$A$1:$N$52</definedName>
    <definedName name="_xlnm.Print_Area" localSheetId="3">'4'!$A$1:$N$52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<sst xmlns="http://schemas.openxmlformats.org/spreadsheetml/2006/main" count="3597" uniqueCount="199">
  <si>
    <t>ezer Ft-ban</t>
  </si>
  <si>
    <t>Címrend</t>
  </si>
  <si>
    <t>Polgári védelem</t>
  </si>
  <si>
    <t>Állategészségügyi feladatok</t>
  </si>
  <si>
    <t>Szociális ellátás</t>
  </si>
  <si>
    <t>Szoc.bolt engedmény elszámolása</t>
  </si>
  <si>
    <t>KIADÁSOK</t>
  </si>
  <si>
    <t>I/1.</t>
  </si>
  <si>
    <t>Személyi juttatások</t>
  </si>
  <si>
    <t>I/2.</t>
  </si>
  <si>
    <t>I/3.</t>
  </si>
  <si>
    <t>I/4.</t>
  </si>
  <si>
    <t xml:space="preserve">Dologi kiadások </t>
  </si>
  <si>
    <t>I/5.</t>
  </si>
  <si>
    <t>Ellátottak pénbeli juttatása</t>
  </si>
  <si>
    <t>Egyéb működési célú kiadások</t>
  </si>
  <si>
    <t>I.</t>
  </si>
  <si>
    <t>II/1.</t>
  </si>
  <si>
    <t>II/2.</t>
  </si>
  <si>
    <t>Felújítások</t>
  </si>
  <si>
    <t>II/3.</t>
  </si>
  <si>
    <t>Egyéb felhalmozási kiadások</t>
  </si>
  <si>
    <t>II.</t>
  </si>
  <si>
    <t>III/1.</t>
  </si>
  <si>
    <t>Általános tartalék</t>
  </si>
  <si>
    <t>III/2.</t>
  </si>
  <si>
    <t>III.</t>
  </si>
  <si>
    <t>Tartalékok összesen</t>
  </si>
  <si>
    <t>IV/1.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</si>
  <si>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</si>
  <si>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</si>
  <si>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</si>
  <si>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</si>
  <si>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</si>
  <si>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I/1.1</t>
  </si>
  <si>
    <t>I/1.2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</si>
  <si>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</si>
  <si>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</si>
  <si>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</si>
  <si>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</si>
  <si>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</si>
  <si>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</si>
  <si>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</si>
  <si>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</si>
  <si>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</si>
  <si>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</si>
  <si>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</si>
  <si>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</si>
  <si>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</si>
  <si>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Környezetvédelem</t>
  </si>
  <si>
    <t>Vagyongazdálkodással összefüggő kiadások</t>
  </si>
  <si>
    <t>Közbiztonság kiadásai</t>
  </si>
  <si>
    <t>Környezetvédelmi alap kiadásai</t>
  </si>
  <si>
    <t>Diáksport</t>
  </si>
  <si>
    <t>Kamatfizetési kötelezettség</t>
  </si>
  <si>
    <t>Oktatási Bizottság kiadásai</t>
  </si>
  <si>
    <t>Kulturális, Emberi Jogi és Nemzetiségi Bizottság kiadásai</t>
  </si>
  <si>
    <t>Önkormányzati feladatok kiadásai összesen (1001-1050 címek)</t>
  </si>
  <si>
    <t>Egészségügyi, Szociális és Lakás Bizottság kiadásai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</si>
  <si>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</si>
  <si>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</si>
  <si>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</si>
  <si>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</si>
  <si>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</si>
  <si>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Komédium Színház Nonprofit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</si>
  <si>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</si>
  <si>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</si>
  <si>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</si>
  <si>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</si>
  <si>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</si>
  <si>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</si>
  <si>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</si>
  <si>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</si>
  <si>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</si>
  <si>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Kulturális, Emberi Jogi és Nemzetiségi Biz.által ny.támogatások</t>
  </si>
  <si>
    <t>Egészségügyi, Szociális és Lakás Bizottság által nyújtott támogatások</t>
  </si>
  <si>
    <t>Ferencvárosi Önkorm.részére Közoktatási Megállapodás alapján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</si>
  <si>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</si>
  <si>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</si>
  <si>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</si>
  <si>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</si>
  <si>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</si>
  <si>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</si>
  <si>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</si>
  <si>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</si>
  <si>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</si>
  <si>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</si>
  <si>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</si>
  <si>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</si>
  <si>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</si>
  <si>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</si>
  <si>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</si>
  <si>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</si>
  <si>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</si>
  <si>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</si>
  <si>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</si>
  <si>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</si>
  <si>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Oktatási Ifjusági és Sportalap céltartaléka</t>
  </si>
  <si>
    <t>Okt.Ifj.Sp.Alap hat.túli okt.term.tám.céltartaléka</t>
  </si>
  <si>
    <t>Kulturális Alap céltartaléka</t>
  </si>
  <si>
    <t>Egészségügyi Alap céltartaléka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</si>
  <si>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</si>
  <si>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</si>
  <si>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</si>
  <si>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</si>
  <si>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</si>
  <si>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</si>
  <si>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</si>
  <si>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Krízis alap céltartaléka</t>
  </si>
  <si>
    <t>Üzemeltetési és karbantartási céltartalék</t>
  </si>
  <si>
    <t>Szent István tér Mélygarázs Kft.műk.támogatása</t>
  </si>
  <si>
    <t>Roma Nemzetiségi Önkormányzat tám.céltart.</t>
  </si>
  <si>
    <t>Turisztikai céltartalék</t>
  </si>
  <si>
    <t xml:space="preserve">Felhalmozási célú hiteltörlesztés 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</si>
  <si>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</si>
  <si>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</si>
  <si>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</si>
  <si>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</si>
  <si>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</si>
  <si>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</si>
  <si>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</si>
  <si>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Előző évi működési célú pénzmaradvány igénybevétele</t>
  </si>
  <si>
    <t>Önkormányzat működési bevételei összesen</t>
  </si>
  <si>
    <t>Felhalmozási célú pénzmaradvány átvétele</t>
  </si>
  <si>
    <t>Előző évi felhalmozási célú pénzmaradvány igénybevétele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</si>
  <si>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</si>
  <si>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</si>
  <si>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</si>
  <si>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</si>
  <si>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</si>
  <si>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</si>
  <si>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</si>
  <si>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</si>
  <si>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</si>
  <si>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</si>
  <si>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</si>
  <si>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</si>
  <si>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</si>
  <si>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</si>
  <si>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</si>
  <si>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</si>
  <si>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</si>
  <si>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</si>
  <si>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</si>
  <si>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</si>
  <si>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</si>
  <si>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</si>
  <si>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</si>
  <si>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előző évi kiadásai</t>
  </si>
  <si>
    <t>Parkolási tevékenység tárgyévi kiadásai</t>
  </si>
  <si>
    <t>Tabán fesztivál támogatása</t>
  </si>
  <si>
    <t>Közterület-hasznosítási Társulás támogatása</t>
  </si>
  <si>
    <t>Váci utca Bevásárlónegyed Nonprofit Kft.támogatása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</si>
  <si>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</si>
  <si>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</si>
  <si>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</si>
  <si>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</si>
  <si>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</si>
  <si>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</si>
  <si>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IV/2.</t>
  </si>
  <si>
    <t>IV/3.</t>
  </si>
  <si>
    <t>Felhalmozási finanszírozási kiadások (IV/1-IV/3.)</t>
  </si>
  <si>
    <t>Önkormányzat működési támogatása</t>
  </si>
  <si>
    <t>Elvonások és befizetések bevételei</t>
  </si>
  <si>
    <t>I/1.3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</si>
  <si>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</si>
  <si>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</si>
  <si>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</si>
  <si>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</si>
  <si>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</si>
  <si>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</si>
  <si>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</si>
  <si>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</si>
  <si>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Kötvény visszavásárlás, kölcsön törlesztés</t>
  </si>
  <si>
    <t>Parkolási tevékenység továbbszámlázott bevétele és kiadása miatti korrekció</t>
  </si>
  <si>
    <t>Közép-pesti Katasztrófa-védelmi Ifjúsági verseny támogatása</t>
  </si>
  <si>
    <t>Csemadok támogatása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</si>
  <si>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</si>
  <si>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</si>
  <si>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</si>
  <si>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</si>
  <si>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Betétlekötés megszüntetése</t>
  </si>
  <si>
    <t>Pénzeszköz betétként elhelyezése</t>
  </si>
  <si>
    <t>Kiadások összesen (I.+II.+V.)</t>
  </si>
  <si>
    <t>V/1.</t>
  </si>
  <si>
    <t>Bevételek összesen (I.+II.+V.)</t>
  </si>
  <si>
    <t>Pénzeszközök betétként elhelyezése</t>
  </si>
  <si>
    <t>BLESZ, Közterület-felügyelet, Polgármesteri Hivatal összesen (2+3+4)</t>
  </si>
  <si>
    <t xml:space="preserve">Szociális intézmények, óvodák összesen </t>
  </si>
  <si>
    <t>Óvodák és szociális intézmények részére folyósított támogatás</t>
  </si>
  <si>
    <t>KLIK Budapesti V.Tankerületének támogatása</t>
  </si>
  <si>
    <t>Belváros - Lipótváros Önkormányzata és költségvetési intézményei 2014. évi zárszámadás</t>
  </si>
  <si>
    <t>Belváros - Lipótváros Önkormányzata költségvetési intézményei és a Hivatal 2014. évi zárszámadás</t>
  </si>
  <si>
    <t>Eredeti előirányzat</t>
  </si>
  <si>
    <t>Módosított előirányzat</t>
  </si>
  <si>
    <t>Teljesülés</t>
  </si>
  <si>
    <t>III/3.</t>
  </si>
  <si>
    <t>Áht-n belüli megelőlegezések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</si>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</sst>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0.0"/>
    <numFmt numFmtId="167" formatCode="#,##0.0"/>
    <numFmt numFmtId="168" formatCode="[$-40E]yyyy\.\ mmmm\ d\.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19" fillId="0" borderId="17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7" xfId="0" applyBorder="1" applyAlignment="1">
      <alignment vertical="center"/>
    </xf>
    <xf numFmtId="3" fontId="0" fillId="0" borderId="0" xfId="0" applyNumberFormat="1" applyAlignment="1">
      <alignment/>
    </xf>
    <xf numFmtId="3" fontId="19" fillId="0" borderId="13" xfId="0" applyNumberFormat="1" applyFont="1" applyFill="1" applyBorder="1" applyAlignment="1">
      <alignment vertical="center"/>
    </xf>
    <xf numFmtId="166" fontId="0" fillId="0" borderId="17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7" fontId="0" fillId="0" borderId="17" xfId="0" applyNumberFormat="1" applyFont="1" applyBorder="1" applyAlignment="1">
      <alignment vertical="center"/>
    </xf>
    <xf numFmtId="167" fontId="0" fillId="0" borderId="17" xfId="0" applyNumberForma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67" fontId="19" fillId="0" borderId="0" xfId="0" applyNumberFormat="1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3" fontId="19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21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19" fillId="0" borderId="22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3" fontId="2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167" fontId="19" fillId="0" borderId="17" xfId="0" applyNumberFormat="1" applyFont="1" applyBorder="1" applyAlignment="1">
      <alignment vertical="center"/>
    </xf>
    <xf numFmtId="3" fontId="19" fillId="0" borderId="21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9" fillId="0" borderId="24" xfId="0" applyNumberFormat="1" applyFont="1" applyFill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19" fillId="0" borderId="24" xfId="0" applyNumberFormat="1" applyFont="1" applyFill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zoomScale="92" zoomScaleNormal="92"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4.87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3" width="9.375" style="1" customWidth="1"/>
    <col min="14" max="14" width="9.00390625" style="1" customWidth="1"/>
    <col min="15" max="15" width="9.375" style="1" customWidth="1"/>
    <col min="16" max="19" width="0" style="1" hidden="1" customWidth="1"/>
    <col min="20" max="16384" width="9.125" style="1" customWidth="1"/>
  </cols>
  <sheetData>
    <row r="1" spans="1:16" ht="11.25" customHeight="1">
      <c r="A1" s="160" t="s">
        <v>191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"/>
      <c r="P1" s="2"/>
    </row>
    <row r="2" ht="7.5" customHeight="1">
      <c r="N2" s="3" t="s">
        <v>0</v>
      </c>
    </row>
    <row r="3" spans="1:14" ht="9" customHeight="1">
      <c r="A3" s="161" t="s">
        <v>1</v>
      </c>
      <c r="B3" s="161"/>
      <c r="C3" s="162">
        <v>1001</v>
      </c>
      <c r="D3" s="162"/>
      <c r="E3" s="162"/>
      <c r="F3" s="163">
        <v>1002</v>
      </c>
      <c r="G3" s="163"/>
      <c r="H3" s="163"/>
      <c r="I3" s="163">
        <v>1003</v>
      </c>
      <c r="J3" s="163"/>
      <c r="K3" s="163"/>
      <c r="L3" s="163"/>
      <c r="M3" s="163"/>
      <c r="N3" s="163"/>
    </row>
    <row r="4" spans="1:14" s="4" customFormat="1" ht="22.5" customHeight="1" thickBot="1">
      <c r="A4" s="161"/>
      <c r="B4" s="161"/>
      <c r="C4" s="164" t="s">
        <v>2</v>
      </c>
      <c r="D4" s="164"/>
      <c r="E4" s="164"/>
      <c r="F4" s="165" t="s">
        <v>3</v>
      </c>
      <c r="G4" s="165"/>
      <c r="H4" s="165"/>
      <c r="I4" s="166" t="s">
        <v>4</v>
      </c>
      <c r="J4" s="166"/>
      <c r="K4" s="166"/>
      <c r="L4" s="165" t="s">
        <v>5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>
        <v>400</v>
      </c>
      <c r="G9" s="10">
        <v>400</v>
      </c>
      <c r="H9" s="10">
        <v>0</v>
      </c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1"/>
      <c r="G10" s="11"/>
      <c r="H10" s="10"/>
      <c r="I10" s="8">
        <v>10000</v>
      </c>
      <c r="J10" s="8">
        <v>11387</v>
      </c>
      <c r="K10" s="8">
        <v>11387</v>
      </c>
      <c r="L10" s="8"/>
      <c r="M10" s="8"/>
      <c r="N10" s="8"/>
    </row>
    <row r="11" spans="1:16" ht="10.5" customHeight="1">
      <c r="A11" s="85" t="s">
        <v>10</v>
      </c>
      <c r="B11" s="3" t="s">
        <v>12</v>
      </c>
      <c r="C11" s="10">
        <v>1000</v>
      </c>
      <c r="D11" s="10">
        <v>800</v>
      </c>
      <c r="E11" s="10">
        <v>82</v>
      </c>
      <c r="F11" s="10">
        <v>1000</v>
      </c>
      <c r="G11" s="10">
        <v>1009</v>
      </c>
      <c r="H11" s="10">
        <v>328</v>
      </c>
      <c r="I11" s="8">
        <v>20000</v>
      </c>
      <c r="J11" s="8">
        <v>21496</v>
      </c>
      <c r="K11" s="8">
        <v>21470</v>
      </c>
      <c r="L11" s="8"/>
      <c r="M11" s="8"/>
      <c r="N11" s="8"/>
      <c r="P11" s="8"/>
    </row>
    <row r="12" spans="1:14" ht="10.5" customHeight="1">
      <c r="A12" s="85" t="s">
        <v>11</v>
      </c>
      <c r="B12" s="3" t="s">
        <v>14</v>
      </c>
      <c r="C12" s="10"/>
      <c r="D12" s="10"/>
      <c r="E12" s="10"/>
      <c r="F12" s="10"/>
      <c r="G12" s="10"/>
      <c r="H12" s="10"/>
      <c r="I12" s="8">
        <v>550000</v>
      </c>
      <c r="J12" s="8">
        <v>626952</v>
      </c>
      <c r="K12" s="8">
        <f>675318-66180</f>
        <v>609138</v>
      </c>
      <c r="L12" s="8">
        <v>66180</v>
      </c>
      <c r="M12" s="8">
        <v>66180</v>
      </c>
      <c r="N12" s="8">
        <v>66180</v>
      </c>
    </row>
    <row r="13" spans="1:14" ht="10.5" customHeight="1">
      <c r="A13" s="85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13"/>
      <c r="K13" s="8"/>
      <c r="L13" s="8"/>
      <c r="M13" s="8"/>
      <c r="N13" s="8"/>
    </row>
    <row r="14" spans="1:22" ht="10.5" customHeight="1">
      <c r="A14" s="14" t="s">
        <v>16</v>
      </c>
      <c r="B14" s="15" t="s">
        <v>155</v>
      </c>
      <c r="C14" s="16">
        <f>SUM(C9:C13)</f>
        <v>1000</v>
      </c>
      <c r="D14" s="16">
        <f aca="true" t="shared" si="0" ref="D14:N14">SUM(D9:D13)</f>
        <v>800</v>
      </c>
      <c r="E14" s="16">
        <f t="shared" si="0"/>
        <v>82</v>
      </c>
      <c r="F14" s="16">
        <f t="shared" si="0"/>
        <v>1400</v>
      </c>
      <c r="G14" s="16">
        <f t="shared" si="0"/>
        <v>1409</v>
      </c>
      <c r="H14" s="16">
        <f t="shared" si="0"/>
        <v>328</v>
      </c>
      <c r="I14" s="16">
        <f t="shared" si="0"/>
        <v>580000</v>
      </c>
      <c r="J14" s="16">
        <f t="shared" si="0"/>
        <v>659835</v>
      </c>
      <c r="K14" s="16">
        <f t="shared" si="0"/>
        <v>641995</v>
      </c>
      <c r="L14" s="16">
        <f t="shared" si="0"/>
        <v>66180</v>
      </c>
      <c r="M14" s="16">
        <f t="shared" si="0"/>
        <v>66180</v>
      </c>
      <c r="N14" s="16">
        <f t="shared" si="0"/>
        <v>66180</v>
      </c>
      <c r="V14" s="8"/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88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0.5" customHeight="1">
      <c r="A23" s="85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6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P24" s="8" t="e">
        <f>#REF!+#REF!</f>
        <v>#REF!</v>
      </c>
    </row>
    <row r="25" spans="1:16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P25" s="8"/>
    </row>
    <row r="26" spans="1:16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  <c r="P26" s="8"/>
    </row>
    <row r="27" spans="1:14" s="84" customFormat="1" ht="10.5" customHeight="1">
      <c r="A27" s="25"/>
      <c r="B27" s="19" t="s">
        <v>183</v>
      </c>
      <c r="C27" s="9">
        <f>SUM(C26,C18,C14)</f>
        <v>1000</v>
      </c>
      <c r="D27" s="9">
        <f aca="true" t="shared" si="5" ref="D27:N27">SUM(D26,D18,D14)</f>
        <v>800</v>
      </c>
      <c r="E27" s="9">
        <f t="shared" si="5"/>
        <v>82</v>
      </c>
      <c r="F27" s="9">
        <f t="shared" si="5"/>
        <v>1400</v>
      </c>
      <c r="G27" s="9">
        <f t="shared" si="5"/>
        <v>1409</v>
      </c>
      <c r="H27" s="9">
        <f t="shared" si="5"/>
        <v>328</v>
      </c>
      <c r="I27" s="9">
        <f t="shared" si="5"/>
        <v>580000</v>
      </c>
      <c r="J27" s="9">
        <f t="shared" si="5"/>
        <v>659835</v>
      </c>
      <c r="K27" s="9">
        <f t="shared" si="5"/>
        <v>641995</v>
      </c>
      <c r="L27" s="9">
        <f t="shared" si="5"/>
        <v>66180</v>
      </c>
      <c r="M27" s="9">
        <f t="shared" si="5"/>
        <v>66180</v>
      </c>
      <c r="N27" s="9">
        <f t="shared" si="5"/>
        <v>66180</v>
      </c>
    </row>
    <row r="28" spans="1:21" s="19" customFormat="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113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6"/>
    </row>
    <row r="31" spans="1:14" ht="10.5" customHeight="1">
      <c r="A31" s="85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6"/>
    </row>
    <row r="32" spans="1:14" s="19" customFormat="1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85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</row>
    <row r="34" spans="1:14" ht="10.5" customHeight="1">
      <c r="A34" s="85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8"/>
      <c r="M34" s="8"/>
      <c r="N34" s="18"/>
    </row>
    <row r="35" spans="1:14" ht="10.5" customHeight="1" thickBot="1">
      <c r="A35" s="85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</row>
    <row r="36" spans="1:14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</row>
    <row r="37" spans="1:14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"/>
      <c r="M37" s="8"/>
      <c r="N37" s="18"/>
    </row>
    <row r="38" spans="1:14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</row>
    <row r="39" spans="1:33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0.5" customHeight="1" thickBot="1">
      <c r="A43" s="15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0.5" customHeight="1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0.5" customHeight="1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0.5" customHeight="1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0.5" customHeight="1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0.5" customHeight="1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10.5" customHeight="1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ht="12.75" customHeight="1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2.75">
      <c r="A52" s="37"/>
      <c r="B52" s="33" t="s">
        <v>44</v>
      </c>
      <c r="C52" s="34"/>
      <c r="D52" s="34"/>
      <c r="E52" s="38"/>
      <c r="F52" s="34"/>
      <c r="G52" s="34"/>
      <c r="H52" s="38"/>
      <c r="I52" s="38"/>
      <c r="J52" s="38"/>
      <c r="K52" s="38"/>
      <c r="L52" s="34"/>
      <c r="M52" s="34"/>
      <c r="N52" s="39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33" ht="12.75">
      <c r="B53" s="3"/>
      <c r="C53" s="8"/>
      <c r="D53" s="8"/>
      <c r="E53" s="31"/>
      <c r="F53" s="8"/>
      <c r="G53" s="8"/>
      <c r="H53" s="31"/>
      <c r="I53" s="31"/>
      <c r="J53" s="31"/>
      <c r="K53" s="31"/>
      <c r="L53" s="8"/>
      <c r="M53" s="8"/>
      <c r="N53" s="31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2:14" s="8" customFormat="1" ht="12.75">
      <c r="B54" s="108"/>
      <c r="E54" s="109"/>
      <c r="H54" s="109"/>
      <c r="I54" s="109"/>
      <c r="J54" s="109"/>
      <c r="K54" s="109"/>
      <c r="N54" s="109"/>
    </row>
    <row r="55" spans="2:14" ht="12.75">
      <c r="B55" s="3"/>
      <c r="E55" s="31"/>
      <c r="H55" s="31"/>
      <c r="I55" s="31"/>
      <c r="J55" s="31"/>
      <c r="K55" s="31"/>
      <c r="N55" s="31"/>
    </row>
    <row r="56" spans="2:14" ht="12.75">
      <c r="B56" s="3"/>
      <c r="E56" s="31"/>
      <c r="H56" s="31"/>
      <c r="I56" s="31"/>
      <c r="J56" s="31"/>
      <c r="K56" s="31"/>
      <c r="N56" s="31"/>
    </row>
    <row r="57" spans="2:14" ht="12.75">
      <c r="B57" s="3"/>
      <c r="E57" s="31"/>
      <c r="H57" s="31"/>
      <c r="I57" s="31"/>
      <c r="J57" s="31"/>
      <c r="K57" s="31"/>
      <c r="N57" s="31"/>
    </row>
    <row r="58" spans="2:14" ht="12.75">
      <c r="B58" s="3"/>
      <c r="E58" s="31"/>
      <c r="H58" s="31"/>
      <c r="I58" s="31"/>
      <c r="J58" s="31"/>
      <c r="K58" s="31"/>
      <c r="N58" s="31"/>
    </row>
    <row r="59" spans="5:14" ht="12.75">
      <c r="E59" s="31"/>
      <c r="H59" s="31"/>
      <c r="I59" s="31"/>
      <c r="J59" s="31"/>
      <c r="K59" s="31"/>
      <c r="N59" s="31"/>
    </row>
  </sheetData>
  <sheetProtection selectLockedCells="1" selectUnlockedCells="1"/>
  <mergeCells count="24">
    <mergeCell ref="I4:K4"/>
    <mergeCell ref="L4:N4"/>
    <mergeCell ref="F5:F6"/>
    <mergeCell ref="G5:G6"/>
    <mergeCell ref="I5:I6"/>
    <mergeCell ref="J5:J6"/>
    <mergeCell ref="A1:N1"/>
    <mergeCell ref="A3:B6"/>
    <mergeCell ref="C3:E3"/>
    <mergeCell ref="F3:H3"/>
    <mergeCell ref="I3:N3"/>
    <mergeCell ref="C4:E4"/>
    <mergeCell ref="K5:K6"/>
    <mergeCell ref="C5:C6"/>
    <mergeCell ref="N5:N6"/>
    <mergeCell ref="F4:H4"/>
    <mergeCell ref="A8:B8"/>
    <mergeCell ref="A28:B28"/>
    <mergeCell ref="L5:L6"/>
    <mergeCell ref="M5:M6"/>
    <mergeCell ref="A7:B7"/>
    <mergeCell ref="H5:H6"/>
    <mergeCell ref="D5:D6"/>
    <mergeCell ref="E5:E6"/>
  </mergeCells>
  <printOptions horizontalCentered="1"/>
  <pageMargins left="0.27569444444444446" right="0.27569444444444446" top="0.4" bottom="0.2" header="0.16527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63">
        <v>1063</v>
      </c>
      <c r="D3" s="163"/>
      <c r="E3" s="163"/>
      <c r="F3" s="163">
        <v>1064</v>
      </c>
      <c r="G3" s="163"/>
      <c r="H3" s="163"/>
      <c r="I3" s="163">
        <v>1065</v>
      </c>
      <c r="J3" s="163"/>
      <c r="K3" s="163"/>
      <c r="L3" s="163">
        <v>1066</v>
      </c>
      <c r="M3" s="163"/>
      <c r="N3" s="163"/>
    </row>
    <row r="4" spans="1:14" s="48" customFormat="1" ht="24" customHeight="1" thickBot="1">
      <c r="A4" s="161"/>
      <c r="B4" s="161"/>
      <c r="C4" s="168" t="s">
        <v>73</v>
      </c>
      <c r="D4" s="168"/>
      <c r="E4" s="168"/>
      <c r="F4" s="168" t="s">
        <v>74</v>
      </c>
      <c r="G4" s="168"/>
      <c r="H4" s="168"/>
      <c r="I4" s="165" t="s">
        <v>75</v>
      </c>
      <c r="J4" s="165"/>
      <c r="K4" s="165"/>
      <c r="L4" s="165" t="s">
        <v>76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>
        <v>0</v>
      </c>
      <c r="D13" s="12">
        <v>7169</v>
      </c>
      <c r="E13" s="8">
        <v>6434</v>
      </c>
      <c r="F13" s="8">
        <v>0</v>
      </c>
      <c r="G13" s="8">
        <v>15870</v>
      </c>
      <c r="H13" s="8">
        <v>13171</v>
      </c>
      <c r="I13" s="8">
        <v>0</v>
      </c>
      <c r="J13" s="8">
        <v>350</v>
      </c>
      <c r="K13" s="8">
        <v>315</v>
      </c>
      <c r="L13" s="8">
        <v>787</v>
      </c>
      <c r="M13" s="8">
        <v>787</v>
      </c>
      <c r="N13" s="8">
        <v>0</v>
      </c>
      <c r="P13" s="49"/>
    </row>
    <row r="14" spans="1:14" ht="10.5" customHeigh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N14">SUM(D9:D13)</f>
        <v>7169</v>
      </c>
      <c r="E14" s="16">
        <f t="shared" si="0"/>
        <v>6434</v>
      </c>
      <c r="F14" s="16">
        <f t="shared" si="0"/>
        <v>0</v>
      </c>
      <c r="G14" s="16">
        <f t="shared" si="0"/>
        <v>15870</v>
      </c>
      <c r="H14" s="16">
        <f t="shared" si="0"/>
        <v>13171</v>
      </c>
      <c r="I14" s="16">
        <f t="shared" si="0"/>
        <v>0</v>
      </c>
      <c r="J14" s="16">
        <f t="shared" si="0"/>
        <v>350</v>
      </c>
      <c r="K14" s="16">
        <f t="shared" si="0"/>
        <v>315</v>
      </c>
      <c r="L14" s="16">
        <f t="shared" si="0"/>
        <v>787</v>
      </c>
      <c r="M14" s="16">
        <f t="shared" si="0"/>
        <v>787</v>
      </c>
      <c r="N14" s="16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5" ref="D27:N27">SUM(D26,D18,D14)</f>
        <v>7169</v>
      </c>
      <c r="E27" s="9">
        <f t="shared" si="5"/>
        <v>6434</v>
      </c>
      <c r="F27" s="9">
        <f t="shared" si="5"/>
        <v>0</v>
      </c>
      <c r="G27" s="9">
        <f t="shared" si="5"/>
        <v>15870</v>
      </c>
      <c r="H27" s="9">
        <f t="shared" si="5"/>
        <v>13171</v>
      </c>
      <c r="I27" s="9">
        <f t="shared" si="5"/>
        <v>0</v>
      </c>
      <c r="J27" s="9">
        <f t="shared" si="5"/>
        <v>350</v>
      </c>
      <c r="K27" s="9">
        <f t="shared" si="5"/>
        <v>315</v>
      </c>
      <c r="L27" s="9">
        <f t="shared" si="5"/>
        <v>787</v>
      </c>
      <c r="M27" s="9">
        <f t="shared" si="5"/>
        <v>787</v>
      </c>
      <c r="N27" s="9">
        <f t="shared" si="5"/>
        <v>0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/>
      <c r="M29" s="40"/>
      <c r="N29" s="41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40"/>
      <c r="M30" s="40"/>
      <c r="N30" s="41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40"/>
      <c r="M31" s="40"/>
      <c r="N31" s="41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40" ht="10.5" customHeigh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AA50" s="19"/>
      <c r="AB50" s="19"/>
      <c r="AC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895833333333333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6:20" ht="8.25" customHeight="1">
      <c r="F2" s="53"/>
      <c r="G2" s="53"/>
      <c r="H2" s="65"/>
      <c r="I2" s="53"/>
      <c r="J2" s="53"/>
      <c r="K2" s="53"/>
      <c r="M2" s="3" t="s">
        <v>0</v>
      </c>
      <c r="T2" s="3"/>
    </row>
    <row r="3" spans="1:14" ht="9" customHeight="1">
      <c r="A3" s="161" t="s">
        <v>1</v>
      </c>
      <c r="B3" s="161"/>
      <c r="C3" s="163">
        <v>1067</v>
      </c>
      <c r="D3" s="163"/>
      <c r="E3" s="163"/>
      <c r="F3" s="179">
        <v>1069</v>
      </c>
      <c r="G3" s="179"/>
      <c r="H3" s="179"/>
      <c r="I3" s="179">
        <v>1070</v>
      </c>
      <c r="J3" s="179"/>
      <c r="K3" s="179"/>
      <c r="L3" s="179">
        <v>1071</v>
      </c>
      <c r="M3" s="179"/>
      <c r="N3" s="179"/>
    </row>
    <row r="4" spans="1:14" s="48" customFormat="1" ht="25.5" customHeight="1" thickBot="1">
      <c r="A4" s="161"/>
      <c r="B4" s="161"/>
      <c r="C4" s="165" t="s">
        <v>78</v>
      </c>
      <c r="D4" s="165"/>
      <c r="E4" s="165"/>
      <c r="F4" s="165" t="s">
        <v>150</v>
      </c>
      <c r="G4" s="165"/>
      <c r="H4" s="165"/>
      <c r="I4" s="165" t="s">
        <v>147</v>
      </c>
      <c r="J4" s="165"/>
      <c r="K4" s="165"/>
      <c r="L4" s="165" t="s">
        <v>152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21" ht="10.5" customHeight="1">
      <c r="A13" s="4" t="s">
        <v>13</v>
      </c>
      <c r="B13" s="3" t="s">
        <v>15</v>
      </c>
      <c r="C13" s="8">
        <v>5000</v>
      </c>
      <c r="D13" s="12">
        <v>5000</v>
      </c>
      <c r="E13" s="8">
        <v>2975</v>
      </c>
      <c r="F13" s="8">
        <v>0</v>
      </c>
      <c r="G13" s="8">
        <v>3810</v>
      </c>
      <c r="H13" s="8">
        <v>3810</v>
      </c>
      <c r="I13" s="8">
        <v>410000</v>
      </c>
      <c r="J13" s="8">
        <v>310000</v>
      </c>
      <c r="K13" s="10">
        <v>284105</v>
      </c>
      <c r="L13" s="83">
        <v>286000</v>
      </c>
      <c r="M13" s="83">
        <v>0</v>
      </c>
      <c r="N13" s="83">
        <v>0</v>
      </c>
      <c r="P13" s="49"/>
      <c r="U13" s="8"/>
    </row>
    <row r="14" spans="1:14" ht="10.5" customHeight="1">
      <c r="A14" s="14" t="s">
        <v>16</v>
      </c>
      <c r="B14" s="15" t="s">
        <v>155</v>
      </c>
      <c r="C14" s="16">
        <f>SUM(C9:C13)</f>
        <v>5000</v>
      </c>
      <c r="D14" s="16">
        <f aca="true" t="shared" si="0" ref="D14:N14">SUM(D9:D13)</f>
        <v>5000</v>
      </c>
      <c r="E14" s="16">
        <f t="shared" si="0"/>
        <v>2975</v>
      </c>
      <c r="F14" s="16">
        <f t="shared" si="0"/>
        <v>0</v>
      </c>
      <c r="G14" s="16">
        <f t="shared" si="0"/>
        <v>3810</v>
      </c>
      <c r="H14" s="16">
        <f t="shared" si="0"/>
        <v>3810</v>
      </c>
      <c r="I14" s="16">
        <f t="shared" si="0"/>
        <v>410000</v>
      </c>
      <c r="J14" s="16">
        <f t="shared" si="0"/>
        <v>310000</v>
      </c>
      <c r="K14" s="16">
        <f t="shared" si="0"/>
        <v>284105</v>
      </c>
      <c r="L14" s="16">
        <f t="shared" si="0"/>
        <v>286000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83"/>
      <c r="M15" s="83"/>
      <c r="N15" s="83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3"/>
      <c r="M16" s="83"/>
      <c r="N16" s="83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3"/>
      <c r="M17" s="83"/>
      <c r="N17" s="83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7!C23+7!F23+7!I23+7!L23+8!C23+8!F23+8!I23+8!L23+9!C23+9!F23+9!I23+9!L23+'10'!C23+'10'!F23+'10'!I23+'10'!L23+'11'!C23+'11'!F23+'11'!I23</f>
        <v>0</v>
      </c>
      <c r="M23" s="9">
        <f>7!D23+7!G23+7!J23+7!M23+8!D23+8!G23+8!J23+8!M23+9!D23+9!G23+9!J23+9!M23+'10'!D23+'10'!G23+'10'!J23+'10'!M23+'11'!D23+'11'!G23+'11'!J23</f>
        <v>0</v>
      </c>
      <c r="N23" s="9">
        <f>7!E23+7!H23+7!K23+7!N23+8!E23+8!H23+8!K23+8!N23+9!E23+9!H23+9!K23+9!N23+'10'!E23+'10'!H23+'10'!K23+'10'!N23+'11'!E23+'11'!H23+'11'!K23</f>
        <v>0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5000</v>
      </c>
      <c r="D27" s="9">
        <f aca="true" t="shared" si="5" ref="D27:N27">SUM(D26,D18,D14)</f>
        <v>5000</v>
      </c>
      <c r="E27" s="9">
        <f t="shared" si="5"/>
        <v>2975</v>
      </c>
      <c r="F27" s="9">
        <f t="shared" si="5"/>
        <v>0</v>
      </c>
      <c r="G27" s="9">
        <f t="shared" si="5"/>
        <v>3810</v>
      </c>
      <c r="H27" s="9">
        <f t="shared" si="5"/>
        <v>3810</v>
      </c>
      <c r="I27" s="9">
        <f t="shared" si="5"/>
        <v>410000</v>
      </c>
      <c r="J27" s="9">
        <f t="shared" si="5"/>
        <v>310000</v>
      </c>
      <c r="K27" s="9">
        <f t="shared" si="5"/>
        <v>284105</v>
      </c>
      <c r="L27" s="9">
        <f t="shared" si="5"/>
        <v>286000</v>
      </c>
      <c r="M27" s="9">
        <f t="shared" si="5"/>
        <v>0</v>
      </c>
      <c r="N27" s="9">
        <f t="shared" si="5"/>
        <v>0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7!C29+7!F29+7!I29+7!L29+8!C29+8!F29+8!I29+8!L29+9!C29+9!F29+9!I29+9!L29+'10'!C29+'10'!F29+'10'!I29+'10'!L29+'11'!C29+'11'!F29+'11'!I29</f>
        <v>0</v>
      </c>
      <c r="M29" s="9">
        <f>7!D29+7!G29+7!J29+7!M29+8!D29+8!G29+8!J29+8!M29+9!D29+9!G29+9!J29+9!M29+'10'!D29+'10'!G29+'10'!J29+'10'!M29+'11'!D29+'11'!G29+'11'!J29</f>
        <v>0</v>
      </c>
      <c r="N29" s="9">
        <f>7!E29+7!H29+7!K29+7!N29+8!E29+8!H29+8!K29+8!N29+9!E29+9!H29+9!K29+9!N29+'10'!E29+'10'!H29+'10'!K29+'10'!N29+'11'!E29+'11'!H29+'11'!K29</f>
        <v>0</v>
      </c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9"/>
      <c r="N30" s="9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9"/>
      <c r="M31" s="9"/>
      <c r="N31" s="9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3"/>
      <c r="M33" s="83"/>
      <c r="N33" s="83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83"/>
      <c r="M34" s="83"/>
      <c r="N34" s="83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3"/>
      <c r="M35" s="83"/>
      <c r="N35" s="83"/>
    </row>
    <row r="36" spans="1:40" ht="10.5" customHeigh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3"/>
      <c r="M37" s="83"/>
      <c r="N37" s="83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83"/>
      <c r="M38" s="83"/>
      <c r="N38" s="83"/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3"/>
      <c r="M39" s="83"/>
      <c r="N39" s="83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AA50" s="19"/>
      <c r="AB50" s="19"/>
      <c r="AC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s="8" customFormat="1" ht="12.75">
      <c r="H54" s="109"/>
      <c r="K54" s="109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I4:K4"/>
    <mergeCell ref="C5:C6"/>
    <mergeCell ref="J5:J6"/>
    <mergeCell ref="K5:K6"/>
    <mergeCell ref="D5:D6"/>
    <mergeCell ref="E5:E6"/>
    <mergeCell ref="F5:F6"/>
    <mergeCell ref="G5:G6"/>
    <mergeCell ref="B1:N1"/>
    <mergeCell ref="A3:B6"/>
    <mergeCell ref="C3:E3"/>
    <mergeCell ref="F3:H3"/>
    <mergeCell ref="I3:K3"/>
    <mergeCell ref="L3:N3"/>
    <mergeCell ref="L4:N4"/>
    <mergeCell ref="N5:N6"/>
    <mergeCell ref="C4:E4"/>
    <mergeCell ref="F4:H4"/>
    <mergeCell ref="A8:B8"/>
    <mergeCell ref="A28:B28"/>
    <mergeCell ref="L5:L6"/>
    <mergeCell ref="M5:M6"/>
    <mergeCell ref="A7:B7"/>
    <mergeCell ref="H5:H6"/>
    <mergeCell ref="I5:I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10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6:20" ht="8.25" customHeight="1" thickBot="1">
      <c r="F2" s="53"/>
      <c r="G2" s="53"/>
      <c r="H2" s="65"/>
      <c r="I2" s="53"/>
      <c r="J2" s="53"/>
      <c r="K2" s="53"/>
      <c r="M2" s="3" t="s">
        <v>0</v>
      </c>
      <c r="T2" s="3"/>
    </row>
    <row r="3" spans="1:14" ht="9" customHeight="1" thickBot="1">
      <c r="A3" s="161" t="s">
        <v>1</v>
      </c>
      <c r="B3" s="161"/>
      <c r="C3" s="163">
        <v>1075</v>
      </c>
      <c r="D3" s="163"/>
      <c r="E3" s="163"/>
      <c r="F3" s="179">
        <v>1076</v>
      </c>
      <c r="G3" s="179"/>
      <c r="H3" s="179"/>
      <c r="I3" s="179">
        <v>1077</v>
      </c>
      <c r="J3" s="179"/>
      <c r="K3" s="179"/>
      <c r="L3" s="179">
        <v>1079</v>
      </c>
      <c r="M3" s="179"/>
      <c r="N3" s="179"/>
    </row>
    <row r="4" spans="1:14" s="48" customFormat="1" ht="24" customHeight="1" thickBot="1">
      <c r="A4" s="161"/>
      <c r="B4" s="161"/>
      <c r="C4" s="165" t="s">
        <v>175</v>
      </c>
      <c r="D4" s="165"/>
      <c r="E4" s="165"/>
      <c r="F4" s="165" t="s">
        <v>176</v>
      </c>
      <c r="G4" s="165"/>
      <c r="H4" s="165"/>
      <c r="I4" s="165" t="s">
        <v>177</v>
      </c>
      <c r="J4" s="165"/>
      <c r="K4" s="165"/>
      <c r="L4" s="165" t="s">
        <v>190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21" ht="10.5" customHeight="1">
      <c r="A13" s="4" t="s">
        <v>13</v>
      </c>
      <c r="B13" s="3" t="s">
        <v>15</v>
      </c>
      <c r="C13" s="8">
        <v>0</v>
      </c>
      <c r="D13" s="12">
        <v>200</v>
      </c>
      <c r="E13" s="8">
        <v>200</v>
      </c>
      <c r="F13" s="8">
        <v>0</v>
      </c>
      <c r="G13" s="8">
        <v>300</v>
      </c>
      <c r="H13" s="8">
        <v>300</v>
      </c>
      <c r="I13" s="8">
        <v>0</v>
      </c>
      <c r="J13" s="8">
        <v>21540</v>
      </c>
      <c r="K13" s="8">
        <v>21540</v>
      </c>
      <c r="L13" s="83">
        <v>0</v>
      </c>
      <c r="M13" s="83">
        <v>14312</v>
      </c>
      <c r="N13" s="83">
        <v>14312</v>
      </c>
      <c r="P13" s="49"/>
      <c r="U13" s="8"/>
    </row>
    <row r="14" spans="1:14" ht="10.5" customHeigh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N14">SUM(D9:D13)</f>
        <v>200</v>
      </c>
      <c r="E14" s="16">
        <f t="shared" si="0"/>
        <v>200</v>
      </c>
      <c r="F14" s="16">
        <f t="shared" si="0"/>
        <v>0</v>
      </c>
      <c r="G14" s="16">
        <f t="shared" si="0"/>
        <v>300</v>
      </c>
      <c r="H14" s="16">
        <f t="shared" si="0"/>
        <v>300</v>
      </c>
      <c r="I14" s="16">
        <f t="shared" si="0"/>
        <v>0</v>
      </c>
      <c r="J14" s="16">
        <f t="shared" si="0"/>
        <v>21540</v>
      </c>
      <c r="K14" s="16">
        <f t="shared" si="0"/>
        <v>21540</v>
      </c>
      <c r="L14" s="16">
        <f t="shared" si="0"/>
        <v>0</v>
      </c>
      <c r="M14" s="16">
        <f t="shared" si="0"/>
        <v>14312</v>
      </c>
      <c r="N14" s="16">
        <f t="shared" si="0"/>
        <v>14312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9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7!C23+7!F23+7!I23+7!L23+8!C23+8!F23+8!I23+8!L23+9!C23+9!F23+9!I23+9!L23+'10'!C23+'10'!F23+'10'!I23+'10'!L23+'12'!C23+'12'!F23+'12'!I23</f>
        <v>0</v>
      </c>
      <c r="M23" s="9">
        <f>7!D23+7!G23+7!J23+7!M23+8!D23+8!G23+8!J23+8!M23+9!D23+9!G23+9!J23+9!M23+'10'!D23+'10'!G23+'10'!J23+'10'!M23+'12'!D23+'12'!G23+'12'!J23</f>
        <v>0</v>
      </c>
      <c r="N23" s="9">
        <f>7!E23+7!H23+7!K23+7!N23+8!E23+8!H23+8!K23+8!N23+9!E23+9!H23+9!K23+9!N23+'10'!E23+'10'!H23+'10'!K23+'10'!N23+'12'!E23+'12'!H23+'12'!K23</f>
        <v>0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5" ref="D27:N27">SUM(D26,D18,D14)</f>
        <v>200</v>
      </c>
      <c r="E27" s="9">
        <f t="shared" si="5"/>
        <v>200</v>
      </c>
      <c r="F27" s="9">
        <f t="shared" si="5"/>
        <v>0</v>
      </c>
      <c r="G27" s="9">
        <f t="shared" si="5"/>
        <v>300</v>
      </c>
      <c r="H27" s="9">
        <f t="shared" si="5"/>
        <v>300</v>
      </c>
      <c r="I27" s="9">
        <f t="shared" si="5"/>
        <v>0</v>
      </c>
      <c r="J27" s="9">
        <f t="shared" si="5"/>
        <v>21540</v>
      </c>
      <c r="K27" s="9">
        <f t="shared" si="5"/>
        <v>21540</v>
      </c>
      <c r="L27" s="9">
        <f t="shared" si="5"/>
        <v>0</v>
      </c>
      <c r="M27" s="9">
        <f t="shared" si="5"/>
        <v>14312</v>
      </c>
      <c r="N27" s="9">
        <f t="shared" si="5"/>
        <v>14312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7!C29+7!F29+7!I29+7!L29+8!C29+8!F29+8!I29+8!L29+9!C29+9!F29+9!I29+9!L29+'10'!C29+'10'!F29+'10'!I29+'10'!L29+'12'!C29+'12'!F29+'12'!I29</f>
        <v>0</v>
      </c>
      <c r="M29" s="9">
        <f>7!D29+7!G29+7!J29+7!M29+8!D29+8!G29+8!J29+8!M29+9!D29+9!G29+9!J29+9!M29+'10'!D29+'10'!G29+'10'!J29+'10'!M29+'12'!D29+'12'!G29+'12'!J29</f>
        <v>0</v>
      </c>
      <c r="N29" s="9">
        <f>7!E29+7!H29+7!K29+7!N29+8!E29+8!H29+8!K29+8!N29+9!E29+9!H29+9!K29+9!N29+'10'!E29+'10'!H29+'10'!K29+'10'!N29+'12'!E29+'12'!H29+'12'!K29</f>
        <v>0</v>
      </c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9"/>
      <c r="N30" s="9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9"/>
      <c r="M31" s="9"/>
      <c r="N31" s="9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9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9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9"/>
    </row>
    <row r="36" spans="1:40" ht="10.5" customHeigh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9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9"/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9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AA50" s="19"/>
      <c r="AB50" s="19"/>
      <c r="AC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>
        <f>7!C51+7!F51+7!I51+7!L51+8!C51+8!F51+8!I51+8!L51+9!C51+9!F51+9!I51+9!L51+'10'!C51+'10'!F51+'10'!I51+'10'!L51+'12'!C51+'12'!F51+'12'!I51</f>
        <v>0</v>
      </c>
      <c r="M51" s="35">
        <f>7!D51+7!G51+7!J51+7!M51+8!D51+8!G51+8!J51+8!M51+9!D51+9!G51+9!J51+9!M51+'10'!D51+'10'!G51+'10'!J51+'10'!M51+'12'!D51+'12'!G51+'12'!J51</f>
        <v>0</v>
      </c>
      <c r="N51" s="36">
        <f>7!E51+7!H51+7!K51+7!N51+8!E51+8!H51+8!K51+8!N51+9!E51+9!H51+9!K51+9!N51+'10'!E51+'10'!H51+'10'!K51+'10'!N51+'12'!E51+'12'!H51+'12'!K51</f>
        <v>0</v>
      </c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7:29" ht="12.75">
      <c r="G59" s="1" t="s">
        <v>198</v>
      </c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28:B28"/>
    <mergeCell ref="L5:L6"/>
    <mergeCell ref="M5:M6"/>
    <mergeCell ref="A7:B7"/>
    <mergeCell ref="H5:H6"/>
    <mergeCell ref="J5:J6"/>
    <mergeCell ref="K5:K6"/>
    <mergeCell ref="F5:F6"/>
    <mergeCell ref="G5:G6"/>
    <mergeCell ref="L3:N3"/>
    <mergeCell ref="L4:N4"/>
    <mergeCell ref="C5:C6"/>
    <mergeCell ref="D5:D6"/>
    <mergeCell ref="E5:E6"/>
    <mergeCell ref="A8:B8"/>
    <mergeCell ref="B1:N1"/>
    <mergeCell ref="A3:B6"/>
    <mergeCell ref="C3:E3"/>
    <mergeCell ref="F3:H3"/>
    <mergeCell ref="I3:K3"/>
    <mergeCell ref="N5:N6"/>
    <mergeCell ref="C4:E4"/>
    <mergeCell ref="F4:H4"/>
    <mergeCell ref="I4:K4"/>
    <mergeCell ref="I5:I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6:20" ht="8.25" customHeight="1" thickBot="1">
      <c r="F2" s="53"/>
      <c r="G2" s="53"/>
      <c r="H2" s="65"/>
      <c r="I2" s="53"/>
      <c r="J2" s="53"/>
      <c r="K2" s="53"/>
      <c r="M2" s="3" t="s">
        <v>0</v>
      </c>
      <c r="T2" s="3"/>
    </row>
    <row r="3" spans="1:14" ht="9" customHeight="1" thickBot="1">
      <c r="A3" s="161" t="s">
        <v>1</v>
      </c>
      <c r="B3" s="161"/>
      <c r="C3" s="163"/>
      <c r="D3" s="163"/>
      <c r="E3" s="163"/>
      <c r="F3" s="179"/>
      <c r="G3" s="179"/>
      <c r="H3" s="179"/>
      <c r="I3" s="179"/>
      <c r="J3" s="179"/>
      <c r="K3" s="179"/>
      <c r="L3" s="180" t="s">
        <v>77</v>
      </c>
      <c r="M3" s="180"/>
      <c r="N3" s="180"/>
    </row>
    <row r="4" spans="1:14" s="48" customFormat="1" ht="20.25" customHeight="1" thickBot="1">
      <c r="A4" s="161"/>
      <c r="B4" s="161"/>
      <c r="C4" s="165"/>
      <c r="D4" s="165"/>
      <c r="E4" s="165"/>
      <c r="F4" s="165"/>
      <c r="G4" s="165"/>
      <c r="H4" s="165"/>
      <c r="I4" s="165"/>
      <c r="J4" s="165"/>
      <c r="K4" s="165"/>
      <c r="L4" s="180"/>
      <c r="M4" s="180"/>
      <c r="N4" s="180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>
        <f>7!C9+7!F9+7!I9+7!L9+8!C9+8!F9+8!I9+8!L9+9!C9+9!F9+9!I9+9!L9+'10'!C9+'10'!F9+'10'!I9+'10'!L9+'13'!C9+'13'!F9+'13'!I9+'11'!C9+'11'!F9+'11'!I9+'11'!L9</f>
        <v>0</v>
      </c>
      <c r="M9" s="9">
        <f>7!D9+7!G9+7!J9+7!M9+8!D9+8!G9+8!J9+8!M9+9!D9+9!G9+9!J9+9!M9+'10'!D9+'10'!G9+'10'!J9+'10'!M9+'13'!D9+'13'!G9+'13'!J9+'11'!D9+'11'!G9+'11'!J9+'11'!M9</f>
        <v>0</v>
      </c>
      <c r="N9" s="9">
        <f>7!E9+7!H9+7!K9+7!N9+8!E9+8!H9+8!K9+8!N9+9!E9+9!H9+9!K9+9!N9+'10'!E9+'10'!H9+'10'!K9+'10'!N9+'13'!E9+'13'!H9+'13'!K9+'11'!E9+'11'!H9+'11'!K9+'11'!N9</f>
        <v>0</v>
      </c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9">
        <f>7!C10+7!F10+7!I10+7!L10+8!C10+8!F10+8!I10+8!L10+9!C10+9!F10+9!I10+9!L10+'10'!C10+'10'!F10+'10'!I10+'10'!L10+'13'!C10+'13'!F10+'13'!I10+'11'!C10+'11'!F10+'11'!I10+'11'!L10</f>
        <v>0</v>
      </c>
      <c r="M10" s="9">
        <f>7!D10+7!G10+7!J10+7!M10+8!D10+8!G10+8!J10+8!M10+9!D10+9!G10+9!J10+9!M10+'10'!D10+'10'!G10+'10'!J10+'10'!M10+'13'!D10+'13'!G10+'13'!J10+'11'!D10+'11'!G10+'11'!J10+'11'!M10</f>
        <v>0</v>
      </c>
      <c r="N10" s="9">
        <f>7!E10+7!H10+7!K10+7!N10+8!E10+8!H10+8!K10+8!N10+9!E10+9!H10+9!K10+9!N10+'10'!E10+'10'!H10+'10'!K10+'10'!N10+'13'!E10+'13'!H10+'13'!K10+'11'!E10+'11'!H10+'11'!K10+'11'!N10</f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>
        <f>7!C11+7!F11+7!I11+7!L11+8!C11+8!F11+8!I11+8!L11+9!C11+9!F11+9!I11+9!L11+'10'!C11+'10'!F11+'10'!I11+'10'!L11+'13'!C11+'13'!F11+'13'!I11+'11'!C11+'11'!F11+'11'!I11+'11'!L11</f>
        <v>0</v>
      </c>
      <c r="M11" s="9">
        <f>7!D11+7!G11+7!J11+7!M11+8!D11+8!G11+8!J11+8!M11+9!D11+9!G11+9!J11+9!M11+'10'!D11+'10'!G11+'10'!J11+'10'!M11+'13'!D11+'13'!G11+'13'!J11+'11'!D11+'11'!G11+'11'!J11+'11'!M11</f>
        <v>0</v>
      </c>
      <c r="N11" s="9">
        <f>7!E11+7!H11+7!K11+7!N11+8!E11+8!H11+8!K11+8!N11+9!E11+9!H11+9!K11+9!N11+'10'!E11+'10'!H11+'10'!K11+'10'!N11+'13'!E11+'13'!H11+'13'!K11+'11'!E11+'11'!H11+'11'!K11+'11'!N11</f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>
        <f>7!C12+7!F12+7!I12+7!L12+8!C12+8!F12+8!I12+8!L12+9!C12+9!F12+9!I12+9!L12+'10'!C12+'10'!F12+'10'!I12+'10'!L12+'13'!C12+'13'!F12+'13'!I12+'11'!C12+'11'!F12+'11'!I12+'11'!L12</f>
        <v>0</v>
      </c>
      <c r="M12" s="9">
        <f>7!D12+7!G12+7!J12+7!M12+8!D12+8!G12+8!J12+8!M12+9!D12+9!G12+9!J12+9!M12+'10'!D12+'10'!G12+'10'!J12+'10'!M12+'13'!D12+'13'!G12+'13'!J12+'11'!D12+'11'!G12+'11'!J12+'11'!M12</f>
        <v>0</v>
      </c>
      <c r="N12" s="9">
        <f>7!E12+7!H12+7!K12+7!N12+8!E12+8!H12+8!K12+8!N12+9!E12+9!H12+9!K12+9!N12+'10'!E12+'10'!H12+'10'!K12+'10'!N12+'13'!E12+'13'!H12+'13'!K12+'11'!E12+'11'!H12+'11'!K12+'11'!N12</f>
        <v>0</v>
      </c>
    </row>
    <row r="13" spans="1:21" ht="10.5" customHeight="1" thickBot="1">
      <c r="A13" s="4" t="s">
        <v>13</v>
      </c>
      <c r="B13" s="3" t="s">
        <v>15</v>
      </c>
      <c r="C13" s="8"/>
      <c r="D13" s="12"/>
      <c r="E13" s="8">
        <f>SUM(C13:D13)</f>
        <v>0</v>
      </c>
      <c r="F13" s="8"/>
      <c r="G13" s="8"/>
      <c r="H13" s="8">
        <f>SUM(F13:G13)</f>
        <v>0</v>
      </c>
      <c r="I13" s="8"/>
      <c r="J13" s="8"/>
      <c r="K13" s="8">
        <f>SUM(I13:J13)</f>
        <v>0</v>
      </c>
      <c r="L13" s="9">
        <f>7!C13+7!F13+7!I13+7!L13+8!C13+8!F13+8!I13+8!L13+9!C13+9!F13+9!I13+9!L13+'10'!C13+'10'!F13+'10'!I13+'10'!L13+'13'!C13+'13'!F13+'13'!I13+'11'!C13+'11'!F13+'11'!I13+'11'!L13+'12'!C13+'12'!F13+'12'!I13+'12'!L13</f>
        <v>1057771</v>
      </c>
      <c r="M13" s="9">
        <f>7!D13+7!G13+7!J13+7!M13+8!D13+8!G13+8!J13+8!M13+9!D13+9!G13+9!J13+9!M13+'10'!D13+'10'!G13+'10'!J13+'10'!M13+'13'!D13+'13'!G13+'13'!J13+'11'!D13+'11'!G13+'11'!J13+'11'!M13+'12'!D13+'12'!G13+'12'!J13+'12'!M13</f>
        <v>910918</v>
      </c>
      <c r="N13" s="9">
        <f>7!E13+7!H13+7!K13+7!N13+8!E13+8!H13+8!K13+8!N13+9!E13+9!H13+9!K13+9!N13+'10'!E13+'10'!H13+'10'!K13+'10'!N13+'13'!E13+'13'!H13+'13'!K13+'11'!E13+'11'!H13+'11'!K13+'11'!N13+'12'!E13+'12'!H13+'12'!K13+'12'!N13</f>
        <v>848539</v>
      </c>
      <c r="P13" s="49"/>
      <c r="U13" s="8"/>
    </row>
    <row r="14" spans="1:14" ht="10.5" customHeight="1" thickBo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M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1057771</v>
      </c>
      <c r="M14" s="16">
        <f t="shared" si="0"/>
        <v>910918</v>
      </c>
      <c r="N14" s="77">
        <f>SUM(N9:N13)</f>
        <v>848539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>
        <f>7!C15+7!F15+7!I15+7!L15+8!C15+8!F15+8!I15+8!L15+9!C15+9!F15+9!I15+9!L15+'10'!C15+'10'!F15+'10'!I15+'10'!L15+'13'!C15+'13'!F15+'13'!I15+'11'!C15+'11'!F15+'11'!I15+'11'!L15</f>
        <v>0</v>
      </c>
      <c r="M15" s="9">
        <f>7!D15+7!G15+7!J15+7!M15+8!D15+8!G15+8!J15+8!M15+9!D15+9!G15+9!J15+9!M15+'10'!D15+'10'!G15+'10'!J15+'10'!M15+'13'!D15+'13'!G15+'13'!J15+'11'!D15+'11'!G15+'11'!J15+'11'!M15</f>
        <v>0</v>
      </c>
      <c r="N15" s="90">
        <f>7!E15+7!H15+7!K15+7!N15+8!E15+8!H15+8!K15+8!N15+9!E15+9!H15+9!K15+9!N15+'10'!E15+'10'!H15+'10'!K15+'10'!N15+'13'!E15+'13'!H15+'13'!K15+'11'!E15+'11'!H15+'11'!K15+'11'!N15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>7!C16+7!F16+7!I16+7!L16+8!C16+8!F16+8!I16+8!L16+9!C16+9!F16+9!I16+9!L16+'10'!C16+'10'!F16+'10'!I16+'10'!L16+'13'!C16+'13'!F16+'13'!I16+'11'!C16+'11'!F16+'11'!I16+'11'!L16</f>
        <v>0</v>
      </c>
      <c r="M16" s="9">
        <f>7!D16+7!G16+7!J16+7!M16+8!D16+8!G16+8!J16+8!M16+9!D16+9!G16+9!J16+9!M16+'10'!D16+'10'!G16+'10'!J16+'10'!M16+'13'!D16+'13'!G16+'13'!J16+'11'!D16+'11'!G16+'11'!J16+'11'!M16</f>
        <v>0</v>
      </c>
      <c r="N16" s="21">
        <f>7!E16+7!H16+7!K16+7!N16+8!E16+8!H16+8!K16+8!N16+9!E16+9!H16+9!K16+9!N16+'10'!E16+'10'!H16+'10'!K16+'10'!N16+'13'!E16+'13'!H16+'13'!K16+'11'!E16+'11'!H16+'11'!K16+'11'!N16</f>
        <v>0</v>
      </c>
    </row>
    <row r="17" spans="1:14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>7!C17+7!F17+7!I17+7!L17+8!C17+8!F17+8!I17+8!L17+9!C17+9!F17+9!I17+9!L17+'10'!C17+'10'!F17+'10'!I17+'10'!L17+'13'!C17+'13'!F17+'13'!I17+'11'!C17+'11'!F17+'11'!I17+'11'!L17</f>
        <v>0</v>
      </c>
      <c r="M17" s="9">
        <f>7!D17+7!G17+7!J17+7!M17+8!D17+8!G17+8!J17+8!M17+9!D17+9!G17+9!J17+9!M17+'10'!D17+'10'!G17+'10'!J17+'10'!M17+'13'!D17+'13'!G17+'13'!J17+'11'!D17+'11'!G17+'11'!J17+'11'!M17</f>
        <v>0</v>
      </c>
      <c r="N17" s="139">
        <f>7!E17+7!H17+7!K17+7!N17+8!E17+8!H17+8!K17+8!N17+9!E17+9!H17+9!K17+9!N17+'10'!E17+'10'!H17+'10'!K17+'10'!N17+'13'!E17+'13'!H17+'13'!K17+'11'!E17+'11'!H17+'11'!K17+'11'!N17</f>
        <v>0</v>
      </c>
    </row>
    <row r="18" spans="1:14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M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77">
        <f>7!E18+7!H18+7!K18+7!N18+8!E18+8!H18+8!K18+8!N18+9!E18+9!H18+9!K18+9!N18+'10'!E18+'10'!H18+'10'!K18+'10'!N18+'13'!E18+'13'!H18+'13'!K18+'11'!E18+'11'!H18+'11'!K18+'11'!N18</f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7">
        <f>7!E19+7!H19+7!K19+7!N19+8!E19+8!H19+8!K19+8!N19+9!E19+9!H19+9!K19+9!N19+'10'!E19+'10'!H19+'10'!K19+'10'!N19+'13'!E19+'13'!H19+'13'!K19+'11'!E19+'11'!H19+'11'!K19+'11'!N19</f>
        <v>0</v>
      </c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M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77">
        <f>7!E20+7!H20+7!K20+7!N20+8!E20+8!H20+8!K20+8!N20+9!E20+9!H20+9!K20+9!N20+'10'!E20+'10'!H20+'10'!K20+'10'!N20+'13'!E20+'13'!H20+'13'!K20+'11'!E20+'11'!H20+'11'!K20+'11'!N20</f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90">
        <f>7!E21+7!H21+7!K21+7!N21+8!E21+8!H21+8!K21+8!N21+9!E21+9!H21+9!K21+9!N21+'10'!E21+'10'!H21+'10'!K21+'10'!N21+'13'!E21+'13'!H21+'13'!K21+'11'!E21+'11'!H21+'11'!K21+'11'!N21</f>
        <v>0</v>
      </c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7!E22+7!H22+7!K22+7!N22+8!E22+8!H22+8!K22+8!N22+9!E22+9!H22+9!K22+9!N22+'10'!E22+'10'!H22+'10'!K22+'10'!N22+'13'!E22+'13'!H22+'13'!K22+'11'!E22+'11'!H22+'11'!K22+'11'!N22</f>
        <v>0</v>
      </c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7!C23+7!F23+7!I23+7!L23+8!C23+8!F23+8!I23+8!L23+9!C23+9!F23+9!I23+9!L23+'10'!C23+'10'!F23+'10'!I23+'10'!L23+'13'!C23+'13'!F23+'13'!I23</f>
        <v>0</v>
      </c>
      <c r="M23" s="9">
        <f>7!D23+7!G23+7!J23+7!M23+8!D23+8!G23+8!J23+8!M23+9!D23+9!G23+9!J23+9!M23+'10'!D23+'10'!G23+'10'!J23+'10'!M23+'13'!D23+'13'!G23+'13'!J23</f>
        <v>0</v>
      </c>
      <c r="N23" s="139">
        <f>7!E23+7!H23+7!K23+7!N23+8!E23+8!H23+8!K23+8!N23+9!E23+9!H23+9!K23+9!N23+'10'!E23+'10'!H23+'10'!K23+'10'!N23+'13'!E23+'13'!H23+'13'!K23+'11'!E23+'11'!H23+'11'!K23+'11'!N23</f>
        <v>0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M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77">
        <f>7!E24+7!H24+7!K24+7!N24+8!E24+8!H24+8!K24+8!N24+9!E24+9!H24+9!K24+9!N24+'10'!E24+'10'!H24+'10'!K24+'10'!N24+'13'!E24+'13'!H24+'13'!K24+'11'!E24+'11'!H24+'11'!K24+'11'!N24</f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7">
        <f>7!E25+7!H25+7!K25+7!N25+8!E25+8!H25+8!K25+8!N25+9!E25+9!H25+9!K25+9!N25+'10'!E25+'10'!H25+'10'!K25+'10'!N25+'13'!E25+'13'!H25+'13'!K25+'11'!E25+'11'!H25+'11'!K25+'11'!N25</f>
        <v>0</v>
      </c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M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>7!E26+7!H26+7!K26+7!N26+8!E26+8!H26+8!K26+8!N26+9!E26+9!H26+9!K26+9!N26+'10'!E26+'10'!H26+'10'!K26+'10'!N26+'13'!E26+'13'!H26+'13'!K26+'11'!E26+'11'!H26+'11'!K26+'11'!N26</f>
        <v>0</v>
      </c>
    </row>
    <row r="27" spans="1:14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5" ref="D27:M27">SUM(D26,D18,D14)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1057771</v>
      </c>
      <c r="M27" s="9">
        <f t="shared" si="5"/>
        <v>910918</v>
      </c>
      <c r="N27" s="9">
        <f>+N14+N18+N20+N24+N26</f>
        <v>848539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9">
        <f>7!E28+7!H28+7!K28+7!N28+8!E28+8!H28+8!K28+8!N28+9!E28+9!H28+9!K28+9!N28+'10'!E28+'10'!H28+'10'!K28+'10'!N28+'13'!E28+'13'!H28+'13'!K28+'11'!E28+'11'!H28+'11'!K28+'11'!N28</f>
        <v>0</v>
      </c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7!C29+7!F29+7!I29+7!L29+8!C29+8!F29+8!I29+8!L29+9!C29+9!F29+9!I29+9!L29+'10'!C29+'10'!F29+'10'!I29+'10'!L29+'13'!C29+'13'!F29+'13'!I29</f>
        <v>0</v>
      </c>
      <c r="M29" s="9">
        <f>7!D29+7!G29+7!J29+7!M29+8!D29+8!G29+8!J29+8!M29+9!D29+9!G29+9!J29+9!M29+'10'!D29+'10'!G29+'10'!J29+'10'!M29+'13'!D29+'13'!G29+'13'!J29</f>
        <v>0</v>
      </c>
      <c r="N29" s="9">
        <f>7!E29+7!H29+7!K29+7!N29+8!E29+8!H29+8!K29+8!N29+9!E29+9!H29+9!K29+9!N29+'10'!E29+'10'!H29+'10'!K29+'10'!N29+'13'!E29+'13'!H29+'13'!K29+'11'!E29+'11'!H29+'11'!K29+'11'!N29</f>
        <v>0</v>
      </c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9"/>
      <c r="N30" s="9">
        <f>7!E30+7!H30+7!K30+7!N30+8!E30+8!H30+8!K30+8!N30+9!E30+9!H30+9!K30+9!N30+'10'!E30+'10'!H30+'10'!K30+'10'!N30+'13'!E30+'13'!H30+'13'!K30+'11'!E30+'11'!H30+'11'!K30+'11'!N30</f>
        <v>0</v>
      </c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9"/>
      <c r="M31" s="9"/>
      <c r="N31" s="9">
        <f>7!E31+7!H31+7!K31+7!N31+8!E31+8!H31+8!K31+8!N31+9!E31+9!H31+9!K31+9!N31+'10'!E31+'10'!H31+'10'!K31+'10'!N31+'13'!E31+'13'!H31+'13'!K31+'11'!E31+'11'!H31+'11'!K31+'11'!N31</f>
        <v>0</v>
      </c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M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138">
        <f>7!E32+7!H32+7!K32+7!N32+8!E32+8!H32+8!K32+8!N32+9!E32+9!H32+9!K32+9!N32+'10'!E32+'10'!H32+'10'!K32+'10'!N32+'13'!E32+'13'!H32+'13'!K32+'11'!E32+'11'!H32+'11'!K32+'11'!N32</f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>
        <f>7!C33+7!F33+7!I33+7!L33+8!C33+8!F33+8!I33+8!L33+9!C33+9!F33+9!I33+9!L33+'10'!C33+'10'!F33+'10'!I33+'10'!L33+'13'!C33+'13'!F33+'13'!I33</f>
        <v>0</v>
      </c>
      <c r="M33" s="9">
        <f>7!D33+7!G33+7!J33+7!M33+8!D33+8!G33+8!J33+8!M33+9!D33+9!G33+9!J33+9!M33+'10'!D33+'10'!G33+'10'!J33+'10'!M33+'13'!D33+'13'!G33+'13'!J33</f>
        <v>0</v>
      </c>
      <c r="N33" s="9">
        <f>7!E33+7!H33+7!K33+7!N33+8!E33+8!H33+8!K33+8!N33+9!E33+9!H33+9!K33+9!N33+'10'!E33+'10'!H33+'10'!K33+'10'!N33+'13'!E33+'13'!H33+'13'!K33+'11'!E33+'11'!H33+'11'!K33+'11'!N33</f>
        <v>0</v>
      </c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>
        <f>7!C34+7!F34+7!I34+7!L34+8!C34+8!F34+8!I34+8!L34+9!C34+9!F34+9!I34+9!L34+'10'!C34+'10'!F34+'10'!I34+'10'!L34+'13'!C34+'13'!F34+'13'!I34</f>
        <v>0</v>
      </c>
      <c r="M34" s="9">
        <f>7!D34+7!G34+7!J34+7!M34+8!D34+8!G34+8!J34+8!M34+9!D34+9!G34+9!J34+9!M34+'10'!D34+'10'!G34+'10'!J34+'10'!M34+'13'!D34+'13'!G34+'13'!J34</f>
        <v>0</v>
      </c>
      <c r="N34" s="9">
        <f>7!E34+7!H34+7!K34+7!N34+8!E34+8!H34+8!K34+8!N34+9!E34+9!H34+9!K34+9!N34+'10'!E34+'10'!H34+'10'!K34+'10'!N34+'13'!E34+'13'!H34+'13'!K34+'11'!E34+'11'!H34+'11'!K34+'11'!N34</f>
        <v>0</v>
      </c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>
        <f>7!C35+7!F35+7!I35+7!L35+8!C35+8!F35+8!I35+8!L35+9!C35+9!F35+9!I35+9!L35+'10'!C35+'10'!F35+'10'!I35+'10'!L35+'13'!C35+'13'!F35+'13'!I35</f>
        <v>0</v>
      </c>
      <c r="M35" s="9">
        <f>7!D35+7!G35+7!J35+7!M35+8!D35+8!G35+8!J35+8!M35+9!D35+9!G35+9!J35+9!M35+'10'!D35+'10'!G35+'10'!J35+'10'!M35+'13'!D35+'13'!G35+'13'!J35</f>
        <v>0</v>
      </c>
      <c r="N35" s="9">
        <f>7!E35+7!H35+7!K35+7!N35+8!E35+8!H35+8!K35+8!N35+9!E35+9!H35+9!K35+9!N35+'10'!E35+'10'!H35+'10'!K35+'10'!N35+'13'!E35+'13'!H35+'13'!K35+'11'!E35+'11'!H35+'11'!K35+'11'!N35</f>
        <v>0</v>
      </c>
    </row>
    <row r="36" spans="1:40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M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77">
        <f>7!E36+7!H36+7!K36+7!N36+8!E36+8!H36+8!K36+8!N36+9!E36+9!H36+9!K36+9!N36+'10'!E36+'10'!H36+'10'!K36+'10'!N36+'13'!E36+'13'!H36+'13'!K36+'11'!E36+'11'!H36+'11'!K36+'11'!N36</f>
        <v>0</v>
      </c>
      <c r="U36" s="8"/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>
        <f>7!C37+7!F37+7!I37+7!L37+8!C37+8!F37+8!I37+8!L37+9!C37+9!F37+9!I37+9!L37+'10'!C37+'10'!F37+'10'!I37+'10'!L37+'13'!C37+'13'!F37+'13'!I37</f>
        <v>0</v>
      </c>
      <c r="M37" s="9">
        <f>7!D37+7!G37+7!J37+7!M37+8!D37+8!G37+8!J37+8!M37+9!D37+9!G37+9!J37+9!M37+'10'!D37+'10'!G37+'10'!J37+'10'!M37+'13'!D37+'13'!G37+'13'!J37</f>
        <v>0</v>
      </c>
      <c r="N37" s="90">
        <f>7!E37+7!H37+7!K37+7!N37+8!E37+8!H37+8!K37+8!N37+9!E37+9!H37+9!K37+9!N37+'10'!E37+'10'!H37+'10'!K37+'10'!N37+'13'!E37+'13'!H37+'13'!K37+'11'!E37+'11'!H37+'11'!K37+'11'!N37</f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>
        <f>7!C38+7!F38+7!I38+7!L38+8!C38+8!F38+8!I38+8!L38+9!C38+9!F38+9!I38+9!L38+'10'!C38+'10'!F38+'10'!I38+'10'!L38+'13'!C38+'13'!F38+'13'!I38</f>
        <v>0</v>
      </c>
      <c r="M38" s="9">
        <f>7!D38+7!G38+7!J38+7!M38+8!D38+8!G38+8!J38+8!M38+9!D38+9!G38+9!J38+9!M38+'10'!D38+'10'!G38+'10'!J38+'10'!M38+'13'!D38+'13'!G38+'13'!J38</f>
        <v>0</v>
      </c>
      <c r="N38" s="21">
        <f>7!E38+7!H38+7!K38+7!N38+8!E38+8!H38+8!K38+8!N38+9!E38+9!H38+9!K38+9!N38+'10'!E38+'10'!H38+'10'!K38+'10'!N38+'13'!E38+'13'!H38+'13'!K38+'11'!E38+'11'!H38+'11'!K38+'11'!N38</f>
        <v>0</v>
      </c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>
        <f>7!C39+7!F39+7!I39+7!L39+8!C39+8!F39+8!I39+8!L39+9!C39+9!F39+9!I39+9!L39+'10'!C39+'10'!F39+'10'!I39+'10'!L39+'13'!C39+'13'!F39+'13'!I39</f>
        <v>0</v>
      </c>
      <c r="M39" s="9">
        <f>7!D39+7!G39+7!J39+7!M39+8!D39+8!G39+8!J39+8!M39+9!D39+9!G39+9!J39+9!M39+'10'!D39+'10'!G39+'10'!J39+'10'!M39+'13'!D39+'13'!G39+'13'!J39</f>
        <v>0</v>
      </c>
      <c r="N39" s="139">
        <f>7!E39+7!H39+7!K39+7!N39+8!E39+8!H39+8!K39+8!N39+9!E39+9!H39+9!K39+9!N39+'10'!E39+'10'!H39+'10'!K39+'10'!N39+'13'!E39+'13'!H39+'13'!K39+'11'!E39+'11'!H39+'11'!K39+'11'!N39</f>
        <v>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M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77">
        <f>7!E40+7!H40+7!K40+7!N40+8!E40+8!H40+8!K40+8!N40+9!E40+9!H40+9!K40+9!N40+'10'!E40+'10'!H40+'10'!K40+'10'!N40+'13'!E40+'13'!H40+'13'!K40+'11'!E40+'11'!H40+'11'!K40+'11'!N40</f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77">
        <f>7!E41+7!H41+7!K41+7!N41+8!E41+8!H41+8!K41+8!N41+9!E41+9!H41+9!K41+9!N41+'10'!E41+'10'!H41+'10'!K41+'10'!N41+'13'!E41+'13'!H41+'13'!K41+'11'!E41+'11'!H41+'11'!K41+'11'!N41</f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77">
        <f>7!E42+7!H42+7!K42+7!N42+8!E42+8!H42+8!K42+8!N42+9!E42+9!H42+9!K42+9!N42+'10'!E42+'10'!H42+'10'!K42+'10'!N42+'13'!E42+'13'!H42+'13'!K42+'11'!E42+'11'!H42+'11'!K42+'11'!N42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M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77">
        <f>7!E44+7!H44+7!K44+7!N44+8!E44+8!H44+8!K44+8!N44+9!E44+9!H44+9!K44+9!N44+'10'!E44+'10'!H44+'10'!K44+'10'!N44+'13'!E44+'13'!H44+'13'!K44+'11'!E44+'11'!H44+'11'!K44+'11'!N44</f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90">
        <f>7!E45+7!H45+7!K45+7!N45+8!E45+8!H45+8!K45+8!N45+9!E45+9!H45+9!K45+9!N45+'10'!E45+'10'!H45+'10'!K45+'10'!N45+'13'!E45+'13'!H45+'13'!K45+'11'!E45+'11'!H45+'11'!K45+'11'!N45</f>
        <v>0</v>
      </c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39">
        <f>7!E46+7!H46+7!K46+7!N46+8!E46+8!H46+8!K46+8!N46+9!E46+9!H46+9!K46+9!N46+'10'!E46+'10'!H46+'10'!K46+'10'!N46+'13'!E46+'13'!H46+'13'!K46+'11'!E46+'11'!H46+'11'!K46+'11'!N46</f>
        <v>0</v>
      </c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M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>7!E47+7!H47+7!K47+7!N47+8!E47+8!H47+8!K47+8!N47+9!E47+9!H47+9!K47+9!N47+'10'!E47+'10'!H47+'10'!K47+'10'!N47+'13'!E47+'13'!H47+'13'!K47+'11'!E47+'11'!H47+'11'!K47+'11'!N47</f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77">
        <f>7!E48+7!H48+7!K48+7!N48+8!E48+8!H48+8!K48+8!N48+9!E48+9!H48+9!K48+9!N48+'10'!E48+'10'!H48+'10'!K48+'10'!N48+'13'!E48+'13'!H48+'13'!K48+'11'!E48+'11'!H48+'11'!K48+'11'!N48</f>
        <v>0</v>
      </c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M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>7!E49+7!H49+7!K49+7!N49+8!E49+8!H49+8!K49+8!N49+9!E49+9!H49+9!K49+9!N49+'10'!E49+'10'!H49+'10'!K49+'10'!N49+'13'!E49+'13'!H49+'13'!K49+'11'!E49+'11'!H49+'11'!K49+'11'!N49</f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M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77">
        <f>7!E50+7!H50+7!K50+7!N50+8!E50+8!H50+8!K50+8!N50+9!E50+9!H50+9!K50+9!N50+'10'!E50+'10'!H50+'10'!K50+'10'!N50+'13'!E50+'13'!H50+'13'!K50+'11'!E50+'11'!H50+'11'!K50+'11'!N50</f>
        <v>0</v>
      </c>
      <c r="AA50" s="19"/>
      <c r="AB50" s="19"/>
      <c r="AC50" s="19"/>
    </row>
    <row r="51" spans="1:14" ht="13.5" thickBot="1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>
        <f>7!C51+7!F51+7!I51+7!L51+8!C51+8!F51+8!I51+8!L51+9!C51+9!F51+9!I51+9!L51+'10'!C51+'10'!F51+'10'!I51+'10'!L51+'13'!C51+'13'!F51+'13'!I51</f>
        <v>0</v>
      </c>
      <c r="M51" s="35">
        <f>7!D51+7!G51+7!J51+7!M51+8!D51+8!G51+8!J51+8!M51+9!D51+9!G51+9!J51+9!M51+'10'!D51+'10'!G51+'10'!J51+'10'!M51+'13'!D51+'13'!G51+'13'!J51</f>
        <v>0</v>
      </c>
      <c r="N51" s="77">
        <f>7!E51+7!H51+7!K51+7!N51+8!E51+8!H51+8!K51+8!N51+9!E51+9!H51+9!K51+9!N51+'10'!E51+'10'!H51+'10'!K51+'10'!N51+'13'!E51+'13'!H51+'13'!K51+'11'!E51+'11'!H51+'11'!K51+'11'!N51</f>
        <v>0</v>
      </c>
    </row>
    <row r="52" spans="1:14" ht="13.5" thickBot="1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77">
        <f>7!E52+7!H52+7!K52+7!N52+8!E52+8!H52+8!K52+8!N52+9!E52+9!H52+9!K52+9!N52+'10'!E52+'10'!H52+'10'!K52+'10'!N52+'13'!E52+'13'!H52+'13'!K52+'11'!E52+'11'!H52+'11'!K52+'11'!N52</f>
        <v>0</v>
      </c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4">
    <mergeCell ref="A8:B8"/>
    <mergeCell ref="A28:B28"/>
    <mergeCell ref="J5:J6"/>
    <mergeCell ref="K5:K6"/>
    <mergeCell ref="L5:L6"/>
    <mergeCell ref="M5:M6"/>
    <mergeCell ref="N5:N6"/>
    <mergeCell ref="A7:B7"/>
    <mergeCell ref="D5:D6"/>
    <mergeCell ref="E5:E6"/>
    <mergeCell ref="F5:F6"/>
    <mergeCell ref="G5:G6"/>
    <mergeCell ref="H5:H6"/>
    <mergeCell ref="I5:I6"/>
    <mergeCell ref="B1:N1"/>
    <mergeCell ref="A3:B6"/>
    <mergeCell ref="C3:E3"/>
    <mergeCell ref="F3:H3"/>
    <mergeCell ref="I3:K3"/>
    <mergeCell ref="L3:N4"/>
    <mergeCell ref="C4:E4"/>
    <mergeCell ref="F4:H4"/>
    <mergeCell ref="I4:K4"/>
    <mergeCell ref="C5:C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75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22" width="9.625" style="1" bestFit="1" customWidth="1"/>
    <col min="23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63">
        <v>1091</v>
      </c>
      <c r="D3" s="163"/>
      <c r="E3" s="163"/>
      <c r="F3" s="163">
        <v>1092</v>
      </c>
      <c r="G3" s="163"/>
      <c r="H3" s="163"/>
      <c r="I3" s="163">
        <v>1093</v>
      </c>
      <c r="J3" s="163"/>
      <c r="K3" s="163"/>
      <c r="L3" s="163">
        <v>1094</v>
      </c>
      <c r="M3" s="163"/>
      <c r="N3" s="163"/>
    </row>
    <row r="4" spans="1:14" s="48" customFormat="1" ht="26.25" customHeight="1" thickBot="1">
      <c r="A4" s="161"/>
      <c r="B4" s="161"/>
      <c r="C4" s="168" t="s">
        <v>79</v>
      </c>
      <c r="D4" s="168"/>
      <c r="E4" s="168"/>
      <c r="F4" s="165" t="s">
        <v>80</v>
      </c>
      <c r="G4" s="165"/>
      <c r="H4" s="165"/>
      <c r="I4" s="165" t="s">
        <v>81</v>
      </c>
      <c r="J4" s="165"/>
      <c r="K4" s="165"/>
      <c r="L4" s="165" t="s">
        <v>189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16" ht="10.5" customHeight="1">
      <c r="A13" s="4" t="s">
        <v>13</v>
      </c>
      <c r="B13" s="3" t="s">
        <v>15</v>
      </c>
      <c r="C13" s="8"/>
      <c r="D13" s="12"/>
      <c r="E13" s="10"/>
      <c r="F13" s="8"/>
      <c r="G13" s="8"/>
      <c r="H13" s="8"/>
      <c r="I13" s="8">
        <v>0</v>
      </c>
      <c r="J13" s="8"/>
      <c r="K13" s="13"/>
      <c r="L13" s="8">
        <v>0</v>
      </c>
      <c r="M13" s="8"/>
      <c r="N13" s="8"/>
      <c r="P13" s="49"/>
    </row>
    <row r="14" spans="1:14" ht="10.5" customHeigh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s="97" customFormat="1" ht="10.5" customHeight="1" thickBot="1">
      <c r="A19" s="86" t="s">
        <v>23</v>
      </c>
      <c r="B19" s="95" t="s">
        <v>157</v>
      </c>
      <c r="C19" s="96">
        <v>377145</v>
      </c>
      <c r="D19" s="96">
        <v>375046</v>
      </c>
      <c r="E19" s="96">
        <v>344975</v>
      </c>
      <c r="F19" s="96">
        <v>514550</v>
      </c>
      <c r="G19" s="96">
        <v>516641</v>
      </c>
      <c r="H19" s="96">
        <v>482477</v>
      </c>
      <c r="I19" s="96">
        <v>2569686</v>
      </c>
      <c r="J19" s="96">
        <v>2599813</v>
      </c>
      <c r="K19" s="96">
        <v>2445414</v>
      </c>
      <c r="L19" s="96">
        <v>1073157</v>
      </c>
      <c r="M19" s="96">
        <v>1104158</v>
      </c>
      <c r="N19" s="96">
        <v>1053356</v>
      </c>
    </row>
    <row r="20" spans="1:22" ht="10.5" customHeight="1" thickBot="1">
      <c r="A20" s="22" t="s">
        <v>26</v>
      </c>
      <c r="B20" s="15" t="s">
        <v>158</v>
      </c>
      <c r="C20" s="16">
        <f>SUM(C19)</f>
        <v>377145</v>
      </c>
      <c r="D20" s="16">
        <f aca="true" t="shared" si="2" ref="D20:N20">SUM(D19)</f>
        <v>375046</v>
      </c>
      <c r="E20" s="16">
        <f t="shared" si="2"/>
        <v>344975</v>
      </c>
      <c r="F20" s="16">
        <f t="shared" si="2"/>
        <v>514550</v>
      </c>
      <c r="G20" s="16">
        <f t="shared" si="2"/>
        <v>516641</v>
      </c>
      <c r="H20" s="16">
        <f t="shared" si="2"/>
        <v>482477</v>
      </c>
      <c r="I20" s="16">
        <f t="shared" si="2"/>
        <v>2569686</v>
      </c>
      <c r="J20" s="16">
        <f t="shared" si="2"/>
        <v>2599813</v>
      </c>
      <c r="K20" s="16">
        <f t="shared" si="2"/>
        <v>2445414</v>
      </c>
      <c r="L20" s="16">
        <f t="shared" si="2"/>
        <v>1073157</v>
      </c>
      <c r="M20" s="16">
        <f t="shared" si="2"/>
        <v>1104158</v>
      </c>
      <c r="N20" s="16">
        <f t="shared" si="2"/>
        <v>1053356</v>
      </c>
      <c r="U20" s="8"/>
      <c r="V20" s="8"/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>
        <v>29900</v>
      </c>
      <c r="D23" s="8">
        <v>44323</v>
      </c>
      <c r="E23" s="8">
        <v>32171</v>
      </c>
      <c r="F23" s="8">
        <v>30000</v>
      </c>
      <c r="G23" s="8">
        <v>30000</v>
      </c>
      <c r="H23" s="8">
        <v>27919</v>
      </c>
      <c r="I23" s="8">
        <v>10000</v>
      </c>
      <c r="J23" s="8">
        <v>69242</v>
      </c>
      <c r="K23" s="8">
        <v>35846</v>
      </c>
      <c r="L23" s="83">
        <v>2000</v>
      </c>
      <c r="M23" s="83">
        <v>22430</v>
      </c>
      <c r="N23" s="98">
        <v>22235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29900</v>
      </c>
      <c r="D24" s="16">
        <f aca="true" t="shared" si="3" ref="D24:N24">SUM(D21:D23)</f>
        <v>44323</v>
      </c>
      <c r="E24" s="16">
        <f t="shared" si="3"/>
        <v>32171</v>
      </c>
      <c r="F24" s="16">
        <f t="shared" si="3"/>
        <v>30000</v>
      </c>
      <c r="G24" s="16">
        <f t="shared" si="3"/>
        <v>30000</v>
      </c>
      <c r="H24" s="16">
        <f t="shared" si="3"/>
        <v>27919</v>
      </c>
      <c r="I24" s="16">
        <f t="shared" si="3"/>
        <v>10000</v>
      </c>
      <c r="J24" s="16">
        <f t="shared" si="3"/>
        <v>69242</v>
      </c>
      <c r="K24" s="16">
        <f t="shared" si="3"/>
        <v>35846</v>
      </c>
      <c r="L24" s="16">
        <f t="shared" si="3"/>
        <v>2000</v>
      </c>
      <c r="M24" s="16">
        <f t="shared" si="3"/>
        <v>22430</v>
      </c>
      <c r="N24" s="16">
        <f t="shared" si="3"/>
        <v>22235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407045</v>
      </c>
      <c r="D26" s="77">
        <f aca="true" t="shared" si="4" ref="D26:N26">SUM(D20,D24,D25)</f>
        <v>419369</v>
      </c>
      <c r="E26" s="77">
        <f t="shared" si="4"/>
        <v>377146</v>
      </c>
      <c r="F26" s="77">
        <f t="shared" si="4"/>
        <v>544550</v>
      </c>
      <c r="G26" s="77">
        <f t="shared" si="4"/>
        <v>546641</v>
      </c>
      <c r="H26" s="77">
        <f t="shared" si="4"/>
        <v>510396</v>
      </c>
      <c r="I26" s="77">
        <f t="shared" si="4"/>
        <v>2579686</v>
      </c>
      <c r="J26" s="77">
        <f t="shared" si="4"/>
        <v>2669055</v>
      </c>
      <c r="K26" s="77">
        <f t="shared" si="4"/>
        <v>2481260</v>
      </c>
      <c r="L26" s="77">
        <f t="shared" si="4"/>
        <v>1075157</v>
      </c>
      <c r="M26" s="77">
        <f t="shared" si="4"/>
        <v>1126588</v>
      </c>
      <c r="N26" s="77">
        <f t="shared" si="4"/>
        <v>1075591</v>
      </c>
    </row>
    <row r="27" spans="1:14" s="19" customFormat="1" ht="10.5" customHeight="1">
      <c r="A27" s="25"/>
      <c r="B27" s="19" t="s">
        <v>183</v>
      </c>
      <c r="C27" s="9">
        <f>SUM(C26,C18,C14)</f>
        <v>407045</v>
      </c>
      <c r="D27" s="9">
        <f aca="true" t="shared" si="5" ref="D27:N27">SUM(D26,D18,D14)</f>
        <v>419369</v>
      </c>
      <c r="E27" s="9">
        <f t="shared" si="5"/>
        <v>377146</v>
      </c>
      <c r="F27" s="9">
        <f t="shared" si="5"/>
        <v>544550</v>
      </c>
      <c r="G27" s="9">
        <f t="shared" si="5"/>
        <v>546641</v>
      </c>
      <c r="H27" s="9">
        <f t="shared" si="5"/>
        <v>510396</v>
      </c>
      <c r="I27" s="9">
        <f t="shared" si="5"/>
        <v>2579686</v>
      </c>
      <c r="J27" s="9">
        <f t="shared" si="5"/>
        <v>2669055</v>
      </c>
      <c r="K27" s="9">
        <f t="shared" si="5"/>
        <v>2481260</v>
      </c>
      <c r="L27" s="9">
        <f t="shared" si="5"/>
        <v>1075157</v>
      </c>
      <c r="M27" s="9">
        <f t="shared" si="5"/>
        <v>1126588</v>
      </c>
      <c r="N27" s="9">
        <f t="shared" si="5"/>
        <v>1075591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105"/>
      <c r="M29" s="105"/>
      <c r="N29" s="133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105"/>
      <c r="M30" s="105"/>
      <c r="N30" s="133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105"/>
      <c r="M31" s="105"/>
      <c r="N31" s="133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3"/>
      <c r="M33" s="83"/>
      <c r="N33" s="98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83"/>
      <c r="M34" s="83"/>
      <c r="N34" s="98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3"/>
      <c r="M35" s="83"/>
      <c r="N35" s="98"/>
    </row>
    <row r="36" spans="1:40" ht="10.5" customHeigh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3"/>
      <c r="M37" s="83"/>
      <c r="N37" s="98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83"/>
      <c r="M38" s="83"/>
      <c r="N38" s="98"/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3"/>
      <c r="M39" s="83"/>
      <c r="N39" s="98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98"/>
      <c r="M45" s="98"/>
      <c r="N45" s="98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98"/>
      <c r="M46" s="98"/>
      <c r="N46" s="98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AA50" s="19"/>
      <c r="AB50" s="19"/>
      <c r="AC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4" ht="12.75">
      <c r="H54" s="31"/>
      <c r="I54" s="53"/>
      <c r="J54" s="53"/>
      <c r="K54" s="80"/>
      <c r="L54" s="53"/>
      <c r="M54" s="53"/>
      <c r="N54" s="53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895833333333333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58"/>
  <sheetViews>
    <sheetView zoomScale="92" zoomScaleNormal="92"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10.375" style="1" customWidth="1"/>
    <col min="7" max="8" width="9.375" style="1" customWidth="1"/>
    <col min="9" max="9" width="9.625" style="1" customWidth="1"/>
    <col min="10" max="10" width="9.25390625" style="1" customWidth="1"/>
    <col min="11" max="11" width="9.75390625" style="1" customWidth="1"/>
    <col min="12" max="12" width="10.375" style="1" customWidth="1"/>
    <col min="13" max="13" width="11.25390625" style="1" customWidth="1"/>
    <col min="14" max="14" width="10.875" style="1" customWidth="1"/>
    <col min="15" max="15" width="10.75390625" style="1" bestFit="1" customWidth="1"/>
    <col min="16" max="16" width="0" style="1" hidden="1" customWidth="1"/>
    <col min="17" max="17" width="9.125" style="1" customWidth="1"/>
    <col min="18" max="18" width="9.625" style="1" bestFit="1" customWidth="1"/>
    <col min="19" max="16384" width="9.125" style="1" customWidth="1"/>
  </cols>
  <sheetData>
    <row r="1" spans="2:16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</row>
    <row r="2" spans="8:13" ht="8.25" customHeight="1" thickBot="1">
      <c r="H2" s="3"/>
      <c r="M2" s="3" t="s">
        <v>0</v>
      </c>
    </row>
    <row r="3" spans="1:14" ht="9" customHeight="1" thickBot="1">
      <c r="A3" s="161" t="s">
        <v>1</v>
      </c>
      <c r="B3" s="161"/>
      <c r="C3" s="163">
        <v>1095</v>
      </c>
      <c r="D3" s="163"/>
      <c r="E3" s="175"/>
      <c r="F3" s="188">
        <v>1096</v>
      </c>
      <c r="G3" s="189"/>
      <c r="H3" s="190"/>
      <c r="I3" s="183" t="s">
        <v>82</v>
      </c>
      <c r="J3" s="183"/>
      <c r="K3" s="184"/>
      <c r="L3" s="181">
        <v>1000</v>
      </c>
      <c r="M3" s="181"/>
      <c r="N3" s="181"/>
    </row>
    <row r="4" spans="1:14" s="48" customFormat="1" ht="26.25" customHeight="1" thickBot="1">
      <c r="A4" s="161"/>
      <c r="B4" s="161"/>
      <c r="C4" s="168" t="s">
        <v>83</v>
      </c>
      <c r="D4" s="168"/>
      <c r="E4" s="168"/>
      <c r="F4" s="191" t="s">
        <v>151</v>
      </c>
      <c r="G4" s="192"/>
      <c r="H4" s="193"/>
      <c r="I4" s="185"/>
      <c r="J4" s="186"/>
      <c r="K4" s="187"/>
      <c r="L4" s="182" t="s">
        <v>84</v>
      </c>
      <c r="M4" s="182"/>
      <c r="N4" s="182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125">
        <f>'14'!F9+'14'!I9+'14'!L9+'15'!F9+'14'!C9+'15'!C9</f>
        <v>0</v>
      </c>
      <c r="J9" s="125">
        <f>'14'!G9+'14'!J9+'14'!M9+'15'!G9+'14'!D9+'15'!D9</f>
        <v>0</v>
      </c>
      <c r="K9" s="125">
        <f>'14'!H9+'14'!K9+'14'!N9+'15'!H9+'14'!E9+'15'!E9</f>
        <v>0</v>
      </c>
      <c r="L9" s="9">
        <f>6!L9+'11'!L9+'15'!I9</f>
        <v>3580</v>
      </c>
      <c r="M9" s="9">
        <f>6!M9+'11'!M9+'15'!J9</f>
        <v>45284</v>
      </c>
      <c r="N9" s="9">
        <f>6!N9+'11'!N9+'15'!K9</f>
        <v>43813</v>
      </c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125">
        <f>'14'!F10+'14'!I10+'14'!L10+'15'!F10+'14'!C10+'15'!C10</f>
        <v>0</v>
      </c>
      <c r="J10" s="125">
        <f>'14'!G10+'14'!J10+'14'!M10+'15'!G10+'14'!D10+'15'!D10</f>
        <v>0</v>
      </c>
      <c r="K10" s="125">
        <f>'14'!H10+'14'!K10+'14'!N10+'15'!H10+'14'!E10+'15'!E10</f>
        <v>0</v>
      </c>
      <c r="L10" s="9">
        <f>6!L10+'11'!L10+'15'!I10</f>
        <v>10894</v>
      </c>
      <c r="M10" s="9">
        <f>6!M10+'11'!M10+'15'!J10</f>
        <v>35167</v>
      </c>
      <c r="N10" s="9">
        <f>6!N10+'11'!N10+'15'!K10</f>
        <v>25271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125">
        <f>'14'!F11+'14'!I11+'14'!L11+'15'!F11+'14'!C11+'15'!C11</f>
        <v>0</v>
      </c>
      <c r="J11" s="125">
        <f>'14'!G11+'14'!J11+'14'!M11+'15'!G11+'14'!D11+'15'!D11</f>
        <v>0</v>
      </c>
      <c r="K11" s="125">
        <f>'14'!H11+'14'!K11+'14'!N11+'15'!H11+'14'!E11+'15'!E11</f>
        <v>0</v>
      </c>
      <c r="L11" s="9">
        <f>6!L11+'11'!L11+'15'!I11</f>
        <v>5706742</v>
      </c>
      <c r="M11" s="9">
        <f>6!M11+'11'!M11+'15'!J11</f>
        <v>6730271</v>
      </c>
      <c r="N11" s="9">
        <f>6!N11+'11'!N11+'15'!K11</f>
        <v>6330348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125">
        <f>'14'!F12+'14'!I12+'14'!L12+'15'!F12+'14'!C12+'15'!C12</f>
        <v>0</v>
      </c>
      <c r="J12" s="125">
        <f>'14'!G12+'14'!J12+'14'!M12+'15'!G12+'14'!D12+'15'!D12</f>
        <v>0</v>
      </c>
      <c r="K12" s="125">
        <f>'14'!H12+'14'!K12+'14'!N12+'15'!H12+'14'!E12+'15'!E12</f>
        <v>0</v>
      </c>
      <c r="L12" s="9">
        <f>6!L12+'11'!L12+'15'!I12</f>
        <v>616180</v>
      </c>
      <c r="M12" s="9">
        <f>6!M12+'11'!M12+'15'!J12</f>
        <v>711564</v>
      </c>
      <c r="N12" s="9">
        <f>6!N12+'11'!N12+'15'!K12</f>
        <v>693499</v>
      </c>
    </row>
    <row r="13" spans="1:16" ht="10.5" customHeight="1" thickBot="1">
      <c r="A13" s="4" t="s">
        <v>13</v>
      </c>
      <c r="B13" s="3" t="s">
        <v>15</v>
      </c>
      <c r="C13" s="8">
        <v>27500</v>
      </c>
      <c r="D13" s="12">
        <v>50569</v>
      </c>
      <c r="E13" s="8">
        <v>50025</v>
      </c>
      <c r="F13" s="10">
        <v>0</v>
      </c>
      <c r="G13" s="10">
        <v>46</v>
      </c>
      <c r="H13" s="10">
        <v>0</v>
      </c>
      <c r="I13" s="125">
        <f>'14'!F13+'14'!I13+'14'!L13+'15'!F13+'14'!C13+'15'!C13</f>
        <v>27500</v>
      </c>
      <c r="J13" s="125">
        <f>'14'!G13+'14'!J13+'14'!M13+'15'!G13+'14'!D13+'15'!D13</f>
        <v>50615</v>
      </c>
      <c r="K13" s="125">
        <f>'14'!H13+'14'!K13+'14'!N13+'15'!H13+'14'!E13+'15'!E13</f>
        <v>50025</v>
      </c>
      <c r="L13" s="9">
        <f>6!L13+'13'!L13+'15'!I13</f>
        <v>1095271</v>
      </c>
      <c r="M13" s="9">
        <f>6!M13+'13'!M13+'15'!J13</f>
        <v>1265454</v>
      </c>
      <c r="N13" s="9">
        <f>6!N13+'13'!N13+'15'!K13</f>
        <v>1202485</v>
      </c>
      <c r="P13" s="49"/>
    </row>
    <row r="14" spans="1:18" ht="10.5" customHeight="1" thickBot="1">
      <c r="A14" s="14" t="s">
        <v>16</v>
      </c>
      <c r="B14" s="15" t="s">
        <v>155</v>
      </c>
      <c r="C14" s="16">
        <f>SUM(C9:C13)</f>
        <v>27500</v>
      </c>
      <c r="D14" s="16">
        <f aca="true" t="shared" si="0" ref="D14:L14">SUM(D9:D13)</f>
        <v>50569</v>
      </c>
      <c r="E14" s="16">
        <f t="shared" si="0"/>
        <v>50025</v>
      </c>
      <c r="F14" s="16">
        <f t="shared" si="0"/>
        <v>0</v>
      </c>
      <c r="G14" s="16">
        <f t="shared" si="0"/>
        <v>46</v>
      </c>
      <c r="H14" s="16">
        <f t="shared" si="0"/>
        <v>0</v>
      </c>
      <c r="I14" s="94">
        <f t="shared" si="0"/>
        <v>27500</v>
      </c>
      <c r="J14" s="94">
        <f t="shared" si="0"/>
        <v>50615</v>
      </c>
      <c r="K14" s="130">
        <f>'14'!H14+'14'!K14+'14'!N14+'15'!H14+'14'!E14+'15'!E14</f>
        <v>50025</v>
      </c>
      <c r="L14" s="16">
        <f t="shared" si="0"/>
        <v>7432667</v>
      </c>
      <c r="M14" s="16">
        <f>SUM(M9:M13)</f>
        <v>8787740</v>
      </c>
      <c r="N14" s="9">
        <f>6!N14+'13'!N14+'15'!K14</f>
        <v>8295416</v>
      </c>
      <c r="O14" s="8"/>
      <c r="R14" s="8"/>
    </row>
    <row r="15" spans="1:14" ht="10.5" customHeight="1">
      <c r="A15" s="4" t="s">
        <v>17</v>
      </c>
      <c r="B15" s="3" t="s">
        <v>154</v>
      </c>
      <c r="C15" s="8"/>
      <c r="D15" s="8"/>
      <c r="E15" s="8"/>
      <c r="F15" s="10"/>
      <c r="G15" s="10"/>
      <c r="H15" s="10"/>
      <c r="I15" s="99"/>
      <c r="J15" s="99"/>
      <c r="K15" s="140">
        <f>'14'!H15+'14'!K15+'14'!N15+'15'!H15+'14'!E15+'15'!E15</f>
        <v>0</v>
      </c>
      <c r="L15" s="9">
        <f>6!L15+'11'!L15+'15'!I15</f>
        <v>0</v>
      </c>
      <c r="M15" s="9">
        <f>5!M15+'11'!M15+'15'!G15</f>
        <v>0</v>
      </c>
      <c r="N15" s="9">
        <f>6!N15+'13'!N15+'15'!K15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10"/>
      <c r="G16" s="10"/>
      <c r="H16" s="10"/>
      <c r="I16" s="99"/>
      <c r="J16" s="99"/>
      <c r="K16" s="134">
        <f>'14'!H16+'14'!K16+'14'!N16+'15'!H16+'14'!E16+'15'!E16</f>
        <v>0</v>
      </c>
      <c r="L16" s="9">
        <f>5!L16+'11'!L16+'15'!F16</f>
        <v>0</v>
      </c>
      <c r="M16" s="9">
        <f>5!M16+'11'!M16+'15'!G16</f>
        <v>0</v>
      </c>
      <c r="N16" s="9">
        <f>6!N16+'13'!N16+'15'!K16</f>
        <v>0</v>
      </c>
    </row>
    <row r="17" spans="1:14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10"/>
      <c r="G17" s="10"/>
      <c r="H17" s="10"/>
      <c r="I17" s="99"/>
      <c r="J17" s="99"/>
      <c r="K17" s="141">
        <f>'14'!H17+'14'!K17+'14'!N17+'15'!H17+'14'!E17+'15'!E17</f>
        <v>0</v>
      </c>
      <c r="L17" s="9">
        <f>5!L17+'11'!L17+'15'!F17</f>
        <v>0</v>
      </c>
      <c r="M17" s="9">
        <f>5!M17+'11'!M17+'15'!G17</f>
        <v>0</v>
      </c>
      <c r="N17" s="9">
        <f>6!N17+'13'!N17+'15'!K17</f>
        <v>0</v>
      </c>
    </row>
    <row r="18" spans="1:14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M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94">
        <f t="shared" si="1"/>
        <v>0</v>
      </c>
      <c r="J18" s="94">
        <f t="shared" si="1"/>
        <v>0</v>
      </c>
      <c r="K18" s="130">
        <f>'14'!H18+'14'!K18+'14'!N18+'15'!H18+'14'!E18+'15'!E18</f>
        <v>0</v>
      </c>
      <c r="L18" s="16">
        <f t="shared" si="1"/>
        <v>0</v>
      </c>
      <c r="M18" s="16">
        <f t="shared" si="1"/>
        <v>0</v>
      </c>
      <c r="N18" s="9">
        <f>6!N18+'13'!N18+'15'!K18</f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94">
        <f>SUM('14'!C19,'14'!F19,'14'!I19,'14'!L19)</f>
        <v>4534538</v>
      </c>
      <c r="J19" s="94">
        <f>'14'!G19+'14'!J19+'14'!M19+'15'!G19+'14'!D19+'15'!D19</f>
        <v>4595658</v>
      </c>
      <c r="K19" s="130">
        <f>'14'!H19+'14'!K19+'14'!N19+'15'!H19+'14'!E19+'15'!E19</f>
        <v>4326222</v>
      </c>
      <c r="L19" s="16">
        <f>6!L19+'12'!L19+'15'!I19</f>
        <v>4534538</v>
      </c>
      <c r="M19" s="16">
        <f>6!M19+'12'!M19+'15'!J19</f>
        <v>4595658</v>
      </c>
      <c r="N19" s="9">
        <f>6!N19+'13'!N19+'15'!K19</f>
        <v>4326222</v>
      </c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M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94">
        <f t="shared" si="2"/>
        <v>4534538</v>
      </c>
      <c r="J20" s="94">
        <f t="shared" si="2"/>
        <v>4595658</v>
      </c>
      <c r="K20" s="130">
        <f>'14'!H20+'14'!K20+'14'!N20+'15'!H20+'14'!E20+'15'!E20</f>
        <v>4326222</v>
      </c>
      <c r="L20" s="16">
        <f t="shared" si="2"/>
        <v>4534538</v>
      </c>
      <c r="M20" s="16">
        <f t="shared" si="2"/>
        <v>4595658</v>
      </c>
      <c r="N20" s="9">
        <f>6!N20+'13'!N20+'15'!K20</f>
        <v>4326222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18">
        <f>'14'!C21+'14'!F21+'14'!I21+'14'!L21+'15'!C21</f>
        <v>0</v>
      </c>
      <c r="G21" s="18">
        <f>'14'!D21+'14'!G21+'14'!J21+'14'!M21+'15'!D21</f>
        <v>0</v>
      </c>
      <c r="H21" s="18">
        <f>'14'!E21+'14'!H21+'14'!K21+'14'!N21+'15'!E21</f>
        <v>0</v>
      </c>
      <c r="I21" s="100"/>
      <c r="J21" s="100"/>
      <c r="K21" s="140">
        <f>'14'!H21+'14'!K21+'14'!N21+'15'!H21+'14'!E21+'15'!E21</f>
        <v>0</v>
      </c>
      <c r="L21" s="18">
        <f>5!L21+'11'!L21+'15'!F21</f>
        <v>0</v>
      </c>
      <c r="M21" s="18">
        <f>5!M21+'11'!M21+'15'!G21</f>
        <v>0</v>
      </c>
      <c r="N21" s="9">
        <f>6!N21+'13'!N21+'15'!K21</f>
        <v>0</v>
      </c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100"/>
      <c r="J22" s="100"/>
      <c r="K22" s="134">
        <f>'14'!H22+'14'!K22+'14'!N22+'15'!H22+'14'!E22+'15'!E22</f>
        <v>0</v>
      </c>
      <c r="L22" s="21"/>
      <c r="M22" s="21"/>
      <c r="N22" s="9">
        <f>6!N22+'13'!N22+'15'!K22</f>
        <v>0</v>
      </c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18"/>
      <c r="G23" s="18"/>
      <c r="H23" s="18">
        <f>SUM(F23:G23)</f>
        <v>0</v>
      </c>
      <c r="I23" s="99">
        <f>'14'!F23+'14'!I23+'14'!L23+'15'!F23+'14'!C23+'15'!C23</f>
        <v>71900</v>
      </c>
      <c r="J23" s="99">
        <f>'14'!G23+'14'!J23+'14'!M23+'15'!G23+'14'!D23+'15'!D23</f>
        <v>165995</v>
      </c>
      <c r="K23" s="141">
        <f>'14'!H23+'14'!K23+'14'!N23+'15'!H23+'14'!E23+'15'!E23</f>
        <v>118171</v>
      </c>
      <c r="L23" s="18">
        <f>5!L23+'11'!L23+'15'!I23</f>
        <v>71900</v>
      </c>
      <c r="M23" s="18">
        <f>5!M23+'11'!M23+'15'!J23</f>
        <v>165995</v>
      </c>
      <c r="N23" s="9">
        <f>6!N23+'13'!N23+'15'!K23</f>
        <v>118171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M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94">
        <f t="shared" si="3"/>
        <v>71900</v>
      </c>
      <c r="J24" s="94">
        <f t="shared" si="3"/>
        <v>165995</v>
      </c>
      <c r="K24" s="130">
        <f>'14'!H24+'14'!K24+'14'!N24+'15'!H24+'14'!E24+'15'!E24</f>
        <v>118171</v>
      </c>
      <c r="L24" s="16">
        <f t="shared" si="3"/>
        <v>71900</v>
      </c>
      <c r="M24" s="16">
        <f t="shared" si="3"/>
        <v>165995</v>
      </c>
      <c r="N24" s="9">
        <f>6!N24+'13'!N24+'15'!K24</f>
        <v>118171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100"/>
      <c r="J25" s="100"/>
      <c r="K25" s="130">
        <f>'14'!H25+'14'!K25+'14'!N25+'15'!H25+'14'!E25+'15'!E25</f>
        <v>0</v>
      </c>
      <c r="L25" s="21"/>
      <c r="M25" s="21"/>
      <c r="N25" s="9">
        <f>6!N25+'13'!N25+'15'!K25</f>
        <v>0</v>
      </c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M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102">
        <f>SUM(I20,I24,I25)</f>
        <v>4606438</v>
      </c>
      <c r="J26" s="102">
        <f t="shared" si="4"/>
        <v>4761653</v>
      </c>
      <c r="K26" s="130">
        <f>'14'!H26+'14'!K26+'14'!N26+'15'!H26+'14'!E26+'15'!E26</f>
        <v>4444393</v>
      </c>
      <c r="L26" s="77">
        <f t="shared" si="4"/>
        <v>4606438</v>
      </c>
      <c r="M26" s="77">
        <f t="shared" si="4"/>
        <v>4761653</v>
      </c>
      <c r="N26" s="9">
        <f>6!N26+'13'!N26+'15'!K26</f>
        <v>4444393</v>
      </c>
    </row>
    <row r="27" spans="1:15" s="19" customFormat="1" ht="10.5" customHeight="1">
      <c r="A27" s="25"/>
      <c r="B27" s="19" t="s">
        <v>183</v>
      </c>
      <c r="C27" s="9">
        <f>SUM(C26,C18,C14)</f>
        <v>27500</v>
      </c>
      <c r="D27" s="9">
        <f aca="true" t="shared" si="5" ref="D27:M27">SUM(D26,D18,D14)</f>
        <v>50569</v>
      </c>
      <c r="E27" s="9">
        <f t="shared" si="5"/>
        <v>50025</v>
      </c>
      <c r="F27" s="9">
        <f t="shared" si="5"/>
        <v>0</v>
      </c>
      <c r="G27" s="9">
        <f t="shared" si="5"/>
        <v>46</v>
      </c>
      <c r="H27" s="9">
        <f t="shared" si="5"/>
        <v>0</v>
      </c>
      <c r="I27" s="99">
        <f t="shared" si="5"/>
        <v>4633938</v>
      </c>
      <c r="J27" s="99">
        <f t="shared" si="5"/>
        <v>4812268</v>
      </c>
      <c r="K27" s="125">
        <f>'14'!H27+'14'!K27+'14'!N27+'15'!H27+'14'!E27+'15'!E27</f>
        <v>4494418</v>
      </c>
      <c r="L27" s="9">
        <f t="shared" si="5"/>
        <v>12039105</v>
      </c>
      <c r="M27" s="9">
        <f t="shared" si="5"/>
        <v>13549393</v>
      </c>
      <c r="N27" s="9">
        <f>6!N27+'13'!N27+'15'!K27</f>
        <v>12739809</v>
      </c>
      <c r="O27" s="9"/>
    </row>
    <row r="28" spans="1:21" ht="10.5" customHeight="1">
      <c r="A28" s="156" t="s">
        <v>33</v>
      </c>
      <c r="B28" s="156"/>
      <c r="C28" s="8"/>
      <c r="D28" s="8"/>
      <c r="E28" s="8"/>
      <c r="F28" s="10"/>
      <c r="G28" s="8"/>
      <c r="H28" s="8"/>
      <c r="I28" s="99"/>
      <c r="J28" s="99"/>
      <c r="K28" s="125">
        <f>'14'!H28+'14'!K28+'14'!N28+'15'!H28+'14'!E28+'15'!E28</f>
        <v>0</v>
      </c>
      <c r="L28" s="9"/>
      <c r="M28" s="9"/>
      <c r="N28" s="9">
        <f>6!N28+'11'!N28+'15'!K28</f>
        <v>0</v>
      </c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>
        <f>'14'!C29+'14'!F29+'14'!I29+'14'!L29+'15'!C29</f>
        <v>0</v>
      </c>
      <c r="G29" s="10">
        <f>'14'!D29+'14'!G29+'14'!J29+'14'!M29+'15'!D29</f>
        <v>0</v>
      </c>
      <c r="H29" s="10">
        <f>'14'!E29+'14'!H29+'14'!K29+'14'!N29+'15'!E29</f>
        <v>0</v>
      </c>
      <c r="I29" s="125"/>
      <c r="J29" s="125"/>
      <c r="K29" s="125">
        <f>'14'!H29+'14'!K29+'14'!N29+'15'!H29+'14'!E29+'15'!E29</f>
        <v>0</v>
      </c>
      <c r="L29" s="9">
        <f>6!L29+'11'!L29+'15'!I29</f>
        <v>0</v>
      </c>
      <c r="M29" s="9">
        <f>6!M29+'11'!M29+'15'!J29</f>
        <v>0</v>
      </c>
      <c r="N29" s="9">
        <f>6!N29+'11'!N29+'15'!K29</f>
        <v>0</v>
      </c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25"/>
      <c r="J30" s="125"/>
      <c r="K30" s="125">
        <f>'14'!H30+'14'!K30+'14'!N30+'15'!H30+'14'!E30+'15'!E30</f>
        <v>0</v>
      </c>
      <c r="L30" s="9">
        <f>6!L30+'11'!L30+'15'!I30</f>
        <v>0</v>
      </c>
      <c r="M30" s="9">
        <f>6!M30+'11'!M30+'15'!J30</f>
        <v>0</v>
      </c>
      <c r="N30" s="9">
        <f>6!N30+'11'!N30+'15'!K30</f>
        <v>0</v>
      </c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25"/>
      <c r="J31" s="125"/>
      <c r="K31" s="125">
        <f>'14'!H31+'14'!K31+'14'!N31+'15'!H31+'14'!E31+'15'!E31</f>
        <v>0</v>
      </c>
      <c r="L31" s="9">
        <f>6!L31+'11'!L31+'15'!I31</f>
        <v>0</v>
      </c>
      <c r="M31" s="9">
        <f>5!M31+'11'!M31+'15'!G31</f>
        <v>0</v>
      </c>
      <c r="N31" s="9">
        <f>6!N31+'11'!N31+'15'!K31</f>
        <v>0</v>
      </c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M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101">
        <f t="shared" si="6"/>
        <v>0</v>
      </c>
      <c r="J32" s="101">
        <f t="shared" si="6"/>
        <v>0</v>
      </c>
      <c r="K32" s="142">
        <f>'14'!H32+'14'!K32+'14'!N32+'15'!H32+'14'!E32+'15'!E32</f>
        <v>0</v>
      </c>
      <c r="L32" s="29">
        <f t="shared" si="6"/>
        <v>0</v>
      </c>
      <c r="M32" s="29">
        <f t="shared" si="6"/>
        <v>0</v>
      </c>
      <c r="N32" s="138">
        <f>6!N32+'11'!N32+'15'!K32</f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>
        <f>'14'!C33+'14'!F33+'14'!I33+'14'!L33+'15'!C33</f>
        <v>0</v>
      </c>
      <c r="G33" s="10">
        <f>'14'!D33+'14'!G33+'14'!J33+'14'!M33+'15'!D33</f>
        <v>0</v>
      </c>
      <c r="H33" s="10">
        <f>'14'!E33+'14'!H33+'14'!K33+'14'!N33+'15'!E33</f>
        <v>0</v>
      </c>
      <c r="I33" s="99"/>
      <c r="J33" s="125"/>
      <c r="K33" s="125">
        <f>'14'!H33+'14'!K33+'14'!N33+'15'!H33+'14'!E33+'15'!E33</f>
        <v>0</v>
      </c>
      <c r="L33" s="9">
        <f>6!L33+'11'!L33+'15'!I33</f>
        <v>0</v>
      </c>
      <c r="M33" s="9">
        <f>5!M33+'11'!M33+'15'!G33</f>
        <v>0</v>
      </c>
      <c r="N33" s="9">
        <f>6!N33+'11'!N33+'15'!K33</f>
        <v>0</v>
      </c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>
        <f>'14'!C34+'14'!F34+'14'!I34+'14'!L34+'15'!C34</f>
        <v>0</v>
      </c>
      <c r="G34" s="10">
        <f>'14'!D34+'14'!G34+'14'!J34+'14'!M34+'15'!D34</f>
        <v>0</v>
      </c>
      <c r="H34" s="10">
        <f>'14'!E34+'14'!H34+'14'!K34+'14'!N34+'15'!E34</f>
        <v>0</v>
      </c>
      <c r="I34" s="125"/>
      <c r="J34" s="125"/>
      <c r="K34" s="125">
        <f>'14'!H34+'14'!K34+'14'!N34+'15'!H34+'14'!E34+'15'!E34</f>
        <v>0</v>
      </c>
      <c r="L34" s="9">
        <f>6!L34+'11'!L34+'15'!I34</f>
        <v>0</v>
      </c>
      <c r="M34" s="9">
        <f>5!M34+'11'!M34+'15'!G34</f>
        <v>0</v>
      </c>
      <c r="N34" s="9">
        <f>6!N34+'11'!N34+'15'!K34</f>
        <v>0</v>
      </c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>
        <f>'14'!C35+'14'!F35+'14'!I35+'14'!L35+'15'!C35</f>
        <v>0</v>
      </c>
      <c r="G35" s="10">
        <f>'14'!D35+'14'!G35+'14'!J35+'14'!M35+'15'!D35</f>
        <v>0</v>
      </c>
      <c r="H35" s="10">
        <f>'14'!E35+'14'!H35+'14'!K35+'14'!N35+'15'!E35</f>
        <v>0</v>
      </c>
      <c r="I35" s="99"/>
      <c r="J35" s="125"/>
      <c r="K35" s="125">
        <f>'14'!H35+'14'!K35+'14'!N35+'15'!H35+'14'!E35+'15'!E35</f>
        <v>0</v>
      </c>
      <c r="L35" s="9">
        <f>6!L35+'11'!L35+'15'!I35</f>
        <v>0</v>
      </c>
      <c r="M35" s="9">
        <f>5!M35+'11'!M35+'15'!G35</f>
        <v>0</v>
      </c>
      <c r="N35" s="9">
        <f>6!N35+'11'!N35+'15'!K35</f>
        <v>0</v>
      </c>
    </row>
    <row r="36" spans="1:25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M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94">
        <f t="shared" si="7"/>
        <v>0</v>
      </c>
      <c r="J36" s="94">
        <f t="shared" si="7"/>
        <v>0</v>
      </c>
      <c r="K36" s="130">
        <f>'14'!H36+'14'!K36+'14'!N36+'15'!H36+'14'!E36+'15'!E36</f>
        <v>0</v>
      </c>
      <c r="L36" s="16">
        <f t="shared" si="7"/>
        <v>0</v>
      </c>
      <c r="M36" s="16">
        <f t="shared" si="7"/>
        <v>0</v>
      </c>
      <c r="N36" s="77">
        <f>6!N36+'11'!N36+'15'!K36</f>
        <v>0</v>
      </c>
      <c r="Q36" s="8"/>
      <c r="U36" s="8"/>
      <c r="V36" s="8"/>
      <c r="W36" s="8"/>
      <c r="X36" s="8"/>
      <c r="Y36" s="8"/>
    </row>
    <row r="37" spans="1:25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10">
        <f>'14'!C37+'14'!F37+'14'!I37+'14'!L37+'15'!C37</f>
        <v>0</v>
      </c>
      <c r="G37" s="10">
        <f>'14'!D37+'14'!G37+'14'!J37+'14'!M37+'15'!D37</f>
        <v>0</v>
      </c>
      <c r="H37" s="10">
        <f>'14'!E37+'14'!H37+'14'!K37+'14'!N37+'15'!E37</f>
        <v>0</v>
      </c>
      <c r="I37" s="99"/>
      <c r="J37" s="125"/>
      <c r="K37" s="125">
        <f>'14'!H37+'14'!K37+'14'!N37+'15'!H37+'14'!E37+'15'!E37</f>
        <v>0</v>
      </c>
      <c r="L37" s="9">
        <f>6!L37+'11'!L37+'15'!I37</f>
        <v>0</v>
      </c>
      <c r="M37" s="9">
        <f>5!M37+'11'!M37+'15'!G37</f>
        <v>0</v>
      </c>
      <c r="N37" s="90">
        <f>6!N37+'11'!N37+'15'!K37</f>
        <v>0</v>
      </c>
      <c r="Q37" s="8"/>
      <c r="U37" s="8"/>
      <c r="V37" s="8"/>
      <c r="W37" s="8"/>
      <c r="X37" s="8"/>
      <c r="Y37" s="8"/>
    </row>
    <row r="38" spans="1:25" ht="10.5" customHeight="1">
      <c r="A38" s="4" t="s">
        <v>18</v>
      </c>
      <c r="B38" s="3" t="s">
        <v>168</v>
      </c>
      <c r="C38" s="8"/>
      <c r="D38" s="8"/>
      <c r="E38" s="8"/>
      <c r="F38" s="10">
        <f>'14'!C38+'14'!F38+'14'!I38+'14'!L38+'15'!C38</f>
        <v>0</v>
      </c>
      <c r="G38" s="10">
        <f>'14'!D38+'14'!G38+'14'!J38+'14'!M38+'15'!D38</f>
        <v>0</v>
      </c>
      <c r="H38" s="10">
        <f>'14'!E38+'14'!H38+'14'!K38+'14'!N38+'15'!E38</f>
        <v>0</v>
      </c>
      <c r="I38" s="99"/>
      <c r="J38" s="125"/>
      <c r="K38" s="125">
        <f>'14'!H38+'14'!K38+'14'!N38+'15'!H38+'14'!E38+'15'!E38</f>
        <v>0</v>
      </c>
      <c r="L38" s="9">
        <f>6!L38+'11'!L38+'15'!I38</f>
        <v>0</v>
      </c>
      <c r="M38" s="9">
        <f>5!M38+'11'!M38+'15'!G38</f>
        <v>0</v>
      </c>
      <c r="N38" s="21">
        <f>6!N38+'11'!N38+'15'!K38</f>
        <v>0</v>
      </c>
      <c r="Q38" s="8"/>
      <c r="U38" s="8"/>
      <c r="V38" s="8"/>
      <c r="W38" s="8"/>
      <c r="X38" s="8"/>
      <c r="Y38" s="8"/>
    </row>
    <row r="39" spans="1:25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10">
        <f>'14'!C39+'14'!F39+'14'!I39+'14'!L39+'15'!C39</f>
        <v>0</v>
      </c>
      <c r="G39" s="10">
        <f>'14'!D39+'14'!G39+'14'!J39+'14'!M39+'15'!D39</f>
        <v>0</v>
      </c>
      <c r="H39" s="10">
        <f>'14'!E39+'14'!H39+'14'!K39+'14'!N39+'15'!E39</f>
        <v>0</v>
      </c>
      <c r="I39" s="99"/>
      <c r="J39" s="99"/>
      <c r="K39" s="125">
        <f>'14'!H39+'14'!K39+'14'!N39+'15'!H39+'14'!E39+'15'!E39</f>
        <v>0</v>
      </c>
      <c r="L39" s="9">
        <f>6!L39+'11'!L39+'15'!I39</f>
        <v>0</v>
      </c>
      <c r="M39" s="9">
        <f>5!M39+'11'!M39+'15'!G39</f>
        <v>0</v>
      </c>
      <c r="N39" s="139">
        <f>6!N39+'11'!N39+'15'!K39</f>
        <v>0</v>
      </c>
      <c r="Q39" s="9"/>
      <c r="U39" s="9"/>
      <c r="V39" s="9"/>
      <c r="W39" s="9"/>
      <c r="X39" s="9"/>
      <c r="Y39" s="9"/>
    </row>
    <row r="40" spans="1:16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M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94">
        <f t="shared" si="8"/>
        <v>0</v>
      </c>
      <c r="J40" s="94">
        <f t="shared" si="8"/>
        <v>0</v>
      </c>
      <c r="K40" s="130">
        <f>'14'!H40+'14'!K40+'14'!N40+'15'!H40+'14'!E40+'15'!E40</f>
        <v>0</v>
      </c>
      <c r="L40" s="16">
        <f t="shared" si="8"/>
        <v>0</v>
      </c>
      <c r="M40" s="16">
        <f t="shared" si="8"/>
        <v>0</v>
      </c>
      <c r="N40" s="77">
        <f>6!N40+'11'!N40+'15'!K40</f>
        <v>0</v>
      </c>
      <c r="O40" s="8"/>
      <c r="P40" s="8"/>
    </row>
    <row r="41" spans="1:16" ht="10.5" customHeight="1" thickBot="1">
      <c r="A41" s="30" t="s">
        <v>23</v>
      </c>
      <c r="B41" s="15" t="s">
        <v>29</v>
      </c>
      <c r="C41" s="16"/>
      <c r="D41" s="16"/>
      <c r="E41" s="16"/>
      <c r="F41" s="21"/>
      <c r="G41" s="21"/>
      <c r="H41" s="21"/>
      <c r="I41" s="126"/>
      <c r="J41" s="126"/>
      <c r="K41" s="130">
        <f>'14'!H41+'14'!K41+'14'!N41+'15'!H41+'14'!E41+'15'!E41</f>
        <v>0</v>
      </c>
      <c r="L41" s="21">
        <f>6!L41+'11'!L41+'15'!I41</f>
        <v>0</v>
      </c>
      <c r="M41" s="21">
        <f>5!M41+'11'!M41+'15'!G41</f>
        <v>0</v>
      </c>
      <c r="N41" s="77">
        <f>6!N41+'11'!N41+'15'!K41</f>
        <v>0</v>
      </c>
      <c r="O41" s="8"/>
      <c r="P41" s="8"/>
    </row>
    <row r="42" spans="1:16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94"/>
      <c r="J42" s="94"/>
      <c r="K42" s="130">
        <f>'14'!H42+'14'!K42+'14'!N42+'15'!H42+'14'!E42+'15'!E42</f>
        <v>0</v>
      </c>
      <c r="L42" s="16">
        <f>5!L42+'11'!L42+'15'!F42</f>
        <v>0</v>
      </c>
      <c r="M42" s="16">
        <f>5!M42+'11'!M42+'15'!G42</f>
        <v>0</v>
      </c>
      <c r="N42" s="77">
        <f>6!N42+'11'!N42+'15'!K42</f>
        <v>0</v>
      </c>
      <c r="O42" s="8"/>
      <c r="P42" s="8"/>
    </row>
    <row r="43" spans="1:16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94"/>
      <c r="J43" s="94"/>
      <c r="K43" s="130"/>
      <c r="L43" s="16"/>
      <c r="M43" s="16"/>
      <c r="N43" s="77"/>
      <c r="O43" s="8"/>
      <c r="P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M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94">
        <f t="shared" si="9"/>
        <v>0</v>
      </c>
      <c r="J44" s="94">
        <f t="shared" si="9"/>
        <v>0</v>
      </c>
      <c r="K44" s="130">
        <f>'14'!H44+'14'!K44+'14'!N44+'15'!H44+'14'!E44+'15'!E44</f>
        <v>0</v>
      </c>
      <c r="L44" s="16">
        <f t="shared" si="9"/>
        <v>0</v>
      </c>
      <c r="M44" s="16">
        <f t="shared" si="9"/>
        <v>0</v>
      </c>
      <c r="N44" s="77">
        <f>6!N44+'11'!N44+'15'!K44</f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100"/>
      <c r="J45" s="100"/>
      <c r="K45" s="140">
        <f>'14'!H45+'14'!K45+'14'!N45+'15'!H45+'14'!E45+'15'!E45</f>
        <v>0</v>
      </c>
      <c r="L45" s="21">
        <f>6!L45+'11'!L45+'15'!I45</f>
        <v>0</v>
      </c>
      <c r="M45" s="21">
        <f>6!M45+'11'!M45+'15'!J45</f>
        <v>0</v>
      </c>
      <c r="N45" s="90">
        <f>6!N45+'11'!N45+'15'!K45</f>
        <v>0</v>
      </c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100"/>
      <c r="J46" s="100"/>
      <c r="K46" s="141">
        <f>'14'!H46+'14'!K46+'14'!N46+'15'!H46+'14'!E46+'15'!E46</f>
        <v>0</v>
      </c>
      <c r="L46" s="21">
        <f>6!L46+'11'!L46+'15'!I46</f>
        <v>0</v>
      </c>
      <c r="M46" s="21">
        <f>6!M46+'11'!M46+'15'!J46</f>
        <v>0</v>
      </c>
      <c r="N46" s="139">
        <f>6!N46+'11'!N46+'15'!K46</f>
        <v>0</v>
      </c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M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102">
        <f t="shared" si="10"/>
        <v>0</v>
      </c>
      <c r="J47" s="102">
        <f t="shared" si="10"/>
        <v>0</v>
      </c>
      <c r="K47" s="130">
        <f>'14'!H47+'14'!K47+'14'!N47+'15'!H47+'14'!E47+'15'!E47</f>
        <v>0</v>
      </c>
      <c r="L47" s="77">
        <f t="shared" si="10"/>
        <v>0</v>
      </c>
      <c r="M47" s="77">
        <f t="shared" si="10"/>
        <v>0</v>
      </c>
      <c r="N47" s="77">
        <f>6!N47+'11'!N47+'15'!K47</f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100"/>
      <c r="J48" s="100"/>
      <c r="K48" s="130">
        <f>'14'!H48+'14'!K48+'14'!N48+'15'!H48+'14'!E48+'15'!E48</f>
        <v>0</v>
      </c>
      <c r="L48" s="21"/>
      <c r="M48" s="21"/>
      <c r="N48" s="77">
        <f>6!N48+'11'!N48+'15'!K48</f>
        <v>0</v>
      </c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M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102">
        <f t="shared" si="11"/>
        <v>0</v>
      </c>
      <c r="J49" s="102">
        <f t="shared" si="11"/>
        <v>0</v>
      </c>
      <c r="K49" s="130">
        <f>'14'!H49+'14'!K49+'14'!N49+'15'!H49+'14'!E49+'15'!E49</f>
        <v>0</v>
      </c>
      <c r="L49" s="77">
        <f t="shared" si="11"/>
        <v>0</v>
      </c>
      <c r="M49" s="77">
        <f t="shared" si="11"/>
        <v>0</v>
      </c>
      <c r="N49" s="77">
        <f>6!N49+'11'!N49+'15'!K49</f>
        <v>0</v>
      </c>
    </row>
    <row r="50" spans="1:14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M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9">
        <f t="shared" si="12"/>
        <v>0</v>
      </c>
      <c r="J50" s="99">
        <f t="shared" si="12"/>
        <v>0</v>
      </c>
      <c r="K50" s="130">
        <f>'14'!H50+'14'!K50+'14'!N50+'15'!H50+'14'!E50+'15'!E50</f>
        <v>0</v>
      </c>
      <c r="L50" s="9">
        <f t="shared" si="12"/>
        <v>0</v>
      </c>
      <c r="M50" s="9">
        <f t="shared" si="12"/>
        <v>0</v>
      </c>
      <c r="N50" s="77">
        <f>6!N50+'11'!N50+'15'!K50</f>
        <v>0</v>
      </c>
    </row>
    <row r="51" spans="1:14" ht="13.5" thickBot="1">
      <c r="A51" s="32"/>
      <c r="B51" s="33" t="s">
        <v>43</v>
      </c>
      <c r="C51" s="34"/>
      <c r="D51" s="34"/>
      <c r="E51" s="34"/>
      <c r="F51" s="34"/>
      <c r="G51" s="34"/>
      <c r="H51" s="34"/>
      <c r="I51" s="103"/>
      <c r="J51" s="103"/>
      <c r="K51" s="130">
        <f>'14'!H51+'14'!K51+'14'!N51+'15'!H51+'14'!E51+'15'!E51</f>
        <v>0</v>
      </c>
      <c r="L51" s="35">
        <f>5!L51+'11'!L51+'15'!F51</f>
        <v>0</v>
      </c>
      <c r="M51" s="35">
        <f>5!M51+'11'!M51+'15'!G51</f>
        <v>0</v>
      </c>
      <c r="N51" s="77">
        <f>6!N51+'11'!N51+'15'!K51</f>
        <v>0</v>
      </c>
    </row>
    <row r="52" spans="1:14" ht="13.5" thickBot="1">
      <c r="A52" s="37"/>
      <c r="B52" s="33" t="s">
        <v>44</v>
      </c>
      <c r="C52" s="42"/>
      <c r="D52" s="42"/>
      <c r="E52" s="42"/>
      <c r="F52" s="42"/>
      <c r="G52" s="42"/>
      <c r="H52" s="38"/>
      <c r="I52" s="104"/>
      <c r="J52" s="104"/>
      <c r="K52" s="130">
        <f>'14'!H52+'14'!K52+'14'!N52+'15'!H52+'14'!E52+'15'!E52</f>
        <v>0</v>
      </c>
      <c r="L52" s="33">
        <f>5!L52+'11'!L52+'15'!F52</f>
        <v>0</v>
      </c>
      <c r="M52" s="33">
        <f>5!M52+'11'!M52+'15'!G52</f>
        <v>0</v>
      </c>
      <c r="N52" s="77">
        <f>6!N52+'11'!N52+'15'!K52</f>
        <v>0</v>
      </c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</sheetData>
  <sheetProtection selectLockedCells="1" selectUnlockedCells="1"/>
  <mergeCells count="24">
    <mergeCell ref="B1:N1"/>
    <mergeCell ref="A3:B6"/>
    <mergeCell ref="C3:E3"/>
    <mergeCell ref="L3:N3"/>
    <mergeCell ref="C4:E4"/>
    <mergeCell ref="L4:N4"/>
    <mergeCell ref="C5:C6"/>
    <mergeCell ref="I3:K4"/>
    <mergeCell ref="F3:H3"/>
    <mergeCell ref="F4:H4"/>
    <mergeCell ref="M5:M6"/>
    <mergeCell ref="N5:N6"/>
    <mergeCell ref="A7:B7"/>
    <mergeCell ref="H5:H6"/>
    <mergeCell ref="I5:I6"/>
    <mergeCell ref="J5:J6"/>
    <mergeCell ref="K5:K6"/>
    <mergeCell ref="D5:D6"/>
    <mergeCell ref="A28:B28"/>
    <mergeCell ref="L5:L6"/>
    <mergeCell ref="A8:B8"/>
    <mergeCell ref="E5:E6"/>
    <mergeCell ref="F5:F6"/>
    <mergeCell ref="G5:G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6"/>
  <sheetViews>
    <sheetView tabSelected="1" zoomScale="92" zoomScaleNormal="92" zoomScalePageLayoutView="0" workbookViewId="0" topLeftCell="A1">
      <pane ySplit="7" topLeftCell="A8" activePane="bottomLeft" state="frozen"/>
      <selection pane="topLeft" activeCell="M17" sqref="M17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6384" width="9.125" style="1" customWidth="1"/>
  </cols>
  <sheetData>
    <row r="1" spans="2:16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</row>
    <row r="2" spans="8:13" ht="8.25" customHeight="1">
      <c r="H2" s="3"/>
      <c r="M2" s="3" t="s">
        <v>0</v>
      </c>
    </row>
    <row r="3" spans="1:14" ht="9" customHeight="1">
      <c r="A3" s="161" t="s">
        <v>1</v>
      </c>
      <c r="B3" s="161"/>
      <c r="C3" s="163">
        <v>1101</v>
      </c>
      <c r="D3" s="163"/>
      <c r="E3" s="163"/>
      <c r="F3" s="163">
        <v>1102</v>
      </c>
      <c r="G3" s="163"/>
      <c r="H3" s="163"/>
      <c r="I3" s="163">
        <v>1103</v>
      </c>
      <c r="J3" s="163"/>
      <c r="K3" s="163"/>
      <c r="L3" s="163">
        <v>1104</v>
      </c>
      <c r="M3" s="163"/>
      <c r="N3" s="163"/>
    </row>
    <row r="4" spans="1:14" s="48" customFormat="1" ht="24" customHeight="1" thickBot="1">
      <c r="A4" s="161"/>
      <c r="B4" s="161"/>
      <c r="C4" s="168" t="s">
        <v>85</v>
      </c>
      <c r="D4" s="168"/>
      <c r="E4" s="168"/>
      <c r="F4" s="165" t="s">
        <v>86</v>
      </c>
      <c r="G4" s="165"/>
      <c r="H4" s="165"/>
      <c r="I4" s="165" t="s">
        <v>87</v>
      </c>
      <c r="J4" s="165"/>
      <c r="K4" s="165"/>
      <c r="L4" s="165" t="s">
        <v>88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/>
      <c r="M13" s="9"/>
      <c r="N13" s="9"/>
      <c r="P13" s="49"/>
    </row>
    <row r="14" spans="1:14" ht="10.5" customHeigh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154</v>
      </c>
      <c r="C15" s="8">
        <v>6038002</v>
      </c>
      <c r="D15" s="8">
        <v>8517555</v>
      </c>
      <c r="E15" s="8">
        <f>7379307+23+195+843+1+2288</f>
        <v>7382657</v>
      </c>
      <c r="F15" s="8"/>
      <c r="G15" s="8"/>
      <c r="H15" s="8"/>
      <c r="I15" s="8"/>
      <c r="J15" s="8"/>
      <c r="K15" s="8"/>
      <c r="L15" s="9"/>
      <c r="M15" s="9"/>
      <c r="N15" s="98">
        <v>3086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13">
        <v>738033</v>
      </c>
      <c r="G16" s="8">
        <v>1099350</v>
      </c>
      <c r="H16" s="13">
        <f>855347-2288</f>
        <v>853059</v>
      </c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>
        <v>344750</v>
      </c>
      <c r="J17" s="8">
        <v>1044063</v>
      </c>
      <c r="K17" s="8">
        <v>524911</v>
      </c>
      <c r="L17" s="8">
        <v>0</v>
      </c>
      <c r="M17" s="8">
        <v>3086</v>
      </c>
      <c r="N17" s="18">
        <f>3086-3086</f>
        <v>0</v>
      </c>
    </row>
    <row r="18" spans="1:14" ht="10.5" customHeight="1">
      <c r="A18" s="14" t="s">
        <v>22</v>
      </c>
      <c r="B18" s="15" t="s">
        <v>156</v>
      </c>
      <c r="C18" s="16">
        <f>SUM(C15:C17)</f>
        <v>6038002</v>
      </c>
      <c r="D18" s="16">
        <f aca="true" t="shared" si="1" ref="D18:N18">SUM(D15:D17)</f>
        <v>8517555</v>
      </c>
      <c r="E18" s="16">
        <f t="shared" si="1"/>
        <v>7382657</v>
      </c>
      <c r="F18" s="16">
        <f t="shared" si="1"/>
        <v>738033</v>
      </c>
      <c r="G18" s="16">
        <f t="shared" si="1"/>
        <v>1099350</v>
      </c>
      <c r="H18" s="16">
        <f t="shared" si="1"/>
        <v>853059</v>
      </c>
      <c r="I18" s="16">
        <f t="shared" si="1"/>
        <v>344750</v>
      </c>
      <c r="J18" s="16">
        <f t="shared" si="1"/>
        <v>1044063</v>
      </c>
      <c r="K18" s="16">
        <f t="shared" si="1"/>
        <v>524911</v>
      </c>
      <c r="L18" s="16">
        <f t="shared" si="1"/>
        <v>0</v>
      </c>
      <c r="M18" s="16">
        <f t="shared" si="1"/>
        <v>3086</v>
      </c>
      <c r="N18" s="16">
        <f t="shared" si="1"/>
        <v>3086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6038002</v>
      </c>
      <c r="D27" s="9">
        <f aca="true" t="shared" si="5" ref="D27:N27">SUM(D26,D18,D14)</f>
        <v>8517555</v>
      </c>
      <c r="E27" s="9">
        <f t="shared" si="5"/>
        <v>7382657</v>
      </c>
      <c r="F27" s="9">
        <f t="shared" si="5"/>
        <v>738033</v>
      </c>
      <c r="G27" s="9">
        <f t="shared" si="5"/>
        <v>1099350</v>
      </c>
      <c r="H27" s="9">
        <f t="shared" si="5"/>
        <v>853059</v>
      </c>
      <c r="I27" s="9">
        <f t="shared" si="5"/>
        <v>344750</v>
      </c>
      <c r="J27" s="9">
        <f t="shared" si="5"/>
        <v>1044063</v>
      </c>
      <c r="K27" s="9">
        <f t="shared" si="5"/>
        <v>524911</v>
      </c>
      <c r="L27" s="9">
        <f t="shared" si="5"/>
        <v>0</v>
      </c>
      <c r="M27" s="9">
        <f t="shared" si="5"/>
        <v>3086</v>
      </c>
      <c r="N27" s="9">
        <f t="shared" si="5"/>
        <v>3086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/>
      <c r="M29" s="40"/>
      <c r="N29" s="41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40"/>
      <c r="M30" s="40"/>
      <c r="N30" s="41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40"/>
      <c r="M31" s="40"/>
      <c r="N31" s="41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32" ht="10.5" customHeigh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V36" s="8"/>
      <c r="W36" s="8"/>
      <c r="X36" s="8"/>
      <c r="AB36" s="8"/>
      <c r="AC36" s="8"/>
      <c r="AD36" s="8"/>
      <c r="AE36" s="8"/>
      <c r="AF36" s="8"/>
    </row>
    <row r="37" spans="1:32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V37" s="8"/>
      <c r="W37" s="8"/>
      <c r="X37" s="8"/>
      <c r="AB37" s="8"/>
      <c r="AC37" s="8"/>
      <c r="AD37" s="8"/>
      <c r="AE37" s="8"/>
      <c r="AF37" s="8"/>
    </row>
    <row r="38" spans="1:32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V38" s="8"/>
      <c r="W38" s="8"/>
      <c r="X38" s="8"/>
      <c r="AB38" s="8"/>
      <c r="AC38" s="8"/>
      <c r="AD38" s="8"/>
      <c r="AE38" s="8"/>
      <c r="AF38" s="8"/>
    </row>
    <row r="39" spans="1:32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V39" s="9"/>
      <c r="W39" s="9"/>
      <c r="X39" s="9"/>
      <c r="AB39" s="9"/>
      <c r="AC39" s="9"/>
      <c r="AD39" s="9"/>
      <c r="AE39" s="9"/>
      <c r="AF39" s="9"/>
    </row>
    <row r="40" spans="1:23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V40" s="8"/>
      <c r="W40" s="8"/>
    </row>
    <row r="41" spans="1:23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V41" s="8"/>
      <c r="W41" s="8"/>
    </row>
    <row r="42" spans="1:23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V42" s="8"/>
      <c r="W42" s="8"/>
    </row>
    <row r="43" spans="1:23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V43" s="8"/>
      <c r="W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1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S50" s="19"/>
      <c r="T50" s="19"/>
      <c r="U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19:21" ht="12.75">
      <c r="S59" s="8"/>
      <c r="T59" s="8"/>
      <c r="U59" s="8"/>
    </row>
    <row r="60" spans="19:21" ht="12.75">
      <c r="S60" s="8"/>
      <c r="T60" s="8"/>
      <c r="U60" s="8"/>
    </row>
    <row r="61" spans="19:21" ht="12.75">
      <c r="S61" s="8"/>
      <c r="T61" s="8"/>
      <c r="U61" s="8"/>
    </row>
    <row r="62" spans="19:21" ht="12.75">
      <c r="S62" s="8"/>
      <c r="T62" s="8"/>
      <c r="U62" s="8"/>
    </row>
    <row r="63" spans="19:21" ht="12.75">
      <c r="S63" s="9"/>
      <c r="T63" s="9"/>
      <c r="U63" s="9"/>
    </row>
    <row r="64" spans="19:21" ht="12.75">
      <c r="S64" s="9"/>
      <c r="T64" s="9"/>
      <c r="U64" s="9"/>
    </row>
    <row r="65" spans="19:21" ht="12.75">
      <c r="S65" s="8"/>
      <c r="T65" s="8"/>
      <c r="U65" s="8"/>
    </row>
    <row r="66" spans="19:21" ht="12.75">
      <c r="S66" s="8"/>
      <c r="T66" s="8"/>
      <c r="U66" s="8"/>
    </row>
    <row r="67" spans="19:21" ht="12.75">
      <c r="S67" s="8"/>
      <c r="T67" s="8"/>
      <c r="U67" s="8"/>
    </row>
    <row r="68" spans="19:21" ht="12.75">
      <c r="S68" s="8"/>
      <c r="T68" s="8"/>
      <c r="U68" s="8"/>
    </row>
    <row r="69" spans="19:21" ht="12.75">
      <c r="S69" s="8"/>
      <c r="T69" s="8"/>
      <c r="U69" s="8"/>
    </row>
    <row r="70" spans="19:21" ht="12.75">
      <c r="S70" s="8"/>
      <c r="T70" s="8"/>
      <c r="U70" s="8"/>
    </row>
    <row r="71" spans="19:21" ht="12.75">
      <c r="S71" s="8"/>
      <c r="T71" s="8"/>
      <c r="U71" s="8"/>
    </row>
    <row r="72" spans="19:21" ht="12.75">
      <c r="S72" s="8"/>
      <c r="T72" s="8"/>
      <c r="U72" s="8"/>
    </row>
    <row r="73" spans="19:21" ht="12.75">
      <c r="S73" s="8"/>
      <c r="T73" s="8"/>
      <c r="U73" s="8"/>
    </row>
    <row r="74" spans="19:21" ht="12.75">
      <c r="S74" s="8"/>
      <c r="T74" s="8"/>
      <c r="U74" s="8"/>
    </row>
    <row r="75" spans="19:21" ht="12.75">
      <c r="S75" s="8"/>
      <c r="T75" s="8"/>
      <c r="U75" s="8"/>
    </row>
    <row r="76" spans="19:21" ht="12.75">
      <c r="S76" s="8"/>
      <c r="T76" s="8"/>
      <c r="U7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21" width="9.125" style="1" customWidth="1"/>
    <col min="22" max="22" width="9.625" style="1" bestFit="1" customWidth="1"/>
    <col min="23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81">
        <v>1100</v>
      </c>
      <c r="D3" s="181"/>
      <c r="E3" s="181"/>
      <c r="F3" s="163">
        <v>1201</v>
      </c>
      <c r="G3" s="163"/>
      <c r="H3" s="163"/>
      <c r="I3" s="163">
        <v>1202</v>
      </c>
      <c r="J3" s="163"/>
      <c r="K3" s="163"/>
      <c r="L3" s="163" t="s">
        <v>89</v>
      </c>
      <c r="M3" s="163"/>
      <c r="N3" s="163"/>
    </row>
    <row r="4" spans="1:14" s="48" customFormat="1" ht="24" customHeight="1" thickBot="1">
      <c r="A4" s="161"/>
      <c r="B4" s="161"/>
      <c r="C4" s="194" t="s">
        <v>90</v>
      </c>
      <c r="D4" s="194"/>
      <c r="E4" s="194"/>
      <c r="F4" s="165" t="s">
        <v>91</v>
      </c>
      <c r="G4" s="165"/>
      <c r="H4" s="165"/>
      <c r="I4" s="165" t="s">
        <v>92</v>
      </c>
      <c r="J4" s="165"/>
      <c r="K4" s="165"/>
      <c r="L4" s="163"/>
      <c r="M4" s="163"/>
      <c r="N4" s="163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25">
        <f>'16'!C9+'16'!F9+'16'!I9+'16'!L9</f>
        <v>0</v>
      </c>
      <c r="D9" s="125">
        <f>'16'!D9+'16'!G9+'16'!J9+'16'!M9</f>
        <v>0</v>
      </c>
      <c r="E9" s="125">
        <f>'16'!E9+'16'!H9+'16'!K9+'16'!N9</f>
        <v>0</v>
      </c>
      <c r="F9" s="10"/>
      <c r="G9" s="10"/>
      <c r="H9" s="10"/>
      <c r="I9" s="8"/>
      <c r="J9" s="8"/>
      <c r="K9" s="8"/>
      <c r="L9" s="9">
        <f>F9+I9</f>
        <v>0</v>
      </c>
      <c r="M9" s="9">
        <f aca="true" t="shared" si="0" ref="M9:N24">G9+J9</f>
        <v>0</v>
      </c>
      <c r="N9" s="9">
        <f t="shared" si="0"/>
        <v>0</v>
      </c>
    </row>
    <row r="10" spans="1:14" ht="10.5" customHeight="1">
      <c r="A10" s="4" t="s">
        <v>9</v>
      </c>
      <c r="B10" s="3" t="s">
        <v>153</v>
      </c>
      <c r="C10" s="125">
        <f>'16'!C10+'16'!F10+'16'!I10+'16'!L10</f>
        <v>0</v>
      </c>
      <c r="D10" s="125">
        <f>'16'!D10+'16'!G10+'16'!J10+'16'!M10</f>
        <v>0</v>
      </c>
      <c r="E10" s="125">
        <f>'16'!E10+'16'!H10+'16'!K10+'16'!N10</f>
        <v>0</v>
      </c>
      <c r="F10" s="10"/>
      <c r="G10" s="10"/>
      <c r="H10" s="10"/>
      <c r="I10" s="8"/>
      <c r="J10" s="8"/>
      <c r="K10" s="8"/>
      <c r="L10" s="9">
        <f>F10+I10</f>
        <v>0</v>
      </c>
      <c r="M10" s="9">
        <f t="shared" si="0"/>
        <v>0</v>
      </c>
      <c r="N10" s="9">
        <f t="shared" si="0"/>
        <v>0</v>
      </c>
    </row>
    <row r="11" spans="1:14" ht="10.5" customHeight="1">
      <c r="A11" s="4" t="s">
        <v>10</v>
      </c>
      <c r="B11" s="3" t="s">
        <v>12</v>
      </c>
      <c r="C11" s="125">
        <f>'16'!C11+'16'!F11+'16'!I11+'16'!L11</f>
        <v>0</v>
      </c>
      <c r="D11" s="125">
        <f>'16'!D11+'16'!G11+'16'!J11+'16'!M11</f>
        <v>0</v>
      </c>
      <c r="E11" s="125">
        <f>'16'!E11+'16'!H11+'16'!K11+'16'!N11</f>
        <v>0</v>
      </c>
      <c r="F11" s="10"/>
      <c r="G11" s="10"/>
      <c r="H11" s="10"/>
      <c r="I11" s="8"/>
      <c r="J11" s="8"/>
      <c r="K11" s="8"/>
      <c r="L11" s="9">
        <f>F11+I11</f>
        <v>0</v>
      </c>
      <c r="M11" s="9">
        <f t="shared" si="0"/>
        <v>0</v>
      </c>
      <c r="N11" s="9">
        <f t="shared" si="0"/>
        <v>0</v>
      </c>
    </row>
    <row r="12" spans="1:14" ht="10.5" customHeight="1">
      <c r="A12" s="4" t="s">
        <v>11</v>
      </c>
      <c r="B12" s="3" t="s">
        <v>14</v>
      </c>
      <c r="C12" s="125">
        <f>'16'!C12+'16'!F12+'16'!I12+'16'!L12</f>
        <v>0</v>
      </c>
      <c r="D12" s="125">
        <f>'16'!D12+'16'!G12+'16'!J12+'16'!M12</f>
        <v>0</v>
      </c>
      <c r="E12" s="125">
        <f>'16'!E12+'16'!H12+'16'!K12+'16'!N12</f>
        <v>0</v>
      </c>
      <c r="F12" s="10"/>
      <c r="G12" s="10"/>
      <c r="H12" s="10"/>
      <c r="I12" s="8"/>
      <c r="J12" s="8"/>
      <c r="K12" s="8"/>
      <c r="L12" s="9">
        <f>F12+I12</f>
        <v>0</v>
      </c>
      <c r="M12" s="9">
        <f t="shared" si="0"/>
        <v>0</v>
      </c>
      <c r="N12" s="9">
        <f t="shared" si="0"/>
        <v>0</v>
      </c>
    </row>
    <row r="13" spans="1:16" ht="10.5" customHeight="1" thickBot="1">
      <c r="A13" s="4" t="s">
        <v>13</v>
      </c>
      <c r="B13" s="3" t="s">
        <v>15</v>
      </c>
      <c r="C13" s="125">
        <f>'16'!C13+'16'!F13+'16'!I13+'16'!L13</f>
        <v>0</v>
      </c>
      <c r="D13" s="125">
        <f>'16'!D13+'16'!G13+'16'!J13+'16'!M13</f>
        <v>0</v>
      </c>
      <c r="E13" s="125">
        <f>'16'!E13+'16'!H13+'16'!K13+'16'!N13</f>
        <v>0</v>
      </c>
      <c r="F13" s="8">
        <v>0</v>
      </c>
      <c r="G13" s="8">
        <v>5550</v>
      </c>
      <c r="H13" s="8">
        <v>1741</v>
      </c>
      <c r="I13" s="8"/>
      <c r="J13" s="8"/>
      <c r="K13" s="8"/>
      <c r="L13" s="9">
        <f>F13+I13</f>
        <v>0</v>
      </c>
      <c r="M13" s="9">
        <f t="shared" si="0"/>
        <v>5550</v>
      </c>
      <c r="N13" s="9">
        <f t="shared" si="0"/>
        <v>1741</v>
      </c>
      <c r="P13" s="49"/>
    </row>
    <row r="14" spans="1:14" ht="10.5" customHeight="1" thickBot="1">
      <c r="A14" s="14" t="s">
        <v>16</v>
      </c>
      <c r="B14" s="15" t="s">
        <v>155</v>
      </c>
      <c r="C14" s="94">
        <f>SUM(C9:C13)</f>
        <v>0</v>
      </c>
      <c r="D14" s="94">
        <f aca="true" t="shared" si="1" ref="D14:M14">SUM(D9:D13)</f>
        <v>0</v>
      </c>
      <c r="E14" s="130">
        <f>'16'!E14+'16'!H14+'16'!K14+'16'!N14</f>
        <v>0</v>
      </c>
      <c r="F14" s="16">
        <f t="shared" si="1"/>
        <v>0</v>
      </c>
      <c r="G14" s="16">
        <f t="shared" si="1"/>
        <v>5550</v>
      </c>
      <c r="H14" s="16">
        <f t="shared" si="1"/>
        <v>1741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5550</v>
      </c>
      <c r="N14" s="77">
        <f t="shared" si="0"/>
        <v>1741</v>
      </c>
    </row>
    <row r="15" spans="1:14" ht="10.5" customHeight="1">
      <c r="A15" s="4" t="s">
        <v>17</v>
      </c>
      <c r="B15" s="3" t="s">
        <v>154</v>
      </c>
      <c r="C15" s="125">
        <f>'16'!C15+'16'!F15+'16'!I15+'16'!L15</f>
        <v>6038002</v>
      </c>
      <c r="D15" s="125">
        <f>'16'!D15+'16'!G15+'16'!J15+'16'!M15</f>
        <v>8517555</v>
      </c>
      <c r="E15" s="140">
        <f>'16'!E15+'16'!H15+'16'!K15+'16'!N15</f>
        <v>7385743</v>
      </c>
      <c r="F15" s="8"/>
      <c r="G15" s="8"/>
      <c r="H15" s="8"/>
      <c r="I15" s="8"/>
      <c r="J15" s="8"/>
      <c r="K15" s="8"/>
      <c r="L15" s="9">
        <f aca="true" t="shared" si="2" ref="L15:M17">F15+I15</f>
        <v>0</v>
      </c>
      <c r="M15" s="9">
        <f t="shared" si="2"/>
        <v>0</v>
      </c>
      <c r="N15" s="90">
        <f t="shared" si="0"/>
        <v>0</v>
      </c>
    </row>
    <row r="16" spans="1:14" ht="10.5" customHeight="1">
      <c r="A16" s="4" t="s">
        <v>18</v>
      </c>
      <c r="B16" s="3" t="s">
        <v>19</v>
      </c>
      <c r="C16" s="125">
        <f>'16'!C16+'16'!F16+'16'!I16+'16'!L16</f>
        <v>738033</v>
      </c>
      <c r="D16" s="125">
        <f>'16'!D16+'16'!G16+'16'!J16+'16'!M16</f>
        <v>1099350</v>
      </c>
      <c r="E16" s="134">
        <f>'16'!E16+'16'!H16+'16'!K16+'16'!N16</f>
        <v>853059</v>
      </c>
      <c r="F16" s="8"/>
      <c r="G16" s="8"/>
      <c r="H16" s="8"/>
      <c r="I16" s="8"/>
      <c r="J16" s="8"/>
      <c r="K16" s="8"/>
      <c r="L16" s="9">
        <f t="shared" si="2"/>
        <v>0</v>
      </c>
      <c r="M16" s="9">
        <f t="shared" si="2"/>
        <v>0</v>
      </c>
      <c r="N16" s="21">
        <f t="shared" si="0"/>
        <v>0</v>
      </c>
    </row>
    <row r="17" spans="1:14" s="19" customFormat="1" ht="10.5" customHeight="1" thickBot="1">
      <c r="A17" s="4" t="s">
        <v>20</v>
      </c>
      <c r="B17" s="3" t="s">
        <v>21</v>
      </c>
      <c r="C17" s="125">
        <f>'16'!C17+'16'!F17+'16'!I17+'16'!L17</f>
        <v>344750</v>
      </c>
      <c r="D17" s="125">
        <f>'16'!D17+'16'!G17+'16'!J17+'16'!M17</f>
        <v>1047149</v>
      </c>
      <c r="E17" s="141">
        <f>'16'!E17+'16'!H17+'16'!K17+'16'!N17</f>
        <v>524911</v>
      </c>
      <c r="F17" s="8"/>
      <c r="G17" s="8"/>
      <c r="H17" s="8"/>
      <c r="I17" s="8"/>
      <c r="J17" s="8"/>
      <c r="K17" s="8"/>
      <c r="L17" s="9">
        <f t="shared" si="2"/>
        <v>0</v>
      </c>
      <c r="M17" s="9">
        <f t="shared" si="2"/>
        <v>0</v>
      </c>
      <c r="N17" s="139">
        <f t="shared" si="0"/>
        <v>0</v>
      </c>
    </row>
    <row r="18" spans="1:14" ht="10.5" customHeight="1" thickBot="1">
      <c r="A18" s="14" t="s">
        <v>22</v>
      </c>
      <c r="B18" s="15" t="s">
        <v>156</v>
      </c>
      <c r="C18" s="94">
        <f>SUM(C15:C17)</f>
        <v>7120785</v>
      </c>
      <c r="D18" s="94">
        <f aca="true" t="shared" si="3" ref="D18:M18">SUM(D15:D17)</f>
        <v>10664054</v>
      </c>
      <c r="E18" s="130">
        <f>'16'!E18+'16'!H18+'16'!K18+'16'!N18</f>
        <v>8763713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6">
        <f t="shared" si="3"/>
        <v>0</v>
      </c>
      <c r="N18" s="77">
        <f t="shared" si="0"/>
        <v>0</v>
      </c>
    </row>
    <row r="19" spans="1:22" ht="10.5" customHeight="1" thickBot="1">
      <c r="A19" s="86" t="s">
        <v>23</v>
      </c>
      <c r="B19" s="15" t="s">
        <v>157</v>
      </c>
      <c r="C19" s="94"/>
      <c r="D19" s="94"/>
      <c r="E19" s="130">
        <f>'16'!E19+'16'!H19+'16'!K19+'16'!N19</f>
        <v>0</v>
      </c>
      <c r="F19" s="16"/>
      <c r="G19" s="16"/>
      <c r="H19" s="16"/>
      <c r="I19" s="16"/>
      <c r="J19" s="16"/>
      <c r="K19" s="16"/>
      <c r="L19" s="16"/>
      <c r="M19" s="16"/>
      <c r="N19" s="77">
        <f t="shared" si="0"/>
        <v>0</v>
      </c>
      <c r="V19" s="8"/>
    </row>
    <row r="20" spans="1:14" ht="10.5" customHeight="1" thickBot="1">
      <c r="A20" s="22" t="s">
        <v>26</v>
      </c>
      <c r="B20" s="15" t="s">
        <v>158</v>
      </c>
      <c r="C20" s="94">
        <f>SUM(C19)</f>
        <v>0</v>
      </c>
      <c r="D20" s="94">
        <f aca="true" t="shared" si="4" ref="D20:M20">SUM(D19)</f>
        <v>0</v>
      </c>
      <c r="E20" s="130">
        <f>'16'!E20+'16'!H20+'16'!K20+'16'!N20</f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77">
        <f t="shared" si="0"/>
        <v>0</v>
      </c>
    </row>
    <row r="21" spans="1:14" ht="10.5" customHeight="1">
      <c r="A21" s="23" t="s">
        <v>28</v>
      </c>
      <c r="B21" s="3" t="s">
        <v>31</v>
      </c>
      <c r="C21" s="100"/>
      <c r="D21" s="100"/>
      <c r="E21" s="140">
        <f>'16'!E21+'16'!H21+'16'!K21+'16'!N21</f>
        <v>0</v>
      </c>
      <c r="F21" s="21"/>
      <c r="G21" s="21"/>
      <c r="H21" s="21"/>
      <c r="I21" s="21"/>
      <c r="J21" s="21"/>
      <c r="K21" s="21"/>
      <c r="L21" s="21"/>
      <c r="M21" s="21"/>
      <c r="N21" s="90">
        <f t="shared" si="0"/>
        <v>0</v>
      </c>
    </row>
    <row r="22" spans="1:14" ht="10.5" customHeight="1">
      <c r="A22" s="88" t="s">
        <v>159</v>
      </c>
      <c r="B22" s="3" t="s">
        <v>173</v>
      </c>
      <c r="C22" s="100"/>
      <c r="D22" s="100"/>
      <c r="E22" s="134">
        <f>'16'!E22+'16'!H22+'16'!K22+'16'!N22</f>
        <v>0</v>
      </c>
      <c r="F22" s="21"/>
      <c r="G22" s="21"/>
      <c r="H22" s="21"/>
      <c r="I22" s="21"/>
      <c r="J22" s="21"/>
      <c r="K22" s="21"/>
      <c r="L22" s="21"/>
      <c r="M22" s="21"/>
      <c r="N22" s="21">
        <f t="shared" si="0"/>
        <v>0</v>
      </c>
    </row>
    <row r="23" spans="1:14" s="19" customFormat="1" ht="10.5" customHeight="1" thickBot="1">
      <c r="A23" s="4" t="s">
        <v>160</v>
      </c>
      <c r="B23" s="3" t="s">
        <v>32</v>
      </c>
      <c r="C23" s="125">
        <f>'16'!C23+'16'!F23+'16'!I23+'16'!L23</f>
        <v>0</v>
      </c>
      <c r="D23" s="125">
        <f>'16'!D23+'16'!G23+'16'!J23+'16'!M23</f>
        <v>0</v>
      </c>
      <c r="E23" s="141">
        <f>'16'!E23+'16'!H23+'16'!K23+'16'!N23</f>
        <v>0</v>
      </c>
      <c r="F23" s="8"/>
      <c r="G23" s="8"/>
      <c r="H23" s="8"/>
      <c r="I23" s="8"/>
      <c r="J23" s="8"/>
      <c r="K23" s="8"/>
      <c r="L23" s="9">
        <f>F23+I23</f>
        <v>0</v>
      </c>
      <c r="M23" s="9">
        <f>G23+J23</f>
        <v>0</v>
      </c>
      <c r="N23" s="139">
        <f t="shared" si="0"/>
        <v>0</v>
      </c>
    </row>
    <row r="24" spans="1:14" ht="10.5" customHeight="1" thickBot="1">
      <c r="A24" s="14" t="s">
        <v>30</v>
      </c>
      <c r="B24" s="24" t="s">
        <v>161</v>
      </c>
      <c r="C24" s="94">
        <f>SUM(C21:C23)</f>
        <v>0</v>
      </c>
      <c r="D24" s="94">
        <f aca="true" t="shared" si="5" ref="D24:M24">SUM(D21:D23)</f>
        <v>0</v>
      </c>
      <c r="E24" s="130">
        <f>'16'!E24+'16'!H24+'16'!K24+'16'!N24</f>
        <v>0</v>
      </c>
      <c r="F24" s="16">
        <f t="shared" si="5"/>
        <v>0</v>
      </c>
      <c r="G24" s="16">
        <f t="shared" si="5"/>
        <v>0</v>
      </c>
      <c r="H24" s="16">
        <f t="shared" si="5"/>
        <v>0</v>
      </c>
      <c r="I24" s="16">
        <f t="shared" si="5"/>
        <v>0</v>
      </c>
      <c r="J24" s="16">
        <f t="shared" si="5"/>
        <v>0</v>
      </c>
      <c r="K24" s="16">
        <f t="shared" si="5"/>
        <v>0</v>
      </c>
      <c r="L24" s="16">
        <f t="shared" si="5"/>
        <v>0</v>
      </c>
      <c r="M24" s="16">
        <f t="shared" si="5"/>
        <v>0</v>
      </c>
      <c r="N24" s="77">
        <f t="shared" si="0"/>
        <v>0</v>
      </c>
    </row>
    <row r="25" spans="1:14" ht="10.5" customHeight="1" thickBot="1">
      <c r="A25" s="89" t="s">
        <v>184</v>
      </c>
      <c r="B25" s="115" t="s">
        <v>182</v>
      </c>
      <c r="C25" s="126"/>
      <c r="D25" s="126"/>
      <c r="E25" s="130">
        <f>'16'!E25+'16'!H25+'16'!K25+'16'!N25</f>
        <v>0</v>
      </c>
      <c r="F25" s="50"/>
      <c r="G25" s="50"/>
      <c r="H25" s="50"/>
      <c r="I25" s="50"/>
      <c r="J25" s="50"/>
      <c r="K25" s="50"/>
      <c r="L25" s="50"/>
      <c r="M25" s="50"/>
      <c r="N25" s="77">
        <f aca="true" t="shared" si="6" ref="N25:N52">H25+K25</f>
        <v>0</v>
      </c>
    </row>
    <row r="26" spans="1:14" ht="10.5" customHeight="1" thickBot="1">
      <c r="A26" s="91" t="s">
        <v>178</v>
      </c>
      <c r="B26" s="122" t="s">
        <v>179</v>
      </c>
      <c r="C26" s="102">
        <f>SUM(C20,C24,C25)</f>
        <v>0</v>
      </c>
      <c r="D26" s="102">
        <f aca="true" t="shared" si="7" ref="D26:M26">SUM(D20,D24,D25)</f>
        <v>0</v>
      </c>
      <c r="E26" s="130">
        <f>'16'!E26+'16'!H26+'16'!K26+'16'!N26</f>
        <v>0</v>
      </c>
      <c r="F26" s="77">
        <f t="shared" si="7"/>
        <v>0</v>
      </c>
      <c r="G26" s="77">
        <f t="shared" si="7"/>
        <v>0</v>
      </c>
      <c r="H26" s="77">
        <f t="shared" si="7"/>
        <v>0</v>
      </c>
      <c r="I26" s="77">
        <f t="shared" si="7"/>
        <v>0</v>
      </c>
      <c r="J26" s="77">
        <f t="shared" si="7"/>
        <v>0</v>
      </c>
      <c r="K26" s="77">
        <f t="shared" si="7"/>
        <v>0</v>
      </c>
      <c r="L26" s="77">
        <f t="shared" si="7"/>
        <v>0</v>
      </c>
      <c r="M26" s="77">
        <f t="shared" si="7"/>
        <v>0</v>
      </c>
      <c r="N26" s="77">
        <f t="shared" si="6"/>
        <v>0</v>
      </c>
    </row>
    <row r="27" spans="1:14" s="19" customFormat="1" ht="10.5" customHeight="1">
      <c r="A27" s="25"/>
      <c r="B27" s="19" t="s">
        <v>183</v>
      </c>
      <c r="C27" s="100">
        <f>SUM(C26,C18,C14)</f>
        <v>7120785</v>
      </c>
      <c r="D27" s="100">
        <f aca="true" t="shared" si="8" ref="D27:M27">SUM(D26,D18,D14)</f>
        <v>10664054</v>
      </c>
      <c r="E27" s="125">
        <f>'16'!E27+'16'!H27+'16'!K27+'16'!N27</f>
        <v>8763713</v>
      </c>
      <c r="F27" s="21">
        <f t="shared" si="8"/>
        <v>0</v>
      </c>
      <c r="G27" s="21">
        <f t="shared" si="8"/>
        <v>5550</v>
      </c>
      <c r="H27" s="21">
        <f t="shared" si="8"/>
        <v>1741</v>
      </c>
      <c r="I27" s="21">
        <f t="shared" si="8"/>
        <v>0</v>
      </c>
      <c r="J27" s="21">
        <f t="shared" si="8"/>
        <v>0</v>
      </c>
      <c r="K27" s="21">
        <f t="shared" si="8"/>
        <v>0</v>
      </c>
      <c r="L27" s="21">
        <f t="shared" si="8"/>
        <v>0</v>
      </c>
      <c r="M27" s="21">
        <f t="shared" si="8"/>
        <v>5550</v>
      </c>
      <c r="N27" s="9">
        <f t="shared" si="6"/>
        <v>1741</v>
      </c>
    </row>
    <row r="28" spans="1:21" ht="10.5" customHeight="1">
      <c r="A28" s="156" t="s">
        <v>33</v>
      </c>
      <c r="B28" s="156"/>
      <c r="C28" s="99"/>
      <c r="D28" s="99"/>
      <c r="E28" s="125">
        <f>'16'!E28+'16'!H28+'16'!K28+'16'!N28</f>
        <v>0</v>
      </c>
      <c r="F28" s="8"/>
      <c r="G28" s="8"/>
      <c r="H28" s="8"/>
      <c r="I28" s="8"/>
      <c r="J28" s="8"/>
      <c r="K28" s="8"/>
      <c r="L28" s="9"/>
      <c r="M28" s="9"/>
      <c r="N28" s="9">
        <f t="shared" si="6"/>
        <v>0</v>
      </c>
      <c r="U28" s="81"/>
    </row>
    <row r="29" spans="1:14" ht="10.5" customHeight="1">
      <c r="A29" s="4" t="s">
        <v>34</v>
      </c>
      <c r="B29" s="3" t="s">
        <v>162</v>
      </c>
      <c r="C29" s="125">
        <f>'16'!C29+'16'!F29+'16'!I29+'16'!L29</f>
        <v>0</v>
      </c>
      <c r="D29" s="125">
        <f>'16'!D29+'16'!G29+'16'!J29+'16'!M29</f>
        <v>0</v>
      </c>
      <c r="E29" s="125">
        <f>'16'!E29+'16'!H29+'16'!K29+'16'!N29</f>
        <v>0</v>
      </c>
      <c r="F29" s="10"/>
      <c r="G29" s="10"/>
      <c r="H29" s="10"/>
      <c r="I29" s="10"/>
      <c r="J29" s="10"/>
      <c r="K29" s="10"/>
      <c r="L29" s="9">
        <f aca="true" t="shared" si="9" ref="L29:M31">F29+I29</f>
        <v>0</v>
      </c>
      <c r="M29" s="9">
        <f t="shared" si="9"/>
        <v>0</v>
      </c>
      <c r="N29" s="9">
        <f t="shared" si="6"/>
        <v>0</v>
      </c>
    </row>
    <row r="30" spans="1:14" ht="10.5" customHeight="1">
      <c r="A30" s="4" t="s">
        <v>35</v>
      </c>
      <c r="B30" s="3" t="s">
        <v>163</v>
      </c>
      <c r="C30" s="125"/>
      <c r="D30" s="125"/>
      <c r="E30" s="125">
        <f>'16'!E30+'16'!H30+'16'!K30+'16'!N30</f>
        <v>0</v>
      </c>
      <c r="F30" s="10"/>
      <c r="G30" s="10"/>
      <c r="H30" s="10"/>
      <c r="I30" s="10"/>
      <c r="J30" s="10"/>
      <c r="K30" s="10"/>
      <c r="L30" s="9">
        <f t="shared" si="9"/>
        <v>0</v>
      </c>
      <c r="M30" s="9">
        <f t="shared" si="9"/>
        <v>0</v>
      </c>
      <c r="N30" s="9">
        <f t="shared" si="6"/>
        <v>0</v>
      </c>
    </row>
    <row r="31" spans="1:14" ht="10.5" customHeight="1">
      <c r="A31" s="4" t="s">
        <v>164</v>
      </c>
      <c r="B31" s="3" t="s">
        <v>165</v>
      </c>
      <c r="C31" s="125"/>
      <c r="D31" s="125"/>
      <c r="E31" s="125">
        <f>'16'!E31+'16'!H31+'16'!K31+'16'!N31</f>
        <v>0</v>
      </c>
      <c r="F31" s="10"/>
      <c r="G31" s="10"/>
      <c r="H31" s="10"/>
      <c r="I31" s="10"/>
      <c r="J31" s="10"/>
      <c r="K31" s="10"/>
      <c r="L31" s="9">
        <f t="shared" si="9"/>
        <v>0</v>
      </c>
      <c r="M31" s="9">
        <f t="shared" si="9"/>
        <v>0</v>
      </c>
      <c r="N31" s="9">
        <f t="shared" si="6"/>
        <v>0</v>
      </c>
    </row>
    <row r="32" spans="1:14" ht="10.5" customHeight="1">
      <c r="A32" s="27" t="s">
        <v>7</v>
      </c>
      <c r="B32" s="28" t="s">
        <v>166</v>
      </c>
      <c r="C32" s="101">
        <f>SUM(C29:C31)</f>
        <v>0</v>
      </c>
      <c r="D32" s="101">
        <f aca="true" t="shared" si="10" ref="D32:M32">SUM(D29:D31)</f>
        <v>0</v>
      </c>
      <c r="E32" s="142">
        <f>'16'!E32+'16'!H32+'16'!K32+'16'!N32</f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138">
        <f t="shared" si="6"/>
        <v>0</v>
      </c>
    </row>
    <row r="33" spans="1:14" ht="10.5" customHeight="1">
      <c r="A33" s="4" t="s">
        <v>9</v>
      </c>
      <c r="B33" s="3" t="s">
        <v>36</v>
      </c>
      <c r="C33" s="125">
        <f>'16'!C33+'16'!F33+'16'!I33+'16'!L33</f>
        <v>0</v>
      </c>
      <c r="D33" s="125">
        <f>'16'!D33+'16'!G33+'16'!J33+'16'!M33</f>
        <v>0</v>
      </c>
      <c r="E33" s="125">
        <f>'16'!E33+'16'!H33+'16'!K33+'16'!N33</f>
        <v>0</v>
      </c>
      <c r="F33" s="10"/>
      <c r="G33" s="10"/>
      <c r="H33" s="10"/>
      <c r="I33" s="8"/>
      <c r="J33" s="10"/>
      <c r="K33" s="8"/>
      <c r="L33" s="9">
        <f aca="true" t="shared" si="11" ref="L33:M35">F33+I33</f>
        <v>0</v>
      </c>
      <c r="M33" s="9">
        <f t="shared" si="11"/>
        <v>0</v>
      </c>
      <c r="N33" s="9">
        <f t="shared" si="6"/>
        <v>0</v>
      </c>
    </row>
    <row r="34" spans="1:14" ht="10.5" customHeight="1">
      <c r="A34" s="4" t="s">
        <v>10</v>
      </c>
      <c r="B34" s="3" t="s">
        <v>167</v>
      </c>
      <c r="C34" s="125">
        <f>'16'!C34+'16'!F34+'16'!I34+'16'!L34</f>
        <v>0</v>
      </c>
      <c r="D34" s="125">
        <f>'16'!D34+'16'!G34+'16'!J34+'16'!M34</f>
        <v>0</v>
      </c>
      <c r="E34" s="125">
        <f>'16'!E34+'16'!H34+'16'!K34+'16'!N34</f>
        <v>0</v>
      </c>
      <c r="F34" s="10"/>
      <c r="G34" s="10"/>
      <c r="H34" s="10"/>
      <c r="I34" s="10"/>
      <c r="J34" s="10"/>
      <c r="K34" s="10"/>
      <c r="L34" s="9">
        <f t="shared" si="11"/>
        <v>0</v>
      </c>
      <c r="M34" s="9">
        <f t="shared" si="11"/>
        <v>0</v>
      </c>
      <c r="N34" s="9">
        <f t="shared" si="6"/>
        <v>0</v>
      </c>
    </row>
    <row r="35" spans="1:14" ht="10.5" customHeight="1" thickBot="1">
      <c r="A35" s="4" t="s">
        <v>11</v>
      </c>
      <c r="B35" s="3" t="s">
        <v>37</v>
      </c>
      <c r="C35" s="125">
        <f>'16'!C35+'16'!F35+'16'!I35+'16'!L35</f>
        <v>0</v>
      </c>
      <c r="D35" s="125">
        <f>'16'!D35+'16'!G35+'16'!J35+'16'!M35</f>
        <v>0</v>
      </c>
      <c r="E35" s="125">
        <f>'16'!E35+'16'!H35+'16'!K35+'16'!N35</f>
        <v>0</v>
      </c>
      <c r="F35" s="10"/>
      <c r="G35" s="10"/>
      <c r="H35" s="10"/>
      <c r="I35" s="8"/>
      <c r="J35" s="10"/>
      <c r="K35" s="8"/>
      <c r="L35" s="9">
        <f t="shared" si="11"/>
        <v>0</v>
      </c>
      <c r="M35" s="9">
        <f t="shared" si="11"/>
        <v>0</v>
      </c>
      <c r="N35" s="9">
        <f t="shared" si="6"/>
        <v>0</v>
      </c>
    </row>
    <row r="36" spans="1:40" ht="10.5" customHeight="1" thickBot="1">
      <c r="A36" s="14" t="s">
        <v>16</v>
      </c>
      <c r="B36" s="15" t="s">
        <v>169</v>
      </c>
      <c r="C36" s="94">
        <f>SUM(C32:C35)</f>
        <v>0</v>
      </c>
      <c r="D36" s="94">
        <f aca="true" t="shared" si="12" ref="D36:M36">SUM(D32:D35)</f>
        <v>0</v>
      </c>
      <c r="E36" s="130">
        <f>'16'!E36+'16'!H36+'16'!K36+'16'!N36</f>
        <v>0</v>
      </c>
      <c r="F36" s="16">
        <f t="shared" si="12"/>
        <v>0</v>
      </c>
      <c r="G36" s="16">
        <f t="shared" si="12"/>
        <v>0</v>
      </c>
      <c r="H36" s="16">
        <f t="shared" si="12"/>
        <v>0</v>
      </c>
      <c r="I36" s="16">
        <f t="shared" si="12"/>
        <v>0</v>
      </c>
      <c r="J36" s="16">
        <f t="shared" si="12"/>
        <v>0</v>
      </c>
      <c r="K36" s="16">
        <f t="shared" si="12"/>
        <v>0</v>
      </c>
      <c r="L36" s="16">
        <f t="shared" si="12"/>
        <v>0</v>
      </c>
      <c r="M36" s="16">
        <f t="shared" si="12"/>
        <v>0</v>
      </c>
      <c r="N36" s="77">
        <f t="shared" si="6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125"/>
      <c r="D37" s="125">
        <f>'16'!D37+'16'!G37+'16'!J37+'16'!M37</f>
        <v>0</v>
      </c>
      <c r="E37" s="140">
        <f>'16'!E37+'16'!H37+'16'!K37+'16'!N37</f>
        <v>0</v>
      </c>
      <c r="F37" s="8"/>
      <c r="G37" s="8"/>
      <c r="H37" s="8"/>
      <c r="I37" s="8"/>
      <c r="J37" s="10"/>
      <c r="K37" s="8"/>
      <c r="L37" s="9">
        <f aca="true" t="shared" si="13" ref="L37:M39">F37+I37</f>
        <v>0</v>
      </c>
      <c r="M37" s="9">
        <f t="shared" si="13"/>
        <v>0</v>
      </c>
      <c r="N37" s="90">
        <f t="shared" si="6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125">
        <f>'16'!C38+'16'!F38+'16'!I38+'16'!L38</f>
        <v>0</v>
      </c>
      <c r="D38" s="125">
        <f>'16'!D38+'16'!G38+'16'!J38+'16'!M38</f>
        <v>0</v>
      </c>
      <c r="E38" s="134">
        <f>'16'!E38+'16'!H38+'16'!K38+'16'!N38</f>
        <v>0</v>
      </c>
      <c r="F38" s="8"/>
      <c r="G38" s="8"/>
      <c r="H38" s="8"/>
      <c r="I38" s="8"/>
      <c r="J38" s="10"/>
      <c r="K38" s="10"/>
      <c r="L38" s="9">
        <f t="shared" si="13"/>
        <v>0</v>
      </c>
      <c r="M38" s="9">
        <f t="shared" si="13"/>
        <v>0</v>
      </c>
      <c r="N38" s="21">
        <f t="shared" si="6"/>
        <v>0</v>
      </c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 thickBot="1">
      <c r="A39" s="4" t="s">
        <v>20</v>
      </c>
      <c r="B39" s="3" t="s">
        <v>40</v>
      </c>
      <c r="C39" s="125">
        <f>'16'!C39+'16'!F39+'16'!I39+'16'!L39</f>
        <v>0</v>
      </c>
      <c r="D39" s="125">
        <f>'16'!D39+'16'!G39+'16'!J39+'16'!M39</f>
        <v>0</v>
      </c>
      <c r="E39" s="141">
        <f>'16'!E39+'16'!H39+'16'!K39+'16'!N39</f>
        <v>0</v>
      </c>
      <c r="F39" s="8"/>
      <c r="G39" s="8"/>
      <c r="H39" s="8"/>
      <c r="I39" s="8"/>
      <c r="J39" s="8"/>
      <c r="K39" s="8"/>
      <c r="L39" s="9">
        <f t="shared" si="13"/>
        <v>0</v>
      </c>
      <c r="M39" s="9">
        <f t="shared" si="13"/>
        <v>0</v>
      </c>
      <c r="N39" s="139">
        <f t="shared" si="6"/>
        <v>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 thickBot="1">
      <c r="A40" s="14" t="s">
        <v>22</v>
      </c>
      <c r="B40" s="15" t="s">
        <v>170</v>
      </c>
      <c r="C40" s="94">
        <f>SUM(C37:C39)</f>
        <v>0</v>
      </c>
      <c r="D40" s="94">
        <f aca="true" t="shared" si="14" ref="D40:M40">SUM(D37:D39)</f>
        <v>0</v>
      </c>
      <c r="E40" s="130">
        <f>'16'!E40+'16'!H40+'16'!K40+'16'!N40</f>
        <v>0</v>
      </c>
      <c r="F40" s="16">
        <f t="shared" si="14"/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0</v>
      </c>
      <c r="M40" s="16">
        <f t="shared" si="14"/>
        <v>0</v>
      </c>
      <c r="N40" s="77">
        <f t="shared" si="6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 thickBot="1">
      <c r="A41" s="151" t="s">
        <v>23</v>
      </c>
      <c r="B41" s="152" t="s">
        <v>29</v>
      </c>
      <c r="C41" s="100"/>
      <c r="D41" s="100"/>
      <c r="E41" s="140">
        <f>'16'!E41+'16'!H41+'16'!K41+'16'!N41</f>
        <v>0</v>
      </c>
      <c r="F41" s="50"/>
      <c r="G41" s="50"/>
      <c r="H41" s="50"/>
      <c r="I41" s="50"/>
      <c r="J41" s="50"/>
      <c r="K41" s="50"/>
      <c r="L41" s="21"/>
      <c r="M41" s="21"/>
      <c r="N41" s="77">
        <f t="shared" si="6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94"/>
      <c r="D42" s="94"/>
      <c r="E42" s="112">
        <f>'16'!E42+'16'!H42+'16'!K42+'16'!N42</f>
        <v>0</v>
      </c>
      <c r="F42" s="16"/>
      <c r="G42" s="16"/>
      <c r="H42" s="16"/>
      <c r="I42" s="16"/>
      <c r="J42" s="16"/>
      <c r="K42" s="16"/>
      <c r="L42" s="16"/>
      <c r="M42" s="16"/>
      <c r="N42" s="77">
        <f t="shared" si="6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153" t="s">
        <v>196</v>
      </c>
      <c r="B43" s="154" t="s">
        <v>197</v>
      </c>
      <c r="C43" s="100"/>
      <c r="D43" s="100"/>
      <c r="E43" s="134"/>
      <c r="F43" s="21"/>
      <c r="G43" s="21"/>
      <c r="H43" s="21"/>
      <c r="I43" s="21"/>
      <c r="J43" s="21"/>
      <c r="K43" s="21"/>
      <c r="L43" s="21"/>
      <c r="M43" s="21"/>
      <c r="N43" s="7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30">
        <f>SUM(C41:C42)</f>
        <v>0</v>
      </c>
      <c r="D44" s="130">
        <f aca="true" t="shared" si="15" ref="D44:M44">SUM(D41:D42)</f>
        <v>0</v>
      </c>
      <c r="E44" s="130">
        <f>'16'!E44+'16'!H44+'16'!K44+'16'!N44</f>
        <v>0</v>
      </c>
      <c r="F44" s="93">
        <f t="shared" si="15"/>
        <v>0</v>
      </c>
      <c r="G44" s="93">
        <f t="shared" si="15"/>
        <v>0</v>
      </c>
      <c r="H44" s="93">
        <f t="shared" si="15"/>
        <v>0</v>
      </c>
      <c r="I44" s="93">
        <f t="shared" si="15"/>
        <v>0</v>
      </c>
      <c r="J44" s="93">
        <f t="shared" si="15"/>
        <v>0</v>
      </c>
      <c r="K44" s="93">
        <f t="shared" si="15"/>
        <v>0</v>
      </c>
      <c r="L44" s="93">
        <f t="shared" si="15"/>
        <v>0</v>
      </c>
      <c r="M44" s="93">
        <f t="shared" si="15"/>
        <v>0</v>
      </c>
      <c r="N44" s="77">
        <f t="shared" si="6"/>
        <v>0</v>
      </c>
    </row>
    <row r="45" spans="1:14" ht="12.75">
      <c r="A45" s="89" t="s">
        <v>28</v>
      </c>
      <c r="B45" s="20" t="s">
        <v>32</v>
      </c>
      <c r="C45" s="125"/>
      <c r="D45" s="125"/>
      <c r="E45" s="134">
        <f>'16'!E45+'16'!H45+'16'!K45+'16'!N45</f>
        <v>0</v>
      </c>
      <c r="F45" s="10"/>
      <c r="G45" s="10"/>
      <c r="H45" s="10"/>
      <c r="I45" s="10"/>
      <c r="J45" s="10"/>
      <c r="K45" s="10"/>
      <c r="L45" s="10"/>
      <c r="M45" s="10"/>
      <c r="N45" s="90">
        <f t="shared" si="6"/>
        <v>0</v>
      </c>
    </row>
    <row r="46" spans="1:14" ht="13.5" thickBot="1">
      <c r="A46" s="89" t="s">
        <v>159</v>
      </c>
      <c r="B46" s="20" t="s">
        <v>172</v>
      </c>
      <c r="C46" s="125"/>
      <c r="D46" s="125"/>
      <c r="E46" s="141">
        <f>'16'!E46+'16'!H46+'16'!K46+'16'!N46</f>
        <v>0</v>
      </c>
      <c r="F46" s="10"/>
      <c r="G46" s="10"/>
      <c r="H46" s="10"/>
      <c r="I46" s="10"/>
      <c r="J46" s="10"/>
      <c r="K46" s="10"/>
      <c r="L46" s="10"/>
      <c r="M46" s="10"/>
      <c r="N46" s="139">
        <f t="shared" si="6"/>
        <v>0</v>
      </c>
    </row>
    <row r="47" spans="1:14" ht="13.5" thickBot="1">
      <c r="A47" s="91" t="s">
        <v>30</v>
      </c>
      <c r="B47" s="92" t="s">
        <v>42</v>
      </c>
      <c r="C47" s="130">
        <f>SUM(C45:C46)</f>
        <v>0</v>
      </c>
      <c r="D47" s="130">
        <f aca="true" t="shared" si="16" ref="D47:M47">SUM(D45:D46)</f>
        <v>0</v>
      </c>
      <c r="E47" s="130">
        <f>'16'!E47+'16'!H47+'16'!K47+'16'!N47</f>
        <v>0</v>
      </c>
      <c r="F47" s="93">
        <f t="shared" si="16"/>
        <v>0</v>
      </c>
      <c r="G47" s="93">
        <f t="shared" si="16"/>
        <v>0</v>
      </c>
      <c r="H47" s="93">
        <f t="shared" si="16"/>
        <v>0</v>
      </c>
      <c r="I47" s="93">
        <f t="shared" si="16"/>
        <v>0</v>
      </c>
      <c r="J47" s="93">
        <f t="shared" si="16"/>
        <v>0</v>
      </c>
      <c r="K47" s="93">
        <f t="shared" si="16"/>
        <v>0</v>
      </c>
      <c r="L47" s="93">
        <f t="shared" si="16"/>
        <v>0</v>
      </c>
      <c r="M47" s="93">
        <f t="shared" si="16"/>
        <v>0</v>
      </c>
      <c r="N47" s="77">
        <f t="shared" si="6"/>
        <v>0</v>
      </c>
    </row>
    <row r="48" spans="1:14" ht="13.5" thickBot="1">
      <c r="A48" s="89" t="s">
        <v>184</v>
      </c>
      <c r="B48" s="20" t="s">
        <v>181</v>
      </c>
      <c r="C48" s="134"/>
      <c r="D48" s="134"/>
      <c r="E48" s="130">
        <f>'16'!E48+'16'!H48+'16'!K48+'16'!N48</f>
        <v>0</v>
      </c>
      <c r="F48" s="26"/>
      <c r="G48" s="26"/>
      <c r="H48" s="26"/>
      <c r="I48" s="26"/>
      <c r="J48" s="26"/>
      <c r="K48" s="26"/>
      <c r="L48" s="26"/>
      <c r="M48" s="26"/>
      <c r="N48" s="77">
        <f t="shared" si="6"/>
        <v>0</v>
      </c>
    </row>
    <row r="49" spans="1:14" ht="13.5" thickBot="1">
      <c r="A49" s="91" t="s">
        <v>178</v>
      </c>
      <c r="B49" s="92" t="s">
        <v>180</v>
      </c>
      <c r="C49" s="130">
        <f>SUM(C47,C44,C48)</f>
        <v>0</v>
      </c>
      <c r="D49" s="130">
        <f aca="true" t="shared" si="17" ref="D49:M49">SUM(D47,D44,D48)</f>
        <v>0</v>
      </c>
      <c r="E49" s="130">
        <f>'16'!E49+'16'!H49+'16'!K49+'16'!N49</f>
        <v>0</v>
      </c>
      <c r="F49" s="93">
        <f t="shared" si="17"/>
        <v>0</v>
      </c>
      <c r="G49" s="93">
        <f t="shared" si="17"/>
        <v>0</v>
      </c>
      <c r="H49" s="93">
        <f t="shared" si="17"/>
        <v>0</v>
      </c>
      <c r="I49" s="93">
        <f t="shared" si="17"/>
        <v>0</v>
      </c>
      <c r="J49" s="93">
        <f t="shared" si="17"/>
        <v>0</v>
      </c>
      <c r="K49" s="93">
        <f t="shared" si="17"/>
        <v>0</v>
      </c>
      <c r="L49" s="93">
        <f t="shared" si="17"/>
        <v>0</v>
      </c>
      <c r="M49" s="93">
        <f t="shared" si="17"/>
        <v>0</v>
      </c>
      <c r="N49" s="77">
        <f t="shared" si="6"/>
        <v>0</v>
      </c>
    </row>
    <row r="50" spans="1:29" s="84" customFormat="1" ht="13.5" thickBot="1">
      <c r="A50" s="25"/>
      <c r="B50" s="19" t="s">
        <v>185</v>
      </c>
      <c r="C50" s="127">
        <f>SUM(C49,C40,C36)</f>
        <v>0</v>
      </c>
      <c r="D50" s="127">
        <f aca="true" t="shared" si="18" ref="D50:M50">SUM(D49,D40,D36)</f>
        <v>0</v>
      </c>
      <c r="E50" s="130">
        <f>'16'!E50+'16'!H50+'16'!K50+'16'!N50</f>
        <v>0</v>
      </c>
      <c r="F50" s="76">
        <f t="shared" si="18"/>
        <v>0</v>
      </c>
      <c r="G50" s="76">
        <f t="shared" si="18"/>
        <v>0</v>
      </c>
      <c r="H50" s="76">
        <f t="shared" si="18"/>
        <v>0</v>
      </c>
      <c r="I50" s="76">
        <f t="shared" si="18"/>
        <v>0</v>
      </c>
      <c r="J50" s="76">
        <f t="shared" si="18"/>
        <v>0</v>
      </c>
      <c r="K50" s="76">
        <f t="shared" si="18"/>
        <v>0</v>
      </c>
      <c r="L50" s="76">
        <f t="shared" si="18"/>
        <v>0</v>
      </c>
      <c r="M50" s="76">
        <f t="shared" si="18"/>
        <v>0</v>
      </c>
      <c r="N50" s="77">
        <f t="shared" si="6"/>
        <v>0</v>
      </c>
      <c r="AA50" s="19"/>
      <c r="AB50" s="19"/>
      <c r="AC50" s="19"/>
    </row>
    <row r="51" spans="1:14" ht="13.5" thickBot="1">
      <c r="A51" s="32"/>
      <c r="B51" s="33" t="s">
        <v>43</v>
      </c>
      <c r="C51" s="128">
        <f>'16'!C51+'16'!F51+'16'!I51+'16'!L51</f>
        <v>0</v>
      </c>
      <c r="D51" s="128">
        <f>'16'!D51+'16'!G51+'16'!J51+'16'!M51</f>
        <v>0</v>
      </c>
      <c r="E51" s="130">
        <f>'16'!E51+'16'!H51+'16'!K51+'16'!N51</f>
        <v>0</v>
      </c>
      <c r="F51" s="34"/>
      <c r="G51" s="34"/>
      <c r="H51" s="34"/>
      <c r="I51" s="34"/>
      <c r="J51" s="34"/>
      <c r="K51" s="34"/>
      <c r="L51" s="35"/>
      <c r="M51" s="35"/>
      <c r="N51" s="77">
        <f t="shared" si="6"/>
        <v>0</v>
      </c>
    </row>
    <row r="52" spans="1:14" ht="13.5" thickBot="1">
      <c r="A52" s="37"/>
      <c r="B52" s="33" t="s">
        <v>44</v>
      </c>
      <c r="C52" s="104"/>
      <c r="D52" s="104"/>
      <c r="E52" s="130">
        <f>'16'!E52+'16'!H52+'16'!K52+'16'!N52</f>
        <v>0</v>
      </c>
      <c r="F52" s="42"/>
      <c r="G52" s="42"/>
      <c r="H52" s="38"/>
      <c r="I52" s="42"/>
      <c r="J52" s="42"/>
      <c r="K52" s="38"/>
      <c r="L52" s="42"/>
      <c r="M52" s="42"/>
      <c r="N52" s="77">
        <f t="shared" si="6"/>
        <v>0</v>
      </c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4">
    <mergeCell ref="F4:H4"/>
    <mergeCell ref="I4:K4"/>
    <mergeCell ref="F5:F6"/>
    <mergeCell ref="G5:G6"/>
    <mergeCell ref="I5:I6"/>
    <mergeCell ref="J5:J6"/>
    <mergeCell ref="B1:N1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8:B28"/>
    <mergeCell ref="L5:L6"/>
    <mergeCell ref="M5:M6"/>
    <mergeCell ref="A7:B7"/>
    <mergeCell ref="H5:H6"/>
    <mergeCell ref="D5:D6"/>
    <mergeCell ref="E5:E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5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63">
        <v>1203</v>
      </c>
      <c r="D3" s="163"/>
      <c r="E3" s="163"/>
      <c r="F3" s="163">
        <v>1204</v>
      </c>
      <c r="G3" s="163"/>
      <c r="H3" s="163"/>
      <c r="I3" s="180" t="s">
        <v>93</v>
      </c>
      <c r="J3" s="180"/>
      <c r="K3" s="180"/>
      <c r="L3" s="181">
        <v>1200</v>
      </c>
      <c r="M3" s="181"/>
      <c r="N3" s="181"/>
    </row>
    <row r="4" spans="1:14" s="48" customFormat="1" ht="24" customHeight="1" thickBot="1">
      <c r="A4" s="161"/>
      <c r="B4" s="161"/>
      <c r="C4" s="165" t="s">
        <v>94</v>
      </c>
      <c r="D4" s="165"/>
      <c r="E4" s="165"/>
      <c r="F4" s="165" t="s">
        <v>95</v>
      </c>
      <c r="G4" s="165"/>
      <c r="H4" s="165"/>
      <c r="I4" s="180"/>
      <c r="J4" s="180"/>
      <c r="K4" s="180"/>
      <c r="L4" s="182" t="s">
        <v>96</v>
      </c>
      <c r="M4" s="182"/>
      <c r="N4" s="182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99">
        <f>C9+F9</f>
        <v>0</v>
      </c>
      <c r="J9" s="99">
        <f aca="true" t="shared" si="0" ref="J9:K24">D9+G9</f>
        <v>0</v>
      </c>
      <c r="K9" s="100">
        <f t="shared" si="0"/>
        <v>0</v>
      </c>
      <c r="L9" s="21">
        <f>'17'!F9+'17'!I9+'18'!C9+'18'!F9</f>
        <v>0</v>
      </c>
      <c r="M9" s="21">
        <f>'17'!G9+'17'!J9+'18'!D9+'18'!G9</f>
        <v>0</v>
      </c>
      <c r="N9" s="21">
        <f>'17'!H9+'17'!K9+'18'!E9+'18'!H9</f>
        <v>0</v>
      </c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99">
        <f>C10+F10</f>
        <v>0</v>
      </c>
      <c r="J10" s="99">
        <f t="shared" si="0"/>
        <v>0</v>
      </c>
      <c r="K10" s="100">
        <f t="shared" si="0"/>
        <v>0</v>
      </c>
      <c r="L10" s="21">
        <f>'17'!F10+'17'!I10+'18'!C10+'18'!F10</f>
        <v>0</v>
      </c>
      <c r="M10" s="21">
        <f>'17'!G10+'17'!J10+'18'!D10+'18'!G10</f>
        <v>0</v>
      </c>
      <c r="N10" s="21">
        <f>'17'!H10+'17'!K10+'18'!E10+'18'!H10</f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99">
        <f>C11+F11</f>
        <v>0</v>
      </c>
      <c r="J11" s="99">
        <f t="shared" si="0"/>
        <v>0</v>
      </c>
      <c r="K11" s="100">
        <f t="shared" si="0"/>
        <v>0</v>
      </c>
      <c r="L11" s="21">
        <f>'17'!F11+'17'!I11+'18'!C11+'18'!F11</f>
        <v>0</v>
      </c>
      <c r="M11" s="21">
        <f>'17'!G11+'17'!J11+'18'!D11+'18'!G11</f>
        <v>0</v>
      </c>
      <c r="N11" s="21">
        <f>'17'!H11+'17'!K11+'18'!E11+'18'!H11</f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99">
        <f>C12+F12</f>
        <v>0</v>
      </c>
      <c r="J12" s="99">
        <f t="shared" si="0"/>
        <v>0</v>
      </c>
      <c r="K12" s="100">
        <f t="shared" si="0"/>
        <v>0</v>
      </c>
      <c r="L12" s="21">
        <f>'17'!F12+'17'!I12+'18'!C12+'18'!F12</f>
        <v>0</v>
      </c>
      <c r="M12" s="21">
        <f>'17'!G12+'17'!J12+'18'!D12+'18'!G12</f>
        <v>0</v>
      </c>
      <c r="N12" s="21">
        <f>'17'!H12+'17'!K12+'18'!E12+'18'!H12</f>
        <v>0</v>
      </c>
    </row>
    <row r="13" spans="1:16" ht="10.5" customHeight="1" thickBo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99">
        <f>C13+F13</f>
        <v>0</v>
      </c>
      <c r="J13" s="99">
        <f t="shared" si="0"/>
        <v>0</v>
      </c>
      <c r="K13" s="143">
        <f t="shared" si="0"/>
        <v>0</v>
      </c>
      <c r="L13" s="139">
        <f>'17'!F13+'17'!I13+'18'!C13+'18'!F13</f>
        <v>0</v>
      </c>
      <c r="M13" s="139">
        <f>'17'!G13+'17'!J13+'18'!D13+'18'!G13</f>
        <v>5550</v>
      </c>
      <c r="N13" s="139">
        <f>'17'!H13+'17'!K13+'18'!E13+'18'!H13</f>
        <v>1741</v>
      </c>
      <c r="P13" s="49"/>
    </row>
    <row r="14" spans="1:14" ht="10.5" customHeight="1" thickBot="1">
      <c r="A14" s="14" t="s">
        <v>16</v>
      </c>
      <c r="B14" s="15" t="s">
        <v>155</v>
      </c>
      <c r="C14" s="16">
        <f>SUM(C9:C13)</f>
        <v>0</v>
      </c>
      <c r="D14" s="16">
        <f aca="true" t="shared" si="1" ref="D14:M14">SUM(D9:D13)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94">
        <f t="shared" si="1"/>
        <v>0</v>
      </c>
      <c r="J14" s="94">
        <f t="shared" si="1"/>
        <v>0</v>
      </c>
      <c r="K14" s="102">
        <f t="shared" si="0"/>
        <v>0</v>
      </c>
      <c r="L14" s="77">
        <f t="shared" si="1"/>
        <v>0</v>
      </c>
      <c r="M14" s="77">
        <f t="shared" si="1"/>
        <v>5550</v>
      </c>
      <c r="N14" s="77">
        <f>'17'!H14+'17'!K14+'18'!E14+'18'!H14</f>
        <v>1741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99">
        <f aca="true" t="shared" si="2" ref="I15:J17">C15+F15</f>
        <v>0</v>
      </c>
      <c r="J15" s="99">
        <f t="shared" si="2"/>
        <v>0</v>
      </c>
      <c r="K15" s="144">
        <f t="shared" si="0"/>
        <v>0</v>
      </c>
      <c r="L15" s="90">
        <f>'17'!F15+'17'!I15+'18'!C15+'18'!F15</f>
        <v>0</v>
      </c>
      <c r="M15" s="90">
        <f>'17'!G15+'17'!J15+'18'!D15+'18'!G15</f>
        <v>0</v>
      </c>
      <c r="N15" s="90">
        <f>'17'!H15+'17'!K15+'18'!E15+'18'!H15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99">
        <f t="shared" si="2"/>
        <v>0</v>
      </c>
      <c r="J16" s="99">
        <f t="shared" si="2"/>
        <v>0</v>
      </c>
      <c r="K16" s="100">
        <f t="shared" si="0"/>
        <v>0</v>
      </c>
      <c r="L16" s="21">
        <f>'17'!F16+'17'!I16+'18'!C16+'18'!F16</f>
        <v>0</v>
      </c>
      <c r="M16" s="21">
        <f>'17'!G16+'17'!J16+'18'!D16+'18'!G16</f>
        <v>0</v>
      </c>
      <c r="N16" s="21">
        <f>'17'!H16+'17'!K16+'18'!E16+'18'!H16</f>
        <v>0</v>
      </c>
    </row>
    <row r="17" spans="1:14" s="19" customFormat="1" ht="10.5" customHeight="1" thickBot="1">
      <c r="A17" s="4" t="s">
        <v>20</v>
      </c>
      <c r="B17" s="3" t="s">
        <v>21</v>
      </c>
      <c r="C17" s="11">
        <v>18000</v>
      </c>
      <c r="D17" s="8">
        <v>32250</v>
      </c>
      <c r="E17" s="8">
        <v>29200</v>
      </c>
      <c r="F17" s="8"/>
      <c r="G17" s="8"/>
      <c r="H17" s="8"/>
      <c r="I17" s="99">
        <f t="shared" si="2"/>
        <v>18000</v>
      </c>
      <c r="J17" s="99">
        <f t="shared" si="2"/>
        <v>32250</v>
      </c>
      <c r="K17" s="143">
        <f t="shared" si="0"/>
        <v>29200</v>
      </c>
      <c r="L17" s="139">
        <f>'17'!F17+'17'!I17+'18'!C17+'18'!F17</f>
        <v>18000</v>
      </c>
      <c r="M17" s="139">
        <f>'17'!G17+'17'!J17+'18'!D17+'18'!G17</f>
        <v>32250</v>
      </c>
      <c r="N17" s="139">
        <f>'17'!H17+'17'!K17+'18'!E17+'18'!H17</f>
        <v>29200</v>
      </c>
    </row>
    <row r="18" spans="1:14" ht="10.5" customHeight="1" thickBot="1">
      <c r="A18" s="14" t="s">
        <v>22</v>
      </c>
      <c r="B18" s="15" t="s">
        <v>156</v>
      </c>
      <c r="C18" s="16">
        <f>SUM(C15:C17)</f>
        <v>18000</v>
      </c>
      <c r="D18" s="16">
        <f aca="true" t="shared" si="3" ref="D18:M18">SUM(D15:D17)</f>
        <v>32250</v>
      </c>
      <c r="E18" s="16">
        <f t="shared" si="3"/>
        <v>29200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94">
        <f t="shared" si="3"/>
        <v>18000</v>
      </c>
      <c r="J18" s="94">
        <f t="shared" si="3"/>
        <v>32250</v>
      </c>
      <c r="K18" s="102">
        <f t="shared" si="0"/>
        <v>29200</v>
      </c>
      <c r="L18" s="77">
        <f t="shared" si="3"/>
        <v>18000</v>
      </c>
      <c r="M18" s="77">
        <f t="shared" si="3"/>
        <v>32250</v>
      </c>
      <c r="N18" s="77">
        <f>'17'!H18+'17'!K18+'18'!E18+'18'!H18</f>
        <v>29200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94"/>
      <c r="J19" s="94"/>
      <c r="K19" s="102">
        <f t="shared" si="0"/>
        <v>0</v>
      </c>
      <c r="L19" s="77"/>
      <c r="M19" s="77"/>
      <c r="N19" s="77">
        <f>'17'!H19+'17'!K19+'18'!E19+'18'!H19</f>
        <v>0</v>
      </c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4" ref="D20:M20">SUM(D19)</f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94">
        <f t="shared" si="4"/>
        <v>0</v>
      </c>
      <c r="J20" s="94">
        <f t="shared" si="4"/>
        <v>0</v>
      </c>
      <c r="K20" s="102">
        <f t="shared" si="0"/>
        <v>0</v>
      </c>
      <c r="L20" s="77">
        <f t="shared" si="4"/>
        <v>0</v>
      </c>
      <c r="M20" s="77">
        <f t="shared" si="4"/>
        <v>0</v>
      </c>
      <c r="N20" s="77">
        <f>'17'!H20+'17'!K20+'18'!E20+'18'!H20</f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99">
        <f aca="true" t="shared" si="5" ref="I21:J23">C21+F21</f>
        <v>0</v>
      </c>
      <c r="J21" s="99">
        <f t="shared" si="5"/>
        <v>0</v>
      </c>
      <c r="K21" s="144">
        <f t="shared" si="0"/>
        <v>0</v>
      </c>
      <c r="L21" s="90">
        <f>'17'!F21+'17'!I21+'18'!C21+'18'!F21</f>
        <v>0</v>
      </c>
      <c r="M21" s="90">
        <f>'17'!G21+'17'!J21+'18'!D21+'18'!G21</f>
        <v>0</v>
      </c>
      <c r="N21" s="90">
        <f>'17'!H21+'17'!K21+'18'!E21+'18'!H21</f>
        <v>0</v>
      </c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98"/>
      <c r="G22" s="98"/>
      <c r="H22" s="21">
        <v>0</v>
      </c>
      <c r="I22" s="99">
        <f t="shared" si="5"/>
        <v>0</v>
      </c>
      <c r="J22" s="99">
        <f t="shared" si="5"/>
        <v>0</v>
      </c>
      <c r="K22" s="100">
        <f t="shared" si="0"/>
        <v>0</v>
      </c>
      <c r="L22" s="21">
        <f>'17'!F22+'17'!I22+'18'!C22+'18'!F22</f>
        <v>0</v>
      </c>
      <c r="M22" s="21">
        <f>'17'!G22+'17'!J22+'18'!D22+'18'!G22</f>
        <v>0</v>
      </c>
      <c r="N22" s="21">
        <f>'17'!H22+'17'!K22+'18'!E22+'18'!H22</f>
        <v>0</v>
      </c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99">
        <f t="shared" si="5"/>
        <v>0</v>
      </c>
      <c r="J23" s="99">
        <f t="shared" si="5"/>
        <v>0</v>
      </c>
      <c r="K23" s="143">
        <f t="shared" si="0"/>
        <v>0</v>
      </c>
      <c r="L23" s="139">
        <f>'17'!F23+'17'!I23+'18'!C23+'18'!F23</f>
        <v>0</v>
      </c>
      <c r="M23" s="139">
        <f>'17'!G23+'17'!J23+'18'!D23+'18'!G23</f>
        <v>0</v>
      </c>
      <c r="N23" s="139">
        <f>'17'!H23+'17'!K23+'18'!E23+'18'!H23</f>
        <v>0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6" ref="D24:M24">SUM(D21:D23)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94">
        <f t="shared" si="6"/>
        <v>0</v>
      </c>
      <c r="J24" s="94">
        <f t="shared" si="6"/>
        <v>0</v>
      </c>
      <c r="K24" s="102">
        <f t="shared" si="0"/>
        <v>0</v>
      </c>
      <c r="L24" s="77">
        <f t="shared" si="6"/>
        <v>0</v>
      </c>
      <c r="M24" s="77">
        <f t="shared" si="6"/>
        <v>0</v>
      </c>
      <c r="N24" s="77">
        <f>'17'!H24+'17'!K24+'18'!E24+'18'!H24</f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100"/>
      <c r="J25" s="100"/>
      <c r="K25" s="102">
        <f aca="true" t="shared" si="7" ref="K25:K52">E25+H25</f>
        <v>0</v>
      </c>
      <c r="L25" s="77"/>
      <c r="M25" s="77"/>
      <c r="N25" s="77">
        <f>'17'!H25+'17'!K25+'18'!E25+'18'!H25</f>
        <v>0</v>
      </c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8" ref="D26:M26">SUM(D20,D24,D25)</f>
        <v>0</v>
      </c>
      <c r="E26" s="77">
        <f t="shared" si="8"/>
        <v>0</v>
      </c>
      <c r="F26" s="77">
        <f t="shared" si="8"/>
        <v>0</v>
      </c>
      <c r="G26" s="77">
        <f t="shared" si="8"/>
        <v>0</v>
      </c>
      <c r="H26" s="77">
        <f t="shared" si="8"/>
        <v>0</v>
      </c>
      <c r="I26" s="77">
        <f t="shared" si="8"/>
        <v>0</v>
      </c>
      <c r="J26" s="77">
        <f t="shared" si="8"/>
        <v>0</v>
      </c>
      <c r="K26" s="102">
        <f t="shared" si="7"/>
        <v>0</v>
      </c>
      <c r="L26" s="77">
        <f t="shared" si="8"/>
        <v>0</v>
      </c>
      <c r="M26" s="77">
        <f t="shared" si="8"/>
        <v>0</v>
      </c>
      <c r="N26" s="77">
        <f>'17'!H26+'17'!K26+'18'!E26+'18'!H26</f>
        <v>0</v>
      </c>
    </row>
    <row r="27" spans="1:14" s="19" customFormat="1" ht="10.5" customHeight="1">
      <c r="A27" s="25"/>
      <c r="B27" s="19" t="s">
        <v>183</v>
      </c>
      <c r="C27" s="9">
        <f>SUM(C26,C18,C14)</f>
        <v>18000</v>
      </c>
      <c r="D27" s="9">
        <f aca="true" t="shared" si="9" ref="D27:M27">SUM(D26,D18,D14)</f>
        <v>32250</v>
      </c>
      <c r="E27" s="9">
        <f t="shared" si="9"/>
        <v>29200</v>
      </c>
      <c r="F27" s="9">
        <f t="shared" si="9"/>
        <v>0</v>
      </c>
      <c r="G27" s="9">
        <f t="shared" si="9"/>
        <v>0</v>
      </c>
      <c r="H27" s="9">
        <f t="shared" si="9"/>
        <v>0</v>
      </c>
      <c r="I27" s="9">
        <f t="shared" si="9"/>
        <v>18000</v>
      </c>
      <c r="J27" s="9">
        <f t="shared" si="9"/>
        <v>32250</v>
      </c>
      <c r="K27" s="99">
        <f t="shared" si="7"/>
        <v>29200</v>
      </c>
      <c r="L27" s="9">
        <f t="shared" si="9"/>
        <v>18000</v>
      </c>
      <c r="M27" s="9">
        <f t="shared" si="9"/>
        <v>37800</v>
      </c>
      <c r="N27" s="9">
        <f>'17'!H27+'17'!K27+'18'!E27+'18'!H27</f>
        <v>30941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99"/>
      <c r="J28" s="99"/>
      <c r="K28" s="99">
        <f t="shared" si="7"/>
        <v>0</v>
      </c>
      <c r="L28" s="9"/>
      <c r="M28" s="9"/>
      <c r="N28" s="9">
        <f>'17'!H28+'17'!K28+'18'!E28+'18'!H28</f>
        <v>0</v>
      </c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99">
        <f aca="true" t="shared" si="10" ref="I29:J31">C29+F29</f>
        <v>0</v>
      </c>
      <c r="J29" s="99">
        <f t="shared" si="10"/>
        <v>0</v>
      </c>
      <c r="K29" s="99">
        <f t="shared" si="7"/>
        <v>0</v>
      </c>
      <c r="L29" s="9">
        <f>'17'!F29+'17'!I29+'18'!C29+'18'!F29</f>
        <v>0</v>
      </c>
      <c r="M29" s="9">
        <f>'17'!G29+'17'!J29+'18'!D29+'18'!G29</f>
        <v>0</v>
      </c>
      <c r="N29" s="9">
        <f>'17'!H29+'17'!K29+'18'!E29+'18'!H29</f>
        <v>0</v>
      </c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99">
        <f t="shared" si="10"/>
        <v>0</v>
      </c>
      <c r="J30" s="99">
        <f t="shared" si="10"/>
        <v>0</v>
      </c>
      <c r="K30" s="99">
        <f t="shared" si="7"/>
        <v>0</v>
      </c>
      <c r="L30" s="9">
        <f>'17'!F30+'17'!I30+'18'!C30+'18'!F30</f>
        <v>0</v>
      </c>
      <c r="M30" s="9">
        <f>'17'!G30+'17'!J30+'18'!D30+'18'!G30</f>
        <v>0</v>
      </c>
      <c r="N30" s="9">
        <f>'17'!H30+'17'!K30+'18'!E30+'18'!H30</f>
        <v>0</v>
      </c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99">
        <f t="shared" si="10"/>
        <v>0</v>
      </c>
      <c r="J31" s="99">
        <f t="shared" si="10"/>
        <v>0</v>
      </c>
      <c r="K31" s="99">
        <f t="shared" si="7"/>
        <v>0</v>
      </c>
      <c r="L31" s="9">
        <f>'17'!F31+'17'!I31+'18'!C31+'18'!F31</f>
        <v>0</v>
      </c>
      <c r="M31" s="9">
        <f>'17'!G31+'17'!J31+'18'!D31+'18'!G31</f>
        <v>0</v>
      </c>
      <c r="N31" s="9">
        <f>'17'!H31+'17'!K31+'18'!E31+'18'!H31</f>
        <v>0</v>
      </c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11" ref="D32:M32">SUM(D29:D31)</f>
        <v>0</v>
      </c>
      <c r="E32" s="29">
        <f t="shared" si="11"/>
        <v>0</v>
      </c>
      <c r="F32" s="29">
        <f t="shared" si="11"/>
        <v>0</v>
      </c>
      <c r="G32" s="29">
        <f t="shared" si="11"/>
        <v>0</v>
      </c>
      <c r="H32" s="29">
        <f t="shared" si="11"/>
        <v>0</v>
      </c>
      <c r="I32" s="101">
        <f>SUM(I29:I31)</f>
        <v>0</v>
      </c>
      <c r="J32" s="101">
        <f t="shared" si="11"/>
        <v>0</v>
      </c>
      <c r="K32" s="145">
        <f t="shared" si="7"/>
        <v>0</v>
      </c>
      <c r="L32" s="146">
        <f t="shared" si="11"/>
        <v>0</v>
      </c>
      <c r="M32" s="146">
        <f t="shared" si="11"/>
        <v>0</v>
      </c>
      <c r="N32" s="138">
        <f>'17'!H32+'17'!K32+'18'!E32+'18'!H32</f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99">
        <f aca="true" t="shared" si="12" ref="I33:J35">C33+F33</f>
        <v>0</v>
      </c>
      <c r="J33" s="99">
        <f t="shared" si="12"/>
        <v>0</v>
      </c>
      <c r="K33" s="99">
        <f t="shared" si="7"/>
        <v>0</v>
      </c>
      <c r="L33" s="9">
        <f>'17'!F33+'17'!I33+'18'!C33+'18'!F33</f>
        <v>0</v>
      </c>
      <c r="M33" s="9">
        <f>'17'!G33+'17'!J33+'18'!D33+'18'!G33</f>
        <v>0</v>
      </c>
      <c r="N33" s="9">
        <f>'17'!H33+'17'!K33+'18'!E33+'18'!H33</f>
        <v>0</v>
      </c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99">
        <f t="shared" si="12"/>
        <v>0</v>
      </c>
      <c r="J34" s="99">
        <f t="shared" si="12"/>
        <v>0</v>
      </c>
      <c r="K34" s="99">
        <f t="shared" si="7"/>
        <v>0</v>
      </c>
      <c r="L34" s="9">
        <f>'17'!F34+'17'!I34+'18'!C34+'18'!F34</f>
        <v>0</v>
      </c>
      <c r="M34" s="9">
        <f>'17'!G34+'17'!J34+'18'!D34+'18'!G34</f>
        <v>0</v>
      </c>
      <c r="N34" s="9">
        <f>'17'!H34+'17'!K34+'18'!E34+'18'!H34</f>
        <v>0</v>
      </c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99">
        <f t="shared" si="12"/>
        <v>0</v>
      </c>
      <c r="J35" s="99">
        <f t="shared" si="12"/>
        <v>0</v>
      </c>
      <c r="K35" s="99">
        <f t="shared" si="7"/>
        <v>0</v>
      </c>
      <c r="L35" s="9">
        <f>'17'!F35+'17'!I35+'18'!C35+'18'!F35</f>
        <v>0</v>
      </c>
      <c r="M35" s="9">
        <f>'17'!G35+'17'!J35+'18'!D35+'18'!G35</f>
        <v>0</v>
      </c>
      <c r="N35" s="9">
        <f>'17'!H35+'17'!K35+'18'!E35+'18'!H35</f>
        <v>0</v>
      </c>
    </row>
    <row r="36" spans="1:40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13" ref="D36:M36">SUM(D32:D35)</f>
        <v>0</v>
      </c>
      <c r="E36" s="16">
        <f t="shared" si="13"/>
        <v>0</v>
      </c>
      <c r="F36" s="16">
        <f t="shared" si="13"/>
        <v>0</v>
      </c>
      <c r="G36" s="16">
        <f t="shared" si="13"/>
        <v>0</v>
      </c>
      <c r="H36" s="16">
        <f t="shared" si="13"/>
        <v>0</v>
      </c>
      <c r="I36" s="94">
        <f t="shared" si="13"/>
        <v>0</v>
      </c>
      <c r="J36" s="94">
        <f t="shared" si="13"/>
        <v>0</v>
      </c>
      <c r="K36" s="102">
        <f t="shared" si="7"/>
        <v>0</v>
      </c>
      <c r="L36" s="77">
        <f t="shared" si="13"/>
        <v>0</v>
      </c>
      <c r="M36" s="77">
        <f t="shared" si="13"/>
        <v>0</v>
      </c>
      <c r="N36" s="77">
        <f>'17'!H36+'17'!K36+'18'!E36+'18'!H36</f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99">
        <f aca="true" t="shared" si="14" ref="I37:J39">C37+F37</f>
        <v>0</v>
      </c>
      <c r="J37" s="99">
        <f t="shared" si="14"/>
        <v>0</v>
      </c>
      <c r="K37" s="144">
        <f t="shared" si="7"/>
        <v>0</v>
      </c>
      <c r="L37" s="90">
        <f>'17'!F37+'17'!I37+'18'!C37+'18'!F37</f>
        <v>0</v>
      </c>
      <c r="M37" s="90">
        <f>'17'!G37+'17'!J37+'18'!D37+'18'!G37</f>
        <v>0</v>
      </c>
      <c r="N37" s="90">
        <f>'17'!H37+'17'!K37+'18'!E37+'18'!H37</f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99">
        <f t="shared" si="14"/>
        <v>0</v>
      </c>
      <c r="J38" s="99">
        <f t="shared" si="14"/>
        <v>0</v>
      </c>
      <c r="K38" s="100">
        <f t="shared" si="7"/>
        <v>0</v>
      </c>
      <c r="L38" s="21">
        <f>'17'!F38+'17'!I38+'18'!C38+'18'!F38</f>
        <v>0</v>
      </c>
      <c r="M38" s="21">
        <f>'17'!G38+'17'!J38+'18'!D38+'18'!G38</f>
        <v>0</v>
      </c>
      <c r="N38" s="21">
        <f>'17'!H38+'17'!K38+'18'!E38+'18'!H38</f>
        <v>0</v>
      </c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99">
        <f t="shared" si="14"/>
        <v>0</v>
      </c>
      <c r="J39" s="99">
        <f t="shared" si="14"/>
        <v>0</v>
      </c>
      <c r="K39" s="143">
        <f t="shared" si="7"/>
        <v>0</v>
      </c>
      <c r="L39" s="139">
        <f>'17'!F39+'17'!I39+'18'!C39+'18'!F39</f>
        <v>0</v>
      </c>
      <c r="M39" s="139">
        <f>'17'!G39+'17'!J39+'18'!D39+'18'!G39</f>
        <v>0</v>
      </c>
      <c r="N39" s="139">
        <f>'17'!H39+'17'!K39+'18'!E39+'18'!H39</f>
        <v>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15" ref="D40:M40">SUM(D37:D39)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0</v>
      </c>
      <c r="I40" s="94">
        <f t="shared" si="15"/>
        <v>0</v>
      </c>
      <c r="J40" s="94">
        <f t="shared" si="15"/>
        <v>0</v>
      </c>
      <c r="K40" s="102">
        <f t="shared" si="7"/>
        <v>0</v>
      </c>
      <c r="L40" s="77">
        <f t="shared" si="15"/>
        <v>0</v>
      </c>
      <c r="M40" s="77">
        <f t="shared" si="15"/>
        <v>0</v>
      </c>
      <c r="N40" s="77">
        <f>'17'!H40+'17'!K40+'18'!E40+'18'!H40</f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00"/>
      <c r="J41" s="100"/>
      <c r="K41" s="102">
        <f t="shared" si="7"/>
        <v>0</v>
      </c>
      <c r="L41" s="77"/>
      <c r="M41" s="77"/>
      <c r="N41" s="77">
        <f>'17'!H41+'17'!K41+'18'!E41+'18'!H41</f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94"/>
      <c r="J42" s="94"/>
      <c r="K42" s="102">
        <f t="shared" si="7"/>
        <v>0</v>
      </c>
      <c r="L42" s="77"/>
      <c r="M42" s="77"/>
      <c r="N42" s="77">
        <f>'17'!H42+'17'!K42+'18'!E42+'18'!H42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94"/>
      <c r="J43" s="94"/>
      <c r="K43" s="102"/>
      <c r="L43" s="77"/>
      <c r="M43" s="77"/>
      <c r="N43" s="7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16" ref="D44:M44">SUM(D41:D42)</f>
        <v>0</v>
      </c>
      <c r="E44" s="16">
        <f t="shared" si="16"/>
        <v>0</v>
      </c>
      <c r="F44" s="16">
        <f t="shared" si="16"/>
        <v>0</v>
      </c>
      <c r="G44" s="16">
        <f t="shared" si="16"/>
        <v>0</v>
      </c>
      <c r="H44" s="16">
        <f t="shared" si="16"/>
        <v>0</v>
      </c>
      <c r="I44" s="94">
        <f t="shared" si="16"/>
        <v>0</v>
      </c>
      <c r="J44" s="94">
        <f t="shared" si="16"/>
        <v>0</v>
      </c>
      <c r="K44" s="102">
        <f t="shared" si="7"/>
        <v>0</v>
      </c>
      <c r="L44" s="77">
        <f t="shared" si="16"/>
        <v>0</v>
      </c>
      <c r="M44" s="77">
        <f t="shared" si="16"/>
        <v>0</v>
      </c>
      <c r="N44" s="77">
        <f>'17'!H44+'17'!K44+'18'!E44+'18'!H44</f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100"/>
      <c r="J45" s="100"/>
      <c r="K45" s="144">
        <f t="shared" si="7"/>
        <v>0</v>
      </c>
      <c r="L45" s="90"/>
      <c r="M45" s="90"/>
      <c r="N45" s="90">
        <f>'17'!H45+'17'!K45+'18'!E45+'18'!H45</f>
        <v>0</v>
      </c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100"/>
      <c r="J46" s="100"/>
      <c r="K46" s="143">
        <f t="shared" si="7"/>
        <v>0</v>
      </c>
      <c r="L46" s="139"/>
      <c r="M46" s="139"/>
      <c r="N46" s="139">
        <f>'17'!H46+'17'!K46+'18'!E46+'18'!H46</f>
        <v>0</v>
      </c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7" ref="D47:M47">SUM(D45:D46)</f>
        <v>0</v>
      </c>
      <c r="E47" s="77">
        <f t="shared" si="17"/>
        <v>0</v>
      </c>
      <c r="F47" s="77">
        <f t="shared" si="17"/>
        <v>0</v>
      </c>
      <c r="G47" s="77">
        <f t="shared" si="17"/>
        <v>0</v>
      </c>
      <c r="H47" s="77">
        <f t="shared" si="17"/>
        <v>0</v>
      </c>
      <c r="I47" s="102">
        <f t="shared" si="17"/>
        <v>0</v>
      </c>
      <c r="J47" s="102">
        <f t="shared" si="17"/>
        <v>0</v>
      </c>
      <c r="K47" s="102">
        <f t="shared" si="7"/>
        <v>0</v>
      </c>
      <c r="L47" s="77">
        <f t="shared" si="17"/>
        <v>0</v>
      </c>
      <c r="M47" s="77">
        <f t="shared" si="17"/>
        <v>0</v>
      </c>
      <c r="N47" s="77">
        <f>'17'!H47+'17'!K47+'18'!E47+'18'!H47</f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100"/>
      <c r="J48" s="100"/>
      <c r="K48" s="102">
        <f t="shared" si="7"/>
        <v>0</v>
      </c>
      <c r="L48" s="77"/>
      <c r="M48" s="77"/>
      <c r="N48" s="77">
        <f>'17'!H48+'17'!K48+'18'!E48+'18'!H48</f>
        <v>0</v>
      </c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8" ref="D49:M49">SUM(D47,D44,D48)</f>
        <v>0</v>
      </c>
      <c r="E49" s="77">
        <f t="shared" si="18"/>
        <v>0</v>
      </c>
      <c r="F49" s="77">
        <f t="shared" si="18"/>
        <v>0</v>
      </c>
      <c r="G49" s="77">
        <f t="shared" si="18"/>
        <v>0</v>
      </c>
      <c r="H49" s="77">
        <f t="shared" si="18"/>
        <v>0</v>
      </c>
      <c r="I49" s="77">
        <f t="shared" si="18"/>
        <v>0</v>
      </c>
      <c r="J49" s="77">
        <f t="shared" si="18"/>
        <v>0</v>
      </c>
      <c r="K49" s="102">
        <f t="shared" si="7"/>
        <v>0</v>
      </c>
      <c r="L49" s="77">
        <f t="shared" si="18"/>
        <v>0</v>
      </c>
      <c r="M49" s="77">
        <f t="shared" si="18"/>
        <v>0</v>
      </c>
      <c r="N49" s="77">
        <f>'17'!H49+'17'!K49+'18'!E49+'18'!H49</f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9" ref="D50:M50">SUM(D49,D40,D36)</f>
        <v>0</v>
      </c>
      <c r="E50" s="9">
        <f t="shared" si="19"/>
        <v>0</v>
      </c>
      <c r="F50" s="9">
        <f t="shared" si="19"/>
        <v>0</v>
      </c>
      <c r="G50" s="9">
        <f t="shared" si="19"/>
        <v>0</v>
      </c>
      <c r="H50" s="9">
        <f t="shared" si="19"/>
        <v>0</v>
      </c>
      <c r="I50" s="9">
        <f t="shared" si="19"/>
        <v>0</v>
      </c>
      <c r="J50" s="9">
        <f t="shared" si="19"/>
        <v>0</v>
      </c>
      <c r="K50" s="102">
        <f t="shared" si="7"/>
        <v>0</v>
      </c>
      <c r="L50" s="77">
        <f t="shared" si="19"/>
        <v>0</v>
      </c>
      <c r="M50" s="77">
        <f t="shared" si="19"/>
        <v>0</v>
      </c>
      <c r="N50" s="77">
        <f>'17'!H50+'17'!K50+'18'!E50+'18'!H50</f>
        <v>0</v>
      </c>
      <c r="AA50" s="19"/>
      <c r="AB50" s="19"/>
      <c r="AC50" s="19"/>
    </row>
    <row r="51" spans="1:14" ht="13.5" thickBot="1">
      <c r="A51" s="32"/>
      <c r="B51" s="33" t="s">
        <v>43</v>
      </c>
      <c r="C51" s="34"/>
      <c r="D51" s="34"/>
      <c r="E51" s="34"/>
      <c r="F51" s="34"/>
      <c r="G51" s="34"/>
      <c r="H51" s="34"/>
      <c r="I51" s="103"/>
      <c r="J51" s="103"/>
      <c r="K51" s="102">
        <f t="shared" si="7"/>
        <v>0</v>
      </c>
      <c r="L51" s="147">
        <f>'17'!F51+'17'!I51+'18'!C51+'18'!F51</f>
        <v>0</v>
      </c>
      <c r="M51" s="147">
        <f>'17'!G51+'17'!J51+'18'!D51+'18'!G51</f>
        <v>0</v>
      </c>
      <c r="N51" s="77">
        <f>'17'!H51+'17'!K51+'18'!E51+'18'!H51</f>
        <v>0</v>
      </c>
    </row>
    <row r="52" spans="1:14" ht="13.5" thickBot="1">
      <c r="A52" s="37"/>
      <c r="B52" s="33" t="s">
        <v>44</v>
      </c>
      <c r="C52" s="42"/>
      <c r="D52" s="42"/>
      <c r="E52" s="42"/>
      <c r="F52" s="42"/>
      <c r="G52" s="42"/>
      <c r="H52" s="38"/>
      <c r="I52" s="104"/>
      <c r="J52" s="104"/>
      <c r="K52" s="102">
        <f t="shared" si="7"/>
        <v>0</v>
      </c>
      <c r="L52" s="148"/>
      <c r="M52" s="148"/>
      <c r="N52" s="77">
        <f>'17'!H52+'17'!K52+'18'!E52+'18'!H52</f>
        <v>0</v>
      </c>
    </row>
    <row r="53" spans="5:11" ht="12.75">
      <c r="E53" s="49"/>
      <c r="H53" s="31"/>
      <c r="K53" s="31"/>
    </row>
    <row r="54" spans="5:11" ht="12.75">
      <c r="E54" s="49"/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4">
    <mergeCell ref="F4:H4"/>
    <mergeCell ref="L4:N4"/>
    <mergeCell ref="F5:F6"/>
    <mergeCell ref="G5:G6"/>
    <mergeCell ref="I5:I6"/>
    <mergeCell ref="J5:J6"/>
    <mergeCell ref="B1:N1"/>
    <mergeCell ref="A3:B6"/>
    <mergeCell ref="C3:E3"/>
    <mergeCell ref="F3:H3"/>
    <mergeCell ref="I3:K4"/>
    <mergeCell ref="L3:N3"/>
    <mergeCell ref="K5:K6"/>
    <mergeCell ref="C5:C6"/>
    <mergeCell ref="N5:N6"/>
    <mergeCell ref="C4:E4"/>
    <mergeCell ref="A8:B8"/>
    <mergeCell ref="A28:B28"/>
    <mergeCell ref="L5:L6"/>
    <mergeCell ref="M5:M6"/>
    <mergeCell ref="A7:B7"/>
    <mergeCell ref="H5:H6"/>
    <mergeCell ref="D5:D6"/>
    <mergeCell ref="E5:E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63">
        <v>1301</v>
      </c>
      <c r="D3" s="163"/>
      <c r="E3" s="163"/>
      <c r="F3" s="163">
        <v>1302</v>
      </c>
      <c r="G3" s="163"/>
      <c r="H3" s="163"/>
      <c r="I3" s="163">
        <v>1303</v>
      </c>
      <c r="J3" s="163"/>
      <c r="K3" s="163"/>
      <c r="L3" s="163">
        <v>1304</v>
      </c>
      <c r="M3" s="163"/>
      <c r="N3" s="163"/>
    </row>
    <row r="4" spans="1:14" s="48" customFormat="1" ht="24" customHeight="1" thickBot="1">
      <c r="A4" s="161"/>
      <c r="B4" s="161"/>
      <c r="C4" s="168" t="s">
        <v>24</v>
      </c>
      <c r="D4" s="168"/>
      <c r="E4" s="168"/>
      <c r="F4" s="165" t="s">
        <v>97</v>
      </c>
      <c r="G4" s="165"/>
      <c r="H4" s="165"/>
      <c r="I4" s="165" t="s">
        <v>98</v>
      </c>
      <c r="J4" s="165"/>
      <c r="K4" s="165"/>
      <c r="L4" s="195" t="s">
        <v>99</v>
      </c>
      <c r="M4" s="195"/>
      <c r="N4" s="19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>
        <v>100000</v>
      </c>
      <c r="D13" s="12">
        <v>35980</v>
      </c>
      <c r="E13" s="8">
        <v>0</v>
      </c>
      <c r="F13" s="8">
        <v>19000</v>
      </c>
      <c r="G13" s="8">
        <v>579</v>
      </c>
      <c r="H13" s="8">
        <v>0</v>
      </c>
      <c r="I13" s="8">
        <v>2500</v>
      </c>
      <c r="J13" s="8"/>
      <c r="K13" s="8">
        <v>0</v>
      </c>
      <c r="L13" s="8">
        <v>19000</v>
      </c>
      <c r="M13" s="8">
        <v>35</v>
      </c>
      <c r="N13" s="8">
        <v>0</v>
      </c>
      <c r="P13" s="49"/>
    </row>
    <row r="14" spans="1:14" ht="10.5" customHeight="1">
      <c r="A14" s="14" t="s">
        <v>16</v>
      </c>
      <c r="B14" s="15" t="s">
        <v>155</v>
      </c>
      <c r="C14" s="16">
        <f>SUM(C9:C13)</f>
        <v>100000</v>
      </c>
      <c r="D14" s="16">
        <f aca="true" t="shared" si="0" ref="D14:N14">SUM(D9:D13)</f>
        <v>35980</v>
      </c>
      <c r="E14" s="16">
        <f t="shared" si="0"/>
        <v>0</v>
      </c>
      <c r="F14" s="16">
        <f t="shared" si="0"/>
        <v>19000</v>
      </c>
      <c r="G14" s="16">
        <f t="shared" si="0"/>
        <v>579</v>
      </c>
      <c r="H14" s="16">
        <f t="shared" si="0"/>
        <v>0</v>
      </c>
      <c r="I14" s="16">
        <f t="shared" si="0"/>
        <v>2500</v>
      </c>
      <c r="J14" s="16">
        <f t="shared" si="0"/>
        <v>0</v>
      </c>
      <c r="K14" s="16">
        <f t="shared" si="0"/>
        <v>0</v>
      </c>
      <c r="L14" s="16">
        <f t="shared" si="0"/>
        <v>19000</v>
      </c>
      <c r="M14" s="16">
        <f t="shared" si="0"/>
        <v>35</v>
      </c>
      <c r="N14" s="16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100000</v>
      </c>
      <c r="D27" s="9">
        <f aca="true" t="shared" si="5" ref="D27:N27">SUM(D26,D18,D14)</f>
        <v>35980</v>
      </c>
      <c r="E27" s="9">
        <f t="shared" si="5"/>
        <v>0</v>
      </c>
      <c r="F27" s="9">
        <f t="shared" si="5"/>
        <v>19000</v>
      </c>
      <c r="G27" s="9">
        <f t="shared" si="5"/>
        <v>579</v>
      </c>
      <c r="H27" s="9">
        <f t="shared" si="5"/>
        <v>0</v>
      </c>
      <c r="I27" s="9">
        <f t="shared" si="5"/>
        <v>2500</v>
      </c>
      <c r="J27" s="9">
        <f t="shared" si="5"/>
        <v>0</v>
      </c>
      <c r="K27" s="9">
        <f t="shared" si="5"/>
        <v>0</v>
      </c>
      <c r="L27" s="9">
        <f t="shared" si="5"/>
        <v>19000</v>
      </c>
      <c r="M27" s="9">
        <f t="shared" si="5"/>
        <v>35</v>
      </c>
      <c r="N27" s="9">
        <f t="shared" si="5"/>
        <v>0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6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6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8"/>
      <c r="M34" s="8"/>
      <c r="N34" s="18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</row>
    <row r="36" spans="1:40" ht="10.5" customHeigh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"/>
      <c r="M37" s="8"/>
      <c r="N37" s="18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AA50" s="19"/>
      <c r="AB50" s="19"/>
      <c r="AC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zoomScale="92" zoomScaleNormal="92"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125" style="1" customWidth="1"/>
    <col min="16" max="19" width="0" style="1" hidden="1" customWidth="1"/>
    <col min="20" max="16384" width="9.125" style="1" customWidth="1"/>
  </cols>
  <sheetData>
    <row r="1" spans="2:14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8.25" customHeight="1">
      <c r="N2" s="3" t="s">
        <v>0</v>
      </c>
    </row>
    <row r="3" spans="1:14" ht="9" customHeight="1">
      <c r="A3" s="161" t="s">
        <v>1</v>
      </c>
      <c r="B3" s="161"/>
      <c r="C3" s="163">
        <v>1004</v>
      </c>
      <c r="D3" s="163"/>
      <c r="E3" s="163"/>
      <c r="F3" s="163">
        <v>1005</v>
      </c>
      <c r="G3" s="163"/>
      <c r="H3" s="163"/>
      <c r="I3" s="163">
        <v>1006</v>
      </c>
      <c r="J3" s="163"/>
      <c r="K3" s="163"/>
      <c r="L3" s="163">
        <v>1007</v>
      </c>
      <c r="M3" s="163"/>
      <c r="N3" s="163"/>
    </row>
    <row r="4" spans="1:14" s="4" customFormat="1" ht="22.5" customHeight="1" thickBot="1">
      <c r="A4" s="161"/>
      <c r="B4" s="161"/>
      <c r="C4" s="165" t="s">
        <v>45</v>
      </c>
      <c r="D4" s="165"/>
      <c r="E4" s="165"/>
      <c r="F4" s="166" t="s">
        <v>46</v>
      </c>
      <c r="G4" s="166"/>
      <c r="H4" s="166"/>
      <c r="I4" s="164" t="s">
        <v>47</v>
      </c>
      <c r="J4" s="164"/>
      <c r="K4" s="164"/>
      <c r="L4" s="165" t="s">
        <v>48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>
        <v>199520</v>
      </c>
      <c r="G11" s="10">
        <v>150375</v>
      </c>
      <c r="H11" s="10">
        <v>149996</v>
      </c>
      <c r="I11" s="13">
        <v>580984</v>
      </c>
      <c r="J11" s="13">
        <v>929216</v>
      </c>
      <c r="K11" s="11">
        <v>561224</v>
      </c>
      <c r="L11" s="8">
        <v>519570</v>
      </c>
      <c r="M11" s="8">
        <v>413492</v>
      </c>
      <c r="N11" s="8">
        <v>413492</v>
      </c>
    </row>
    <row r="12" spans="1:14" ht="10.5" customHeight="1">
      <c r="A12" s="4" t="s">
        <v>11</v>
      </c>
      <c r="B12" s="3" t="s">
        <v>14</v>
      </c>
      <c r="C12" s="10"/>
      <c r="D12" s="10">
        <v>18432</v>
      </c>
      <c r="E12" s="10">
        <v>18181</v>
      </c>
      <c r="F12" s="10"/>
      <c r="G12" s="10"/>
      <c r="H12" s="10"/>
      <c r="I12" s="8"/>
      <c r="J12" s="8"/>
      <c r="K12" s="8"/>
      <c r="L12" s="8"/>
      <c r="M12" s="8"/>
      <c r="N12" s="8"/>
    </row>
    <row r="13" spans="1:14" ht="10.5" customHeight="1">
      <c r="A13" s="4" t="s">
        <v>13</v>
      </c>
      <c r="B13" s="3" t="s">
        <v>15</v>
      </c>
      <c r="C13" s="8">
        <v>10000</v>
      </c>
      <c r="D13" s="12"/>
      <c r="E13" s="8">
        <v>0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ht="10.5" customHeight="1">
      <c r="A14" s="14" t="s">
        <v>16</v>
      </c>
      <c r="B14" s="15" t="s">
        <v>155</v>
      </c>
      <c r="C14" s="16">
        <f>SUM(C9:C13)</f>
        <v>10000</v>
      </c>
      <c r="D14" s="16">
        <f aca="true" t="shared" si="0" ref="D14:N14">SUM(D9:D13)</f>
        <v>18432</v>
      </c>
      <c r="E14" s="16">
        <f t="shared" si="0"/>
        <v>18181</v>
      </c>
      <c r="F14" s="16">
        <f t="shared" si="0"/>
        <v>199520</v>
      </c>
      <c r="G14" s="16">
        <f t="shared" si="0"/>
        <v>150375</v>
      </c>
      <c r="H14" s="16">
        <f t="shared" si="0"/>
        <v>149996</v>
      </c>
      <c r="I14" s="16">
        <f t="shared" si="0"/>
        <v>580984</v>
      </c>
      <c r="J14" s="16">
        <f t="shared" si="0"/>
        <v>929216</v>
      </c>
      <c r="K14" s="16">
        <f t="shared" si="0"/>
        <v>561224</v>
      </c>
      <c r="L14" s="16">
        <f t="shared" si="0"/>
        <v>519570</v>
      </c>
      <c r="M14" s="16">
        <f t="shared" si="0"/>
        <v>413492</v>
      </c>
      <c r="N14" s="16">
        <f t="shared" si="0"/>
        <v>413492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10000</v>
      </c>
      <c r="D27" s="9">
        <f aca="true" t="shared" si="5" ref="D27:N27">SUM(D26,D18,D14)</f>
        <v>18432</v>
      </c>
      <c r="E27" s="9">
        <f t="shared" si="5"/>
        <v>18181</v>
      </c>
      <c r="F27" s="9">
        <f t="shared" si="5"/>
        <v>199520</v>
      </c>
      <c r="G27" s="9">
        <f t="shared" si="5"/>
        <v>150375</v>
      </c>
      <c r="H27" s="9">
        <f t="shared" si="5"/>
        <v>149996</v>
      </c>
      <c r="I27" s="9">
        <f t="shared" si="5"/>
        <v>580984</v>
      </c>
      <c r="J27" s="9">
        <f t="shared" si="5"/>
        <v>929216</v>
      </c>
      <c r="K27" s="9">
        <f t="shared" si="5"/>
        <v>561224</v>
      </c>
      <c r="L27" s="9">
        <f t="shared" si="5"/>
        <v>519570</v>
      </c>
      <c r="M27" s="9">
        <f t="shared" si="5"/>
        <v>413492</v>
      </c>
      <c r="N27" s="9">
        <f t="shared" si="5"/>
        <v>413492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/>
      <c r="M29" s="40"/>
      <c r="N29" s="41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40"/>
      <c r="M30" s="40"/>
      <c r="N30" s="41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40"/>
      <c r="M31" s="40"/>
      <c r="N31" s="41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30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14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</row>
    <row r="54" spans="11:22" ht="12.75">
      <c r="K54" s="10"/>
      <c r="L54" s="110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1:22" ht="12.75">
      <c r="K55" s="10"/>
      <c r="L55" s="110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1:22" ht="12.75">
      <c r="K56" s="111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1:22" ht="12.75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1:22" ht="12.75">
      <c r="K58" s="111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1:22" ht="12.75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1:22" ht="12.75">
      <c r="K60" s="53"/>
      <c r="L60" s="110"/>
      <c r="M60" s="53"/>
      <c r="N60" s="53"/>
      <c r="O60" s="53"/>
      <c r="P60" s="53"/>
      <c r="Q60" s="53"/>
      <c r="R60" s="53"/>
      <c r="S60" s="53"/>
      <c r="T60" s="53"/>
      <c r="U60" s="53"/>
      <c r="V60" s="53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22013888888888888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7" width="10.00390625" style="1" customWidth="1"/>
    <col min="8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63">
        <v>1305</v>
      </c>
      <c r="D3" s="163"/>
      <c r="E3" s="163"/>
      <c r="F3" s="163">
        <v>1306</v>
      </c>
      <c r="G3" s="163"/>
      <c r="H3" s="163"/>
      <c r="I3" s="163">
        <v>1307</v>
      </c>
      <c r="J3" s="163"/>
      <c r="K3" s="163"/>
      <c r="L3" s="163">
        <v>1308</v>
      </c>
      <c r="M3" s="163"/>
      <c r="N3" s="163"/>
    </row>
    <row r="4" spans="1:14" s="48" customFormat="1" ht="24" customHeight="1" thickBot="1">
      <c r="A4" s="161"/>
      <c r="B4" s="161"/>
      <c r="C4" s="165" t="s">
        <v>100</v>
      </c>
      <c r="D4" s="165"/>
      <c r="E4" s="165"/>
      <c r="F4" s="195" t="s">
        <v>101</v>
      </c>
      <c r="G4" s="195"/>
      <c r="H4" s="195"/>
      <c r="I4" s="165" t="s">
        <v>102</v>
      </c>
      <c r="J4" s="165"/>
      <c r="K4" s="165"/>
      <c r="L4" s="165" t="s">
        <v>103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>
        <v>8200</v>
      </c>
      <c r="D13" s="12">
        <v>95</v>
      </c>
      <c r="E13" s="8">
        <v>0</v>
      </c>
      <c r="F13" s="8"/>
      <c r="G13" s="8"/>
      <c r="H13" s="8"/>
      <c r="I13" s="8">
        <v>11934</v>
      </c>
      <c r="J13" s="8">
        <v>0</v>
      </c>
      <c r="K13" s="8">
        <v>0</v>
      </c>
      <c r="L13" s="8">
        <v>155000</v>
      </c>
      <c r="M13" s="8">
        <v>5534</v>
      </c>
      <c r="N13" s="8">
        <v>0</v>
      </c>
      <c r="P13" s="49"/>
    </row>
    <row r="14" spans="1:14" ht="10.5" customHeight="1">
      <c r="A14" s="14" t="s">
        <v>16</v>
      </c>
      <c r="B14" s="15" t="s">
        <v>155</v>
      </c>
      <c r="C14" s="16">
        <f>SUM(C9:C13)</f>
        <v>8200</v>
      </c>
      <c r="D14" s="16">
        <f aca="true" t="shared" si="0" ref="D14:N14">SUM(D9:D13)</f>
        <v>95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11934</v>
      </c>
      <c r="J14" s="16">
        <f t="shared" si="0"/>
        <v>0</v>
      </c>
      <c r="K14" s="16">
        <f t="shared" si="0"/>
        <v>0</v>
      </c>
      <c r="L14" s="16">
        <f t="shared" si="0"/>
        <v>155000</v>
      </c>
      <c r="M14" s="16">
        <f t="shared" si="0"/>
        <v>5534</v>
      </c>
      <c r="N14" s="16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>
        <v>2195334</v>
      </c>
      <c r="G17" s="8">
        <v>1151778</v>
      </c>
      <c r="H17" s="8">
        <v>0</v>
      </c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2195334</v>
      </c>
      <c r="G18" s="16">
        <f t="shared" si="1"/>
        <v>1151778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8200</v>
      </c>
      <c r="D27" s="9">
        <f aca="true" t="shared" si="5" ref="D27:N27">SUM(D26,D18,D14)</f>
        <v>95</v>
      </c>
      <c r="E27" s="9">
        <f t="shared" si="5"/>
        <v>0</v>
      </c>
      <c r="F27" s="9">
        <f t="shared" si="5"/>
        <v>2195334</v>
      </c>
      <c r="G27" s="9">
        <f t="shared" si="5"/>
        <v>1151778</v>
      </c>
      <c r="H27" s="9">
        <f t="shared" si="5"/>
        <v>0</v>
      </c>
      <c r="I27" s="9">
        <f t="shared" si="5"/>
        <v>11934</v>
      </c>
      <c r="J27" s="9">
        <f t="shared" si="5"/>
        <v>0</v>
      </c>
      <c r="K27" s="9">
        <f t="shared" si="5"/>
        <v>0</v>
      </c>
      <c r="L27" s="9">
        <f t="shared" si="5"/>
        <v>155000</v>
      </c>
      <c r="M27" s="9">
        <f t="shared" si="5"/>
        <v>5534</v>
      </c>
      <c r="N27" s="9">
        <f t="shared" si="5"/>
        <v>0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8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6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6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8"/>
      <c r="M34" s="8"/>
      <c r="N34" s="18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</row>
    <row r="36" spans="1:40" ht="10.5" customHeigh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"/>
      <c r="M37" s="8"/>
      <c r="N37" s="18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AA50" s="19"/>
      <c r="AB50" s="19"/>
      <c r="AC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63">
        <v>1309</v>
      </c>
      <c r="D3" s="163"/>
      <c r="E3" s="163"/>
      <c r="F3" s="163">
        <v>1310</v>
      </c>
      <c r="G3" s="163"/>
      <c r="H3" s="163"/>
      <c r="I3" s="163">
        <v>1311</v>
      </c>
      <c r="J3" s="163"/>
      <c r="K3" s="163"/>
      <c r="L3" s="163">
        <v>1312</v>
      </c>
      <c r="M3" s="163"/>
      <c r="N3" s="163"/>
    </row>
    <row r="4" spans="1:14" s="48" customFormat="1" ht="24" customHeight="1" thickBot="1">
      <c r="A4" s="161"/>
      <c r="B4" s="161"/>
      <c r="C4" s="165" t="s">
        <v>104</v>
      </c>
      <c r="D4" s="165"/>
      <c r="E4" s="165"/>
      <c r="F4" s="195" t="s">
        <v>105</v>
      </c>
      <c r="G4" s="195"/>
      <c r="H4" s="195"/>
      <c r="I4" s="165" t="s">
        <v>106</v>
      </c>
      <c r="J4" s="165"/>
      <c r="K4" s="165"/>
      <c r="L4" s="165" t="s">
        <v>107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>
        <v>50000</v>
      </c>
      <c r="D13" s="12">
        <v>0</v>
      </c>
      <c r="E13" s="8">
        <v>0</v>
      </c>
      <c r="F13" s="8">
        <v>5950</v>
      </c>
      <c r="G13" s="8">
        <v>41</v>
      </c>
      <c r="H13" s="8">
        <v>0</v>
      </c>
      <c r="I13" s="8">
        <v>7650</v>
      </c>
      <c r="J13" s="8">
        <v>321</v>
      </c>
      <c r="K13" s="8">
        <v>0</v>
      </c>
      <c r="L13" s="8">
        <v>3600</v>
      </c>
      <c r="M13" s="8">
        <v>844</v>
      </c>
      <c r="N13" s="8">
        <v>0</v>
      </c>
      <c r="P13" s="49"/>
    </row>
    <row r="14" spans="1:14" ht="10.5" customHeight="1">
      <c r="A14" s="14" t="s">
        <v>16</v>
      </c>
      <c r="B14" s="15" t="s">
        <v>155</v>
      </c>
      <c r="C14" s="16">
        <f>SUM(C9:C13)</f>
        <v>50000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5950</v>
      </c>
      <c r="G14" s="16">
        <f t="shared" si="0"/>
        <v>41</v>
      </c>
      <c r="H14" s="16">
        <f t="shared" si="0"/>
        <v>0</v>
      </c>
      <c r="I14" s="16">
        <f t="shared" si="0"/>
        <v>7650</v>
      </c>
      <c r="J14" s="16">
        <f t="shared" si="0"/>
        <v>321</v>
      </c>
      <c r="K14" s="16">
        <f t="shared" si="0"/>
        <v>0</v>
      </c>
      <c r="L14" s="16">
        <f t="shared" si="0"/>
        <v>3600</v>
      </c>
      <c r="M14" s="16">
        <f t="shared" si="0"/>
        <v>844</v>
      </c>
      <c r="N14" s="16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50000</v>
      </c>
      <c r="D27" s="9">
        <f aca="true" t="shared" si="5" ref="D27:N27">SUM(D26,D18,D14)</f>
        <v>0</v>
      </c>
      <c r="E27" s="9">
        <f t="shared" si="5"/>
        <v>0</v>
      </c>
      <c r="F27" s="9">
        <f t="shared" si="5"/>
        <v>5950</v>
      </c>
      <c r="G27" s="9">
        <f t="shared" si="5"/>
        <v>41</v>
      </c>
      <c r="H27" s="9">
        <f t="shared" si="5"/>
        <v>0</v>
      </c>
      <c r="I27" s="9">
        <f t="shared" si="5"/>
        <v>7650</v>
      </c>
      <c r="J27" s="9">
        <f t="shared" si="5"/>
        <v>321</v>
      </c>
      <c r="K27" s="9">
        <f t="shared" si="5"/>
        <v>0</v>
      </c>
      <c r="L27" s="9">
        <f t="shared" si="5"/>
        <v>3600</v>
      </c>
      <c r="M27" s="9">
        <f t="shared" si="5"/>
        <v>844</v>
      </c>
      <c r="N27" s="9">
        <f t="shared" si="5"/>
        <v>0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/>
      <c r="M29" s="40"/>
      <c r="N29" s="41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40"/>
      <c r="M30" s="40"/>
      <c r="N30" s="41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40"/>
      <c r="M31" s="40"/>
      <c r="N31" s="41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40" ht="10.5" customHeigh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AA50" s="19"/>
      <c r="AB50" s="19"/>
      <c r="AC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63">
        <v>1313</v>
      </c>
      <c r="D3" s="163"/>
      <c r="E3" s="163"/>
      <c r="F3" s="163">
        <v>1314</v>
      </c>
      <c r="G3" s="163"/>
      <c r="H3" s="163"/>
      <c r="I3" s="179">
        <v>1315</v>
      </c>
      <c r="J3" s="179"/>
      <c r="K3" s="179"/>
      <c r="L3" s="163">
        <v>1316</v>
      </c>
      <c r="M3" s="163"/>
      <c r="N3" s="163"/>
    </row>
    <row r="4" spans="1:14" s="48" customFormat="1" ht="24" customHeight="1" thickBot="1">
      <c r="A4" s="161"/>
      <c r="B4" s="161"/>
      <c r="C4" s="195" t="s">
        <v>108</v>
      </c>
      <c r="D4" s="195"/>
      <c r="E4" s="195"/>
      <c r="F4" s="195" t="s">
        <v>109</v>
      </c>
      <c r="G4" s="195"/>
      <c r="H4" s="195"/>
      <c r="I4" s="195" t="s">
        <v>110</v>
      </c>
      <c r="J4" s="195"/>
      <c r="K4" s="195"/>
      <c r="L4" s="195" t="s">
        <v>111</v>
      </c>
      <c r="M4" s="195"/>
      <c r="N4" s="19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3"/>
      <c r="M8" s="83"/>
      <c r="N8" s="83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3"/>
      <c r="M9" s="83"/>
      <c r="N9" s="83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83"/>
      <c r="M10" s="83"/>
      <c r="N10" s="83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3"/>
      <c r="M11" s="83"/>
      <c r="N11" s="83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3"/>
      <c r="M12" s="83"/>
      <c r="N12" s="83"/>
    </row>
    <row r="13" spans="1:16" ht="10.5" customHeight="1">
      <c r="A13" s="4" t="s">
        <v>13</v>
      </c>
      <c r="B13" s="3" t="s">
        <v>15</v>
      </c>
      <c r="C13" s="8">
        <v>0</v>
      </c>
      <c r="D13" s="12"/>
      <c r="E13" s="8">
        <f>5000-5000</f>
        <v>0</v>
      </c>
      <c r="F13" s="8">
        <v>197261</v>
      </c>
      <c r="G13" s="8">
        <f>216380+83862</f>
        <v>300242</v>
      </c>
      <c r="H13" s="8">
        <v>0</v>
      </c>
      <c r="I13" s="8"/>
      <c r="J13" s="8"/>
      <c r="K13" s="8"/>
      <c r="L13" s="83">
        <v>9180</v>
      </c>
      <c r="M13" s="83"/>
      <c r="N13" s="83">
        <v>0</v>
      </c>
      <c r="P13" s="49"/>
    </row>
    <row r="14" spans="1:14" ht="10.5" customHeigh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197261</v>
      </c>
      <c r="G14" s="16">
        <f t="shared" si="0"/>
        <v>300242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9180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5" ref="D27:N27">SUM(D26,D18,D14)</f>
        <v>0</v>
      </c>
      <c r="E27" s="9">
        <f t="shared" si="5"/>
        <v>0</v>
      </c>
      <c r="F27" s="9">
        <f t="shared" si="5"/>
        <v>197261</v>
      </c>
      <c r="G27" s="9">
        <f t="shared" si="5"/>
        <v>300242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9180</v>
      </c>
      <c r="M27" s="9">
        <f t="shared" si="5"/>
        <v>0</v>
      </c>
      <c r="N27" s="9">
        <f t="shared" si="5"/>
        <v>0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/>
      <c r="M29" s="40"/>
      <c r="N29" s="41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40"/>
      <c r="M30" s="40"/>
      <c r="N30" s="41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40"/>
      <c r="M31" s="40"/>
      <c r="N31" s="41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40" ht="10.5" customHeigh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AA50" s="19"/>
      <c r="AB50" s="19"/>
      <c r="AC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ht="12.75">
      <c r="H54" s="31"/>
      <c r="I54" s="49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2" width="9.375" style="1" customWidth="1"/>
    <col min="13" max="13" width="10.00390625" style="1" customWidth="1"/>
    <col min="14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63">
        <v>1317</v>
      </c>
      <c r="D3" s="163"/>
      <c r="E3" s="163"/>
      <c r="F3" s="179">
        <v>1318</v>
      </c>
      <c r="G3" s="179"/>
      <c r="H3" s="179"/>
      <c r="I3" s="175"/>
      <c r="J3" s="175"/>
      <c r="K3" s="175"/>
      <c r="L3" s="182">
        <v>1300</v>
      </c>
      <c r="M3" s="182"/>
      <c r="N3" s="182"/>
    </row>
    <row r="4" spans="1:14" s="48" customFormat="1" ht="24" customHeight="1" thickBot="1">
      <c r="A4" s="161"/>
      <c r="B4" s="161"/>
      <c r="C4" s="195" t="s">
        <v>112</v>
      </c>
      <c r="D4" s="195"/>
      <c r="E4" s="195"/>
      <c r="F4" s="195"/>
      <c r="G4" s="195"/>
      <c r="H4" s="195"/>
      <c r="I4" s="195"/>
      <c r="J4" s="195"/>
      <c r="K4" s="195"/>
      <c r="L4" s="182" t="s">
        <v>27</v>
      </c>
      <c r="M4" s="182"/>
      <c r="N4" s="182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>
        <f>'19'!C9+'19'!F9+'19'!I9+'19'!L9+'20'!C9+'20'!F9+'20'!I9+'20'!L9+'21'!C9+'21'!F9+'21'!I9+'21'!L9+'22'!C9+'22'!F9+'22'!I9+'22'!L9+'23'!C9+'23'!F9+'23'!I9</f>
        <v>0</v>
      </c>
      <c r="M9" s="9">
        <f>'19'!D9+'19'!G9+'19'!J9+'19'!M9+'20'!D9+'20'!G9+'20'!J9+'20'!M9+'21'!D9+'21'!G9+'21'!J9+'21'!M9+'22'!D9+'22'!G9+'22'!J9+'22'!M9+'23'!D9+'23'!G9+'23'!J9</f>
        <v>0</v>
      </c>
      <c r="N9" s="9">
        <f>'19'!E9+'19'!H9+'19'!K9+'19'!N9+'20'!E9+'20'!H9+'20'!K9+'20'!N9+'21'!E9+'21'!H9+'21'!K9+'21'!N9+'22'!E9+'22'!H9+'22'!K9+'22'!N9+'23'!E9+'23'!H9+'23'!K9</f>
        <v>0</v>
      </c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9">
        <f>'19'!C10+'19'!F10+'19'!I10+'19'!L10+'20'!C10+'20'!F10+'20'!I10+'20'!L10+'21'!C10+'21'!F10+'21'!I10+'21'!L10+'22'!C10+'22'!F10+'22'!I10+'22'!L10+'23'!C10+'23'!F10+'23'!I10</f>
        <v>0</v>
      </c>
      <c r="M10" s="9">
        <f>'19'!D10+'19'!G10+'19'!J10+'19'!M10+'20'!D10+'20'!G10+'20'!J10+'20'!M10+'21'!D10+'21'!G10+'21'!J10+'21'!M10+'22'!D10+'22'!G10+'22'!J10+'22'!M10+'23'!D10+'23'!G10+'23'!J10</f>
        <v>0</v>
      </c>
      <c r="N10" s="9">
        <f>'19'!E10+'19'!H10+'19'!K10+'19'!N10+'20'!E10+'20'!H10+'20'!K10+'20'!N10+'21'!E10+'21'!H10+'21'!K10+'21'!N10+'22'!E10+'22'!H10+'22'!K10+'22'!N10+'23'!E10+'23'!H10+'23'!K10</f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>
        <f>'19'!C11+'19'!F11+'19'!I11+'19'!L11+'20'!C11+'20'!F11+'20'!I11+'20'!L11+'21'!C11+'21'!F11+'21'!I11+'21'!L11+'22'!C11+'22'!F11+'22'!I11+'22'!L11+'23'!C11+'23'!F11+'23'!I11</f>
        <v>0</v>
      </c>
      <c r="M11" s="9">
        <f>'19'!D11+'19'!G11+'19'!J11+'19'!M11+'20'!D11+'20'!G11+'20'!J11+'20'!M11+'21'!D11+'21'!G11+'21'!J11+'21'!M11+'22'!D11+'22'!G11+'22'!J11+'22'!M11+'23'!D11+'23'!G11+'23'!J11</f>
        <v>0</v>
      </c>
      <c r="N11" s="9">
        <f>'19'!E11+'19'!H11+'19'!K11+'19'!N11+'20'!E11+'20'!H11+'20'!K11+'20'!N11+'21'!E11+'21'!H11+'21'!K11+'21'!N11+'22'!E11+'22'!H11+'22'!K11+'22'!N11+'23'!E11+'23'!H11+'23'!K11</f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>
        <f>'19'!C12+'19'!F12+'19'!I12+'19'!L12+'20'!C12+'20'!F12+'20'!I12+'20'!L12+'21'!C12+'21'!F12+'21'!I12+'21'!L12+'22'!C12+'22'!F12+'22'!I12+'22'!L12+'23'!C12+'23'!F12+'23'!I12</f>
        <v>0</v>
      </c>
      <c r="M12" s="9">
        <f>'19'!D12+'19'!G12+'19'!J12+'19'!M12+'20'!D12+'20'!G12+'20'!J12+'20'!M12+'21'!D12+'21'!G12+'21'!J12+'21'!M12+'22'!D12+'22'!G12+'22'!J12+'22'!M12+'23'!D12+'23'!G12+'23'!J12</f>
        <v>0</v>
      </c>
      <c r="N12" s="9">
        <f>'19'!E12+'19'!H12+'19'!K12+'19'!N12+'20'!E12+'20'!H12+'20'!K12+'20'!N12+'21'!E12+'21'!H12+'21'!K12+'21'!N12+'22'!E12+'22'!H12+'22'!K12+'22'!N12+'23'!E12+'23'!H12+'23'!K12</f>
        <v>0</v>
      </c>
    </row>
    <row r="13" spans="1:16" ht="10.5" customHeight="1" thickBo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>
        <f>'19'!C13+'19'!F13+'19'!I13+'19'!L13+'20'!C13+'20'!F13+'20'!I13+'20'!L13+'21'!C13+'21'!F13+'21'!I13+'21'!L13+'22'!C13+'22'!F13+'22'!I13+'22'!L13+'23'!C13+'23'!F13+'23'!I13</f>
        <v>589275</v>
      </c>
      <c r="M13" s="9">
        <f>'19'!D13+'19'!G13+'19'!J13+'19'!M13+'20'!D13+'20'!G13+'20'!J13+'20'!M13+'21'!D13+'21'!G13+'21'!J13+'21'!M13+'22'!D13+'22'!G13+'22'!J13+'22'!M13+'23'!D13+'23'!G13+'23'!J13</f>
        <v>343671</v>
      </c>
      <c r="N13" s="9">
        <f>'19'!E13+'19'!H13+'19'!K13+'19'!N13+'20'!E13+'20'!H13+'20'!K13+'20'!N13+'21'!E13+'21'!H13+'21'!K13+'21'!N13+'22'!E13+'22'!H13+'22'!K13+'22'!N13+'23'!E13+'23'!H13+'23'!K13</f>
        <v>0</v>
      </c>
      <c r="P13" s="49"/>
    </row>
    <row r="14" spans="1:14" ht="10.5" customHeight="1" thickBo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M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589275</v>
      </c>
      <c r="M14" s="16">
        <f t="shared" si="0"/>
        <v>343671</v>
      </c>
      <c r="N14" s="77">
        <f>'19'!E14+'19'!H14+'19'!K14+'19'!N14+'20'!E14+'20'!H14+'20'!K14+'20'!N14+'21'!E14+'21'!H14+'21'!K14+'21'!N14+'22'!E14+'22'!H14+'22'!K14+'22'!N14+'23'!E14+'23'!H14+'23'!K14</f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>
        <f>'19'!C15+'19'!F15+'19'!I15+'19'!L15+'20'!C15+'20'!F15+'20'!I15+'20'!L15+'21'!C15+'21'!F15+'21'!I15+'21'!L15+'22'!C15+'22'!F15+'22'!I15+'22'!L15+'23'!C15+'23'!F15+'23'!I15</f>
        <v>0</v>
      </c>
      <c r="M15" s="9">
        <f>'19'!D15+'19'!G15+'19'!J15+'19'!M15+'20'!D15+'20'!G15+'20'!J15+'20'!M15+'21'!D15+'21'!G15+'21'!J15+'21'!M15+'22'!D15+'22'!G15+'22'!J15+'22'!M15+'23'!D15+'23'!G15+'23'!J15</f>
        <v>0</v>
      </c>
      <c r="N15" s="90">
        <f>'19'!E15+'19'!H15+'19'!K15+'19'!N15+'20'!E15+'20'!H15+'20'!K15+'20'!N15+'21'!E15+'21'!H15+'21'!K15+'21'!N15+'22'!E15+'22'!H15+'22'!K15+'22'!N15+'23'!E15+'23'!H15+'23'!K15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>'19'!C16+'19'!F16+'19'!I16+'19'!L16+'20'!C16+'20'!F16+'20'!I16+'20'!L16+'21'!C16+'21'!F16+'21'!I16+'21'!L16+'22'!C16+'22'!F16+'22'!I16+'22'!L16+'23'!C16+'23'!F16+'23'!I16</f>
        <v>0</v>
      </c>
      <c r="M16" s="9">
        <f>'19'!D16+'19'!G16+'19'!J16+'19'!M16+'20'!D16+'20'!G16+'20'!J16+'20'!M16+'21'!D16+'21'!G16+'21'!J16+'21'!M16+'22'!D16+'22'!G16+'22'!J16+'22'!M16+'23'!D16+'23'!G16+'23'!J16</f>
        <v>0</v>
      </c>
      <c r="N16" s="21">
        <f>'19'!E16+'19'!H16+'19'!K16+'19'!N16+'20'!E16+'20'!H16+'20'!K16+'20'!N16+'21'!E16+'21'!H16+'21'!K16+'21'!N16+'22'!E16+'22'!H16+'22'!K16+'22'!N16+'23'!E16+'23'!H16+'23'!K16</f>
        <v>0</v>
      </c>
    </row>
    <row r="17" spans="1:14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>'19'!C17+'19'!F17+'19'!I17+'19'!L17+'20'!C17+'20'!F17+'20'!I17+'20'!L17+'21'!C17+'21'!F17+'21'!I17+'21'!L17+'22'!C17+'22'!F17+'22'!I17+'22'!L17+'23'!C17+'23'!F17+'23'!I17</f>
        <v>2195334</v>
      </c>
      <c r="M17" s="9">
        <f>'19'!D17+'19'!G17+'19'!J17+'19'!M17+'20'!D17+'20'!G17+'20'!J17+'20'!M17+'21'!D17+'21'!G17+'21'!J17+'21'!M17+'22'!D17+'22'!G17+'22'!J17+'22'!M17+'23'!D17+'23'!G17+'23'!J17</f>
        <v>1151778</v>
      </c>
      <c r="N17" s="139">
        <f>'19'!E17+'19'!H17+'19'!K17+'19'!N17+'20'!E17+'20'!H17+'20'!K17+'20'!N17+'21'!E17+'21'!H17+'21'!K17+'21'!N17+'22'!E17+'22'!H17+'22'!K17+'22'!N17+'23'!E17+'23'!H17+'23'!K17</f>
        <v>0</v>
      </c>
    </row>
    <row r="18" spans="1:14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M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2195334</v>
      </c>
      <c r="M18" s="16">
        <f t="shared" si="1"/>
        <v>1151778</v>
      </c>
      <c r="N18" s="77">
        <f>'19'!E18+'19'!H18+'19'!K18+'19'!N18+'20'!E18+'20'!H18+'20'!K18+'20'!N18+'21'!E18+'21'!H18+'21'!K18+'21'!N18+'22'!E18+'22'!H18+'22'!K18+'22'!N18+'23'!E18+'23'!H18+'23'!K18</f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7">
        <f>'19'!E19+'19'!H19+'19'!K19+'19'!N19+'20'!E19+'20'!H19+'20'!K19+'20'!N19+'21'!E19+'21'!H19+'21'!K19+'21'!N19+'22'!E19+'22'!H19+'22'!K19+'22'!N19+'23'!E19+'23'!H19+'23'!K19</f>
        <v>0</v>
      </c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M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77">
        <f>'19'!E20+'19'!H20+'19'!K20+'19'!N20+'20'!E20+'20'!H20+'20'!K20+'20'!N20+'21'!E20+'21'!H20+'21'!K20+'21'!N20+'22'!E20+'22'!H20+'22'!K20+'22'!N20+'23'!E20+'23'!H20+'23'!K20</f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9">
        <f>'19'!C21+'19'!F21+'19'!I21+'19'!L21+'20'!C21+'20'!F21+'20'!I21+'20'!L21+'21'!C21+'21'!F21+'21'!I21+'21'!L21+'22'!C21+'22'!F21+'22'!I21+'22'!L21+'23'!C21+'23'!F21+'23'!I21</f>
        <v>0</v>
      </c>
      <c r="M21" s="9">
        <f>'19'!D21+'19'!G21+'19'!J21+'19'!M21+'20'!D21+'20'!G21+'20'!J21+'20'!M21+'21'!D21+'21'!G21+'21'!J21+'21'!M21+'22'!D21+'22'!G21+'22'!J21+'22'!M21+'23'!D21+'23'!G21+'23'!J21</f>
        <v>0</v>
      </c>
      <c r="N21" s="90">
        <f>'19'!E21+'19'!H21+'19'!K21+'19'!N21+'20'!E21+'20'!H21+'20'!K21+'20'!N21+'21'!E21+'21'!H21+'21'!K21+'21'!N21+'22'!E21+'22'!H21+'22'!K21+'22'!N21+'23'!E21+'23'!H21+'23'!K21</f>
        <v>0</v>
      </c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9">
        <f>'19'!C22+'19'!F22+'19'!I22+'19'!L22+'20'!C22+'20'!F22+'20'!I22+'20'!L22+'21'!C22+'21'!F22+'21'!I22+'21'!L22+'22'!C22+'22'!F22+'22'!I22+'22'!L22+'23'!C22+'23'!F22+'23'!I22</f>
        <v>0</v>
      </c>
      <c r="M22" s="9">
        <f>'19'!D22+'19'!G22+'19'!J22+'19'!M22+'20'!D22+'20'!G22+'20'!J22+'20'!M22+'21'!D22+'21'!G22+'21'!J22+'21'!M22+'22'!D22+'22'!G22+'22'!J22+'22'!M22+'23'!D22+'23'!G22+'23'!J22</f>
        <v>0</v>
      </c>
      <c r="N22" s="21">
        <f>'19'!E22+'19'!H22+'19'!K22+'19'!N22+'20'!E22+'20'!H22+'20'!K22+'20'!N22+'21'!E22+'21'!H22+'21'!K22+'21'!N22+'22'!E22+'22'!H22+'22'!K22+'22'!N22+'23'!E22+'23'!H22+'23'!K22</f>
        <v>0</v>
      </c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'19'!C23+'19'!F23+'19'!I23+'19'!L23+'20'!C23+'20'!F23+'20'!I23+'20'!L23+'21'!C23+'21'!F23+'21'!I23+'21'!L23+'22'!C23+'22'!F23+'22'!I23+'22'!L23+'23'!C23+'23'!F23+'23'!I23</f>
        <v>0</v>
      </c>
      <c r="M23" s="9">
        <f>'19'!D23+'19'!G23+'19'!J23+'19'!M23+'20'!D23+'20'!G23+'20'!J23+'20'!M23+'21'!D23+'21'!G23+'21'!J23+'21'!M23+'22'!D23+'22'!G23+'22'!J23+'22'!M23+'23'!D23+'23'!G23+'23'!J23</f>
        <v>0</v>
      </c>
      <c r="N23" s="139">
        <f>'19'!E23+'19'!H23+'19'!K23+'19'!N23+'20'!E23+'20'!H23+'20'!K23+'20'!N23+'21'!E23+'21'!H23+'21'!K23+'21'!N23+'22'!E23+'22'!H23+'22'!K23+'22'!N23+'23'!E23+'23'!H23+'23'!K23</f>
        <v>0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M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77">
        <f>'19'!E24+'19'!H24+'19'!K24+'19'!N24+'20'!E24+'20'!H24+'20'!K24+'20'!N24+'21'!E24+'21'!H24+'21'!K24+'21'!N24+'22'!E24+'22'!H24+'22'!K24+'22'!N24+'23'!E24+'23'!H24+'23'!K24</f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7">
        <f>'19'!E25+'19'!H25+'19'!K25+'19'!N25+'20'!E25+'20'!H25+'20'!K25+'20'!N25+'21'!E25+'21'!H25+'21'!K25+'21'!N25+'22'!E25+'22'!H25+'22'!K25+'22'!N25+'23'!E25+'23'!H25+'23'!K25</f>
        <v>0</v>
      </c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M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>'19'!E26+'19'!H26+'19'!K26+'19'!N26+'20'!E26+'20'!H26+'20'!K26+'20'!N26+'21'!E26+'21'!H26+'21'!K26+'21'!N26+'22'!E26+'22'!H26+'22'!K26+'22'!N26+'23'!E26+'23'!H26+'23'!K26</f>
        <v>0</v>
      </c>
    </row>
    <row r="27" spans="1:14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5" ref="D27:M27">SUM(D26,D18,D14)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2784609</v>
      </c>
      <c r="M27" s="9">
        <f t="shared" si="5"/>
        <v>1495449</v>
      </c>
      <c r="N27" s="9">
        <f>'19'!E27+'19'!H27+'19'!K27+'19'!N27+'20'!E27+'20'!H27+'20'!K27+'20'!N27+'21'!E27+'21'!H27+'21'!K27+'21'!N27+'22'!E27+'22'!H27+'22'!K27+'22'!N27+'23'!E27+'23'!H27+'23'!K27</f>
        <v>0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9">
        <f>'19'!E28+'19'!H28+'19'!K28+'19'!N28+'20'!E28+'20'!H28+'20'!K28+'20'!N28+'21'!E28+'21'!H28+'21'!K28+'21'!N28+'22'!E28+'22'!H28+'22'!K28+'22'!N28+'23'!E28+'23'!H28+'23'!K28</f>
        <v>0</v>
      </c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'19'!C29+'19'!F29+'19'!I29+'19'!L29+'20'!C29+'20'!F29+'20'!I29+'20'!L29+'21'!C29+'21'!F29+'21'!I29+'21'!L29+'22'!C29+'22'!F29+'22'!I29+'22'!L29+'23'!C29+'23'!F29+'23'!I29</f>
        <v>0</v>
      </c>
      <c r="M29" s="9">
        <f>'19'!D29+'19'!G29+'19'!J29+'19'!M29+'20'!D29+'20'!G29+'20'!J29+'20'!M29+'21'!D29+'21'!G29+'21'!J29+'21'!M29+'22'!D29+'22'!G29+'22'!J29+'22'!M29+'23'!D29+'23'!G29+'23'!J29</f>
        <v>0</v>
      </c>
      <c r="N29" s="9">
        <f>'19'!E29+'19'!H29+'19'!K29+'19'!N29+'20'!E29+'20'!H29+'20'!K29+'20'!N29+'21'!E29+'21'!H29+'21'!K29+'21'!N29+'22'!E29+'22'!H29+'22'!K29+'22'!N29+'23'!E29+'23'!H29+'23'!K29</f>
        <v>0</v>
      </c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9">
        <f>'19'!C30+'19'!F30+'19'!I30+'19'!L30+'20'!C30+'20'!F30+'20'!I30+'20'!L30+'21'!C30+'21'!F30+'21'!I30+'21'!L30+'22'!C30+'22'!F30+'22'!I30+'22'!L30+'23'!C30+'23'!F30+'23'!I30</f>
        <v>0</v>
      </c>
      <c r="M30" s="9">
        <f>'19'!D30+'19'!G30+'19'!J30+'19'!M30+'20'!D30+'20'!G30+'20'!J30+'20'!M30+'21'!D30+'21'!G30+'21'!J30+'21'!M30+'22'!D30+'22'!G30+'22'!J30+'22'!M30+'23'!D30+'23'!G30+'23'!J30</f>
        <v>0</v>
      </c>
      <c r="N30" s="9">
        <f>'19'!E30+'19'!H30+'19'!K30+'19'!N30+'20'!E30+'20'!H30+'20'!K30+'20'!N30+'21'!E30+'21'!H30+'21'!K30+'21'!N30+'22'!E30+'22'!H30+'22'!K30+'22'!N30+'23'!E30+'23'!H30+'23'!K30</f>
        <v>0</v>
      </c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9">
        <f>'19'!C31+'19'!F31+'19'!I31+'19'!L31+'20'!C31+'20'!F31+'20'!I31+'20'!L31+'21'!C31+'21'!F31+'21'!I31+'21'!L31+'22'!C31+'22'!F31+'22'!I31+'22'!L31+'23'!C31+'23'!F31+'23'!I31</f>
        <v>0</v>
      </c>
      <c r="M31" s="9">
        <f>'19'!D31+'19'!G31+'19'!J31+'19'!M31+'20'!D31+'20'!G31+'20'!J31+'20'!M31+'21'!D31+'21'!G31+'21'!J31+'21'!M31+'22'!D31+'22'!G31+'22'!J31+'22'!M31+'23'!D31+'23'!G31+'23'!J31</f>
        <v>0</v>
      </c>
      <c r="N31" s="9">
        <f>'19'!E31+'19'!H31+'19'!K31+'19'!N31+'20'!E31+'20'!H31+'20'!K31+'20'!N31+'21'!E31+'21'!H31+'21'!K31+'21'!N31+'22'!E31+'22'!H31+'22'!K31+'22'!N31+'23'!E31+'23'!H31+'23'!K31</f>
        <v>0</v>
      </c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M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138">
        <f>'19'!E32+'19'!H32+'19'!K32+'19'!N32+'20'!E32+'20'!H32+'20'!K32+'20'!N32+'21'!E32+'21'!H32+'21'!K32+'21'!N32+'22'!E32+'22'!H32+'22'!K32+'22'!N32+'23'!E32+'23'!H32+'23'!K32</f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>
        <f>'19'!C33+'19'!F33+'19'!I33+'19'!L33+'20'!C33+'20'!F33+'20'!I33+'20'!L33+'21'!C33+'21'!F33+'21'!I33+'21'!L33+'22'!C33+'22'!F33+'22'!I33+'22'!L33+'23'!C33+'23'!F33+'23'!I33</f>
        <v>0</v>
      </c>
      <c r="M33" s="9">
        <f>'19'!D33+'19'!G33+'19'!J33+'19'!M33+'20'!D33+'20'!G33+'20'!J33+'20'!M33+'21'!D33+'21'!G33+'21'!J33+'21'!M33+'22'!D33+'22'!G33+'22'!J33+'22'!M33+'23'!D33+'23'!G33+'23'!J33</f>
        <v>0</v>
      </c>
      <c r="N33" s="9">
        <f>'19'!E33+'19'!H33+'19'!K33+'19'!N33+'20'!E33+'20'!H33+'20'!K33+'20'!N33+'21'!E33+'21'!H33+'21'!K33+'21'!N33+'22'!E33+'22'!H33+'22'!K33+'22'!N33+'23'!E33+'23'!H33+'23'!K33</f>
        <v>0</v>
      </c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>
        <f>'19'!C34+'19'!F34+'19'!I34+'19'!L34+'20'!C34+'20'!F34+'20'!I34+'20'!L34+'21'!C34+'21'!F34+'21'!I34+'21'!L34+'22'!C34+'22'!F34+'22'!I34+'22'!L34+'23'!C34+'23'!F34+'23'!I34</f>
        <v>0</v>
      </c>
      <c r="M34" s="9">
        <f>'19'!D34+'19'!G34+'19'!J34+'19'!M34+'20'!D34+'20'!G34+'20'!J34+'20'!M34+'21'!D34+'21'!G34+'21'!J34+'21'!M34+'22'!D34+'22'!G34+'22'!J34+'22'!M34+'23'!D34+'23'!G34+'23'!J34</f>
        <v>0</v>
      </c>
      <c r="N34" s="9">
        <f>'19'!E34+'19'!H34+'19'!K34+'19'!N34+'20'!E34+'20'!H34+'20'!K34+'20'!N34+'21'!E34+'21'!H34+'21'!K34+'21'!N34+'22'!E34+'22'!H34+'22'!K34+'22'!N34+'23'!E34+'23'!H34+'23'!K34</f>
        <v>0</v>
      </c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>
        <f>'19'!C35+'19'!F35+'19'!I35+'19'!L35+'20'!C35+'20'!F35+'20'!I35+'20'!L35+'21'!C35+'21'!F35+'21'!I35+'21'!L35+'22'!C35+'22'!F35+'22'!I35+'22'!L35+'23'!C35+'23'!F35+'23'!I35</f>
        <v>0</v>
      </c>
      <c r="M35" s="9">
        <f>'19'!D35+'19'!G35+'19'!J35+'19'!M35+'20'!D35+'20'!G35+'20'!J35+'20'!M35+'21'!D35+'21'!G35+'21'!J35+'21'!M35+'22'!D35+'22'!G35+'22'!J35+'22'!M35+'23'!D35+'23'!G35+'23'!J35</f>
        <v>0</v>
      </c>
      <c r="N35" s="9">
        <f>'19'!E35+'19'!H35+'19'!K35+'19'!N35+'20'!E35+'20'!H35+'20'!K35+'20'!N35+'21'!E35+'21'!H35+'21'!K35+'21'!N35+'22'!E35+'22'!H35+'22'!K35+'22'!N35+'23'!E35+'23'!H35+'23'!K35</f>
        <v>0</v>
      </c>
    </row>
    <row r="36" spans="1:40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M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77">
        <f>'19'!E36+'19'!H36+'19'!K36+'19'!N36+'20'!E36+'20'!H36+'20'!K36+'20'!N36+'21'!E36+'21'!H36+'21'!K36+'21'!N36+'22'!E36+'22'!H36+'22'!K36+'22'!N36+'23'!E36+'23'!H36+'23'!K36</f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>
        <f>'19'!C37+'19'!F37+'19'!I37+'19'!L37+'20'!C37+'20'!F37+'20'!I37+'20'!L37+'21'!C37+'21'!F37+'21'!I37+'21'!L37+'22'!C37+'22'!F37+'22'!I37+'22'!L37+'23'!C37+'23'!F37+'23'!I37</f>
        <v>0</v>
      </c>
      <c r="M37" s="9">
        <f>'19'!D37+'19'!G37+'19'!J37+'19'!M37+'20'!D37+'20'!G37+'20'!J37+'20'!M37+'21'!D37+'21'!G37+'21'!J37+'21'!M37+'22'!D37+'22'!G37+'22'!J37+'22'!M37+'23'!D37+'23'!G37+'23'!J37</f>
        <v>0</v>
      </c>
      <c r="N37" s="90">
        <f>'19'!E37+'19'!H37+'19'!K37+'19'!N37+'20'!E37+'20'!H37+'20'!K37+'20'!N37+'21'!E37+'21'!H37+'21'!K37+'21'!N37+'22'!E37+'22'!H37+'22'!K37+'22'!N37+'23'!E37+'23'!H37+'23'!K37</f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>
        <f>'19'!C38+'19'!F38+'19'!I38+'19'!L38+'20'!C38+'20'!F38+'20'!I38+'20'!L38+'21'!C38+'21'!F38+'21'!I38+'21'!L38+'22'!C38+'22'!F38+'22'!I38+'22'!L38+'23'!C38+'23'!F38+'23'!I38</f>
        <v>0</v>
      </c>
      <c r="M38" s="9">
        <f>'19'!D38+'19'!G38+'19'!J38+'19'!M38+'20'!D38+'20'!G38+'20'!J38+'20'!M38+'21'!D38+'21'!G38+'21'!J38+'21'!M38+'22'!D38+'22'!G38+'22'!J38+'22'!M38+'23'!D38+'23'!G38+'23'!J38</f>
        <v>0</v>
      </c>
      <c r="N38" s="21">
        <f>'19'!E38+'19'!H38+'19'!K38+'19'!N38+'20'!E38+'20'!H38+'20'!K38+'20'!N38+'21'!E38+'21'!H38+'21'!K38+'21'!N38+'22'!E38+'22'!H38+'22'!K38+'22'!N38+'23'!E38+'23'!H38+'23'!K38</f>
        <v>0</v>
      </c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>
        <f>'19'!C39+'19'!F39+'19'!I39+'19'!L39+'20'!C39+'20'!F39+'20'!I39+'20'!L39+'21'!C39+'21'!F39+'21'!I39+'21'!L39+'22'!C39+'22'!F39+'22'!I39+'22'!L39+'23'!C39+'23'!F39+'23'!I39</f>
        <v>0</v>
      </c>
      <c r="M39" s="9">
        <f>'19'!D39+'19'!G39+'19'!J39+'19'!M39+'20'!D39+'20'!G39+'20'!J39+'20'!M39+'21'!D39+'21'!G39+'21'!J39+'21'!M39+'22'!D39+'22'!G39+'22'!J39+'22'!M39+'23'!D39+'23'!G39+'23'!J39</f>
        <v>0</v>
      </c>
      <c r="N39" s="139">
        <f>'19'!E39+'19'!H39+'19'!K39+'19'!N39+'20'!E39+'20'!H39+'20'!K39+'20'!N39+'21'!E39+'21'!H39+'21'!K39+'21'!N39+'22'!E39+'22'!H39+'22'!K39+'22'!N39+'23'!E39+'23'!H39+'23'!K39</f>
        <v>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M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77">
        <f>'19'!E40+'19'!H40+'19'!K40+'19'!N40+'20'!E40+'20'!H40+'20'!K40+'20'!N40+'21'!E40+'21'!H40+'21'!K40+'21'!N40+'22'!E40+'22'!H40+'22'!K40+'22'!N40+'23'!E40+'23'!H40+'23'!K40</f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77">
        <f>'19'!E41+'19'!H41+'19'!K41+'19'!N41+'20'!E41+'20'!H41+'20'!K41+'20'!N41+'21'!E41+'21'!H41+'21'!K41+'21'!N41+'22'!E41+'22'!H41+'22'!K41+'22'!N41+'23'!E41+'23'!H41+'23'!K41</f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77">
        <f>'19'!E42+'19'!H42+'19'!K42+'19'!N42+'20'!E42+'20'!H42+'20'!K42+'20'!N42+'21'!E42+'21'!H42+'21'!K42+'21'!N42+'22'!E42+'22'!H42+'22'!K42+'22'!N42+'23'!E42+'23'!H42+'23'!K42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M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77">
        <f>'19'!E44+'19'!H44+'19'!K44+'19'!N44+'20'!E44+'20'!H44+'20'!K44+'20'!N44+'21'!E44+'21'!H44+'21'!K44+'21'!N44+'22'!E44+'22'!H44+'22'!K44+'22'!N44+'23'!E44+'23'!H44+'23'!K44</f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90">
        <f>'19'!E45+'19'!H45+'19'!K45+'19'!N45+'20'!E45+'20'!H45+'20'!K45+'20'!N45+'21'!E45+'21'!H45+'21'!K45+'21'!N45+'22'!E45+'22'!H45+'22'!K45+'22'!N45+'23'!E45+'23'!H45+'23'!K45</f>
        <v>0</v>
      </c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39">
        <f>'19'!E46+'19'!H46+'19'!K46+'19'!N46+'20'!E46+'20'!H46+'20'!K46+'20'!N46+'21'!E46+'21'!H46+'21'!K46+'21'!N46+'22'!E46+'22'!H46+'22'!K46+'22'!N46+'23'!E46+'23'!H46+'23'!K46</f>
        <v>0</v>
      </c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M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>'19'!E47+'19'!H47+'19'!K47+'19'!N47+'20'!E47+'20'!H47+'20'!K47+'20'!N47+'21'!E47+'21'!H47+'21'!K47+'21'!N47+'22'!E47+'22'!H47+'22'!K47+'22'!N47+'23'!E47+'23'!H47+'23'!K47</f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77">
        <f>'19'!E48+'19'!H48+'19'!K48+'19'!N48+'20'!E48+'20'!H48+'20'!K48+'20'!N48+'21'!E48+'21'!H48+'21'!K48+'21'!N48+'22'!E48+'22'!H48+'22'!K48+'22'!N48+'23'!E48+'23'!H48+'23'!K48</f>
        <v>0</v>
      </c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M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>'19'!E49+'19'!H49+'19'!K49+'19'!N49+'20'!E49+'20'!H49+'20'!K49+'20'!N49+'21'!E49+'21'!H49+'21'!K49+'21'!N49+'22'!E49+'22'!H49+'22'!K49+'22'!N49+'23'!E49+'23'!H49+'23'!K49</f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M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77">
        <f>'19'!E50+'19'!H50+'19'!K50+'19'!N50+'20'!E50+'20'!H50+'20'!K50+'20'!N50+'21'!E50+'21'!H50+'21'!K50+'21'!N50+'22'!E50+'22'!H50+'22'!K50+'22'!N50+'23'!E50+'23'!H50+'23'!K50</f>
        <v>0</v>
      </c>
      <c r="AA50" s="19"/>
      <c r="AB50" s="19"/>
      <c r="AC50" s="19"/>
    </row>
    <row r="51" spans="1:14" ht="13.5" thickBot="1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>
        <f>'19'!C51+'19'!F51+'19'!I51+'19'!L51+'20'!C51+'20'!F51+'20'!I51+'20'!L51+'21'!C51+'21'!F51+'21'!I51+'21'!L51+'22'!C51+'22'!F51+'22'!I51+'22'!L51+'23'!C51+'23'!F51+'23'!I51</f>
        <v>0</v>
      </c>
      <c r="M51" s="35">
        <f>'19'!D51+'19'!G51+'19'!J51+'19'!M51+'20'!D51+'20'!G51+'20'!J51+'20'!M51+'21'!D51+'21'!G51+'21'!J51+'21'!M51+'22'!D51+'22'!G51+'22'!J51+'22'!M51+'23'!D51+'23'!G51+'23'!J51</f>
        <v>0</v>
      </c>
      <c r="N51" s="77">
        <f>'19'!E51+'19'!H51+'19'!K51+'19'!N51+'20'!E51+'20'!H51+'20'!K51+'20'!N51+'21'!E51+'21'!H51+'21'!K51+'21'!N51+'22'!E51+'22'!H51+'22'!K51+'22'!N51+'23'!E51+'23'!H51+'23'!K51</f>
        <v>0</v>
      </c>
    </row>
    <row r="52" spans="1:14" ht="13.5" thickBot="1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77">
        <f>'19'!E52+'19'!H52+'19'!K52+'19'!N52+'20'!E52+'20'!H52+'20'!K52+'20'!N52+'21'!E52+'21'!H52+'21'!K52+'21'!N52+'22'!E52+'22'!H52+'22'!K52+'22'!N52+'23'!E52+'23'!H52+'23'!K52</f>
        <v>0</v>
      </c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63">
        <v>1401</v>
      </c>
      <c r="D3" s="163"/>
      <c r="E3" s="163"/>
      <c r="F3" s="163">
        <v>1402</v>
      </c>
      <c r="G3" s="163"/>
      <c r="H3" s="163"/>
      <c r="I3" s="175">
        <v>1403</v>
      </c>
      <c r="J3" s="175"/>
      <c r="K3" s="175"/>
      <c r="L3" s="182">
        <v>1400</v>
      </c>
      <c r="M3" s="182"/>
      <c r="N3" s="182"/>
    </row>
    <row r="4" spans="1:14" s="48" customFormat="1" ht="24" customHeight="1" thickBot="1">
      <c r="A4" s="161"/>
      <c r="B4" s="161"/>
      <c r="C4" s="195" t="s">
        <v>113</v>
      </c>
      <c r="D4" s="195"/>
      <c r="E4" s="195"/>
      <c r="F4" s="195" t="s">
        <v>114</v>
      </c>
      <c r="G4" s="195"/>
      <c r="H4" s="195"/>
      <c r="I4" s="195" t="s">
        <v>186</v>
      </c>
      <c r="J4" s="195"/>
      <c r="K4" s="195"/>
      <c r="L4" s="196" t="s">
        <v>115</v>
      </c>
      <c r="M4" s="196"/>
      <c r="N4" s="196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5"/>
      <c r="G9" s="105"/>
      <c r="H9" s="105"/>
      <c r="I9" s="8"/>
      <c r="J9" s="8"/>
      <c r="K9" s="8"/>
      <c r="L9" s="9">
        <f>C9+F9</f>
        <v>0</v>
      </c>
      <c r="M9" s="9">
        <f aca="true" t="shared" si="0" ref="M9:N24">D9+G9</f>
        <v>0</v>
      </c>
      <c r="N9" s="9">
        <f t="shared" si="0"/>
        <v>0</v>
      </c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5"/>
      <c r="G10" s="105"/>
      <c r="H10" s="105"/>
      <c r="I10" s="8"/>
      <c r="J10" s="8"/>
      <c r="K10" s="8"/>
      <c r="L10" s="9">
        <f>C10+F10</f>
        <v>0</v>
      </c>
      <c r="M10" s="9">
        <f t="shared" si="0"/>
        <v>0</v>
      </c>
      <c r="N10" s="9">
        <f t="shared" si="0"/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5"/>
      <c r="G11" s="105"/>
      <c r="H11" s="105"/>
      <c r="I11" s="8"/>
      <c r="J11" s="8"/>
      <c r="K11" s="8"/>
      <c r="L11" s="9">
        <f>C11+F11</f>
        <v>0</v>
      </c>
      <c r="M11" s="9">
        <f t="shared" si="0"/>
        <v>0</v>
      </c>
      <c r="N11" s="9">
        <f t="shared" si="0"/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5"/>
      <c r="G12" s="105"/>
      <c r="H12" s="105"/>
      <c r="I12" s="8"/>
      <c r="J12" s="8"/>
      <c r="K12" s="8"/>
      <c r="L12" s="9">
        <f>C12+F12</f>
        <v>0</v>
      </c>
      <c r="M12" s="9">
        <f t="shared" si="0"/>
        <v>0</v>
      </c>
      <c r="N12" s="9">
        <f t="shared" si="0"/>
        <v>0</v>
      </c>
    </row>
    <row r="13" spans="1:16" ht="10.5" customHeight="1" thickBot="1">
      <c r="A13" s="4" t="s">
        <v>13</v>
      </c>
      <c r="B13" s="3" t="s">
        <v>15</v>
      </c>
      <c r="C13" s="8"/>
      <c r="D13" s="12"/>
      <c r="E13" s="8"/>
      <c r="F13" s="83"/>
      <c r="G13" s="83"/>
      <c r="H13" s="83"/>
      <c r="I13" s="8"/>
      <c r="J13" s="8"/>
      <c r="K13" s="8"/>
      <c r="L13" s="9">
        <f>C13+F13</f>
        <v>0</v>
      </c>
      <c r="M13" s="9">
        <f t="shared" si="0"/>
        <v>0</v>
      </c>
      <c r="N13" s="9">
        <f t="shared" si="0"/>
        <v>0</v>
      </c>
      <c r="P13" s="49"/>
    </row>
    <row r="14" spans="1:14" ht="10.5" customHeight="1" thickBot="1">
      <c r="A14" s="14" t="s">
        <v>16</v>
      </c>
      <c r="B14" s="15" t="s">
        <v>155</v>
      </c>
      <c r="C14" s="16">
        <f>SUM(C9:C13)</f>
        <v>0</v>
      </c>
      <c r="D14" s="16">
        <f aca="true" t="shared" si="1" ref="D14:M14">SUM(D9:D13)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77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3"/>
      <c r="G15" s="83"/>
      <c r="H15" s="83"/>
      <c r="I15" s="8"/>
      <c r="J15" s="8"/>
      <c r="K15" s="8"/>
      <c r="L15" s="9">
        <f aca="true" t="shared" si="2" ref="L15:M17">C15+F15</f>
        <v>0</v>
      </c>
      <c r="M15" s="9">
        <f t="shared" si="2"/>
        <v>0</v>
      </c>
      <c r="N15" s="90">
        <f t="shared" si="0"/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3"/>
      <c r="G16" s="83"/>
      <c r="H16" s="83"/>
      <c r="I16" s="8"/>
      <c r="J16" s="8"/>
      <c r="K16" s="8"/>
      <c r="L16" s="9">
        <f t="shared" si="2"/>
        <v>0</v>
      </c>
      <c r="M16" s="9">
        <f t="shared" si="2"/>
        <v>0</v>
      </c>
      <c r="N16" s="21">
        <f t="shared" si="0"/>
        <v>0</v>
      </c>
    </row>
    <row r="17" spans="1:14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83"/>
      <c r="G17" s="83"/>
      <c r="H17" s="83"/>
      <c r="I17" s="8"/>
      <c r="J17" s="8"/>
      <c r="K17" s="8"/>
      <c r="L17" s="9">
        <f t="shared" si="2"/>
        <v>0</v>
      </c>
      <c r="M17" s="9">
        <f t="shared" si="2"/>
        <v>0</v>
      </c>
      <c r="N17" s="139">
        <f t="shared" si="0"/>
        <v>0</v>
      </c>
    </row>
    <row r="18" spans="1:14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3" ref="D18:M18">SUM(D15:D17)</f>
        <v>0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6">
        <f t="shared" si="3"/>
        <v>0</v>
      </c>
      <c r="N18" s="77">
        <f t="shared" si="0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96"/>
      <c r="G19" s="96"/>
      <c r="H19" s="96"/>
      <c r="I19" s="16"/>
      <c r="J19" s="16"/>
      <c r="K19" s="16"/>
      <c r="L19" s="9">
        <f>C19+F19</f>
        <v>0</v>
      </c>
      <c r="M19" s="9">
        <f>D19+G19</f>
        <v>0</v>
      </c>
      <c r="N19" s="77">
        <f t="shared" si="0"/>
        <v>0</v>
      </c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4" ref="D20:J20">SUM(D19)</f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>SUM(K19)</f>
        <v>0</v>
      </c>
      <c r="L20" s="16">
        <f>SUM(L19)</f>
        <v>0</v>
      </c>
      <c r="M20" s="16">
        <f>SUM(M19)</f>
        <v>0</v>
      </c>
      <c r="N20" s="77">
        <f t="shared" si="0"/>
        <v>0</v>
      </c>
    </row>
    <row r="21" spans="1:14" ht="10.5" customHeight="1">
      <c r="A21" s="23" t="s">
        <v>28</v>
      </c>
      <c r="B21" s="3" t="s">
        <v>31</v>
      </c>
      <c r="C21" s="18"/>
      <c r="D21" s="18"/>
      <c r="E21" s="18"/>
      <c r="F21" s="98"/>
      <c r="G21" s="98"/>
      <c r="H21" s="98"/>
      <c r="I21" s="18"/>
      <c r="J21" s="18"/>
      <c r="K21" s="18"/>
      <c r="L21" s="9">
        <f aca="true" t="shared" si="5" ref="L21:M23">C21+F21</f>
        <v>0</v>
      </c>
      <c r="M21" s="9">
        <f t="shared" si="5"/>
        <v>0</v>
      </c>
      <c r="N21" s="90">
        <f t="shared" si="0"/>
        <v>0</v>
      </c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98"/>
      <c r="G22" s="98"/>
      <c r="H22" s="98"/>
      <c r="I22" s="21"/>
      <c r="J22" s="21"/>
      <c r="K22" s="21"/>
      <c r="L22" s="9">
        <f t="shared" si="5"/>
        <v>0</v>
      </c>
      <c r="M22" s="9">
        <f t="shared" si="5"/>
        <v>0</v>
      </c>
      <c r="N22" s="21">
        <f t="shared" si="0"/>
        <v>0</v>
      </c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3"/>
      <c r="G23" s="83"/>
      <c r="H23" s="83"/>
      <c r="I23" s="8"/>
      <c r="J23" s="8"/>
      <c r="K23" s="8"/>
      <c r="L23" s="9">
        <f t="shared" si="5"/>
        <v>0</v>
      </c>
      <c r="M23" s="9">
        <f t="shared" si="5"/>
        <v>0</v>
      </c>
      <c r="N23" s="139">
        <f t="shared" si="0"/>
        <v>0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6" ref="D24:M24">SUM(D21:D23)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77">
        <f t="shared" si="0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>
        <v>0</v>
      </c>
      <c r="J25" s="21">
        <v>2500000</v>
      </c>
      <c r="K25" s="21">
        <v>0</v>
      </c>
      <c r="L25" s="21">
        <f>SUM(I25)</f>
        <v>0</v>
      </c>
      <c r="M25" s="21">
        <f>SUM(J25)</f>
        <v>2500000</v>
      </c>
      <c r="N25" s="77">
        <f aca="true" t="shared" si="7" ref="N25:N52">E25+H25</f>
        <v>0</v>
      </c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8" ref="D26:M26">SUM(D20,D24,D25)</f>
        <v>0</v>
      </c>
      <c r="E26" s="77">
        <f t="shared" si="8"/>
        <v>0</v>
      </c>
      <c r="F26" s="77">
        <f t="shared" si="8"/>
        <v>0</v>
      </c>
      <c r="G26" s="77">
        <f t="shared" si="8"/>
        <v>0</v>
      </c>
      <c r="H26" s="77">
        <f t="shared" si="8"/>
        <v>0</v>
      </c>
      <c r="I26" s="77">
        <f t="shared" si="8"/>
        <v>0</v>
      </c>
      <c r="J26" s="77">
        <f t="shared" si="8"/>
        <v>2500000</v>
      </c>
      <c r="K26" s="77">
        <f t="shared" si="8"/>
        <v>0</v>
      </c>
      <c r="L26" s="77">
        <f t="shared" si="8"/>
        <v>0</v>
      </c>
      <c r="M26" s="77">
        <f t="shared" si="8"/>
        <v>2500000</v>
      </c>
      <c r="N26" s="77">
        <f t="shared" si="7"/>
        <v>0</v>
      </c>
    </row>
    <row r="27" spans="1:14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9" ref="D27:M27">SUM(D26,D18,D14)</f>
        <v>0</v>
      </c>
      <c r="E27" s="9">
        <f t="shared" si="9"/>
        <v>0</v>
      </c>
      <c r="F27" s="9">
        <f t="shared" si="9"/>
        <v>0</v>
      </c>
      <c r="G27" s="9">
        <f t="shared" si="9"/>
        <v>0</v>
      </c>
      <c r="H27" s="9">
        <f t="shared" si="9"/>
        <v>0</v>
      </c>
      <c r="I27" s="9">
        <f t="shared" si="9"/>
        <v>0</v>
      </c>
      <c r="J27" s="9">
        <f t="shared" si="9"/>
        <v>2500000</v>
      </c>
      <c r="K27" s="9">
        <f t="shared" si="9"/>
        <v>0</v>
      </c>
      <c r="L27" s="9">
        <f t="shared" si="9"/>
        <v>0</v>
      </c>
      <c r="M27" s="9">
        <f t="shared" si="9"/>
        <v>2500000</v>
      </c>
      <c r="N27" s="9">
        <f t="shared" si="7"/>
        <v>0</v>
      </c>
    </row>
    <row r="28" spans="1:21" ht="10.5" customHeight="1">
      <c r="A28" s="156" t="s">
        <v>33</v>
      </c>
      <c r="B28" s="156"/>
      <c r="C28" s="8"/>
      <c r="D28" s="8"/>
      <c r="E28" s="8"/>
      <c r="F28" s="83"/>
      <c r="G28" s="83"/>
      <c r="H28" s="83"/>
      <c r="I28" s="8"/>
      <c r="J28" s="8"/>
      <c r="K28" s="8"/>
      <c r="L28" s="9"/>
      <c r="M28" s="9"/>
      <c r="N28" s="9">
        <f t="shared" si="7"/>
        <v>0</v>
      </c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5"/>
      <c r="G29" s="105"/>
      <c r="H29" s="105"/>
      <c r="I29" s="10"/>
      <c r="J29" s="10"/>
      <c r="K29" s="10"/>
      <c r="L29" s="9">
        <f aca="true" t="shared" si="10" ref="L29:M31">C29+F29</f>
        <v>0</v>
      </c>
      <c r="M29" s="9">
        <f t="shared" si="10"/>
        <v>0</v>
      </c>
      <c r="N29" s="9">
        <f t="shared" si="7"/>
        <v>0</v>
      </c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5"/>
      <c r="G30" s="105"/>
      <c r="H30" s="105"/>
      <c r="I30" s="10"/>
      <c r="J30" s="10"/>
      <c r="K30" s="10"/>
      <c r="L30" s="9">
        <f t="shared" si="10"/>
        <v>0</v>
      </c>
      <c r="M30" s="9">
        <f t="shared" si="10"/>
        <v>0</v>
      </c>
      <c r="N30" s="9">
        <f t="shared" si="7"/>
        <v>0</v>
      </c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5"/>
      <c r="G31" s="105"/>
      <c r="H31" s="105"/>
      <c r="I31" s="10"/>
      <c r="J31" s="10"/>
      <c r="K31" s="10"/>
      <c r="L31" s="9">
        <f t="shared" si="10"/>
        <v>0</v>
      </c>
      <c r="M31" s="9">
        <f t="shared" si="10"/>
        <v>0</v>
      </c>
      <c r="N31" s="9">
        <f t="shared" si="7"/>
        <v>0</v>
      </c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11" ref="D32:M32">SUM(D29:D31)</f>
        <v>0</v>
      </c>
      <c r="E32" s="29">
        <f t="shared" si="11"/>
        <v>0</v>
      </c>
      <c r="F32" s="29">
        <f t="shared" si="11"/>
        <v>0</v>
      </c>
      <c r="G32" s="29">
        <f t="shared" si="11"/>
        <v>0</v>
      </c>
      <c r="H32" s="29">
        <f t="shared" si="11"/>
        <v>0</v>
      </c>
      <c r="I32" s="29">
        <f t="shared" si="11"/>
        <v>0</v>
      </c>
      <c r="J32" s="29">
        <f t="shared" si="11"/>
        <v>0</v>
      </c>
      <c r="K32" s="29">
        <f t="shared" si="11"/>
        <v>0</v>
      </c>
      <c r="L32" s="29">
        <f t="shared" si="11"/>
        <v>0</v>
      </c>
      <c r="M32" s="29">
        <f t="shared" si="11"/>
        <v>0</v>
      </c>
      <c r="N32" s="138">
        <f t="shared" si="7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5"/>
      <c r="G33" s="105"/>
      <c r="H33" s="105"/>
      <c r="I33" s="8"/>
      <c r="J33" s="10"/>
      <c r="K33" s="8"/>
      <c r="L33" s="9">
        <f aca="true" t="shared" si="12" ref="L33:M35">C33+F33</f>
        <v>0</v>
      </c>
      <c r="M33" s="9">
        <f t="shared" si="12"/>
        <v>0</v>
      </c>
      <c r="N33" s="9">
        <f t="shared" si="7"/>
        <v>0</v>
      </c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5"/>
      <c r="G34" s="105"/>
      <c r="H34" s="105"/>
      <c r="I34" s="10"/>
      <c r="J34" s="10"/>
      <c r="K34" s="10"/>
      <c r="L34" s="9">
        <f t="shared" si="12"/>
        <v>0</v>
      </c>
      <c r="M34" s="9">
        <f t="shared" si="12"/>
        <v>0</v>
      </c>
      <c r="N34" s="9">
        <f t="shared" si="7"/>
        <v>0</v>
      </c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5"/>
      <c r="G35" s="105"/>
      <c r="H35" s="105"/>
      <c r="I35" s="8"/>
      <c r="J35" s="10"/>
      <c r="K35" s="8"/>
      <c r="L35" s="9">
        <f t="shared" si="12"/>
        <v>0</v>
      </c>
      <c r="M35" s="9">
        <f t="shared" si="12"/>
        <v>0</v>
      </c>
      <c r="N35" s="9">
        <f t="shared" si="7"/>
        <v>0</v>
      </c>
    </row>
    <row r="36" spans="1:40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13" ref="D36:M36">SUM(D32:D35)</f>
        <v>0</v>
      </c>
      <c r="E36" s="16">
        <f t="shared" si="13"/>
        <v>0</v>
      </c>
      <c r="F36" s="16">
        <f t="shared" si="13"/>
        <v>0</v>
      </c>
      <c r="G36" s="16">
        <f t="shared" si="13"/>
        <v>0</v>
      </c>
      <c r="H36" s="16">
        <f t="shared" si="13"/>
        <v>0</v>
      </c>
      <c r="I36" s="16">
        <f t="shared" si="13"/>
        <v>0</v>
      </c>
      <c r="J36" s="16">
        <f t="shared" si="13"/>
        <v>0</v>
      </c>
      <c r="K36" s="16">
        <f t="shared" si="13"/>
        <v>0</v>
      </c>
      <c r="L36" s="16">
        <f t="shared" si="13"/>
        <v>0</v>
      </c>
      <c r="M36" s="16">
        <f t="shared" si="13"/>
        <v>0</v>
      </c>
      <c r="N36" s="77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3"/>
      <c r="G37" s="83"/>
      <c r="H37" s="83"/>
      <c r="I37" s="8"/>
      <c r="J37" s="10"/>
      <c r="K37" s="8"/>
      <c r="L37" s="9">
        <f aca="true" t="shared" si="14" ref="L37:M39">C37+F37</f>
        <v>0</v>
      </c>
      <c r="M37" s="9">
        <f t="shared" si="14"/>
        <v>0</v>
      </c>
      <c r="N37" s="90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3"/>
      <c r="G38" s="83"/>
      <c r="H38" s="83"/>
      <c r="I38" s="8"/>
      <c r="J38" s="10"/>
      <c r="K38" s="10"/>
      <c r="L38" s="9">
        <f t="shared" si="14"/>
        <v>0</v>
      </c>
      <c r="M38" s="9">
        <f t="shared" si="14"/>
        <v>0</v>
      </c>
      <c r="N38" s="21">
        <f t="shared" si="7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3"/>
      <c r="G39" s="83"/>
      <c r="H39" s="83"/>
      <c r="I39" s="8"/>
      <c r="J39" s="8"/>
      <c r="K39" s="8"/>
      <c r="L39" s="9">
        <f t="shared" si="14"/>
        <v>0</v>
      </c>
      <c r="M39" s="9">
        <f t="shared" si="14"/>
        <v>0</v>
      </c>
      <c r="N39" s="139">
        <f t="shared" si="7"/>
        <v>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15" ref="D40:M40">SUM(D37:D39)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0</v>
      </c>
      <c r="I40" s="16">
        <f t="shared" si="15"/>
        <v>0</v>
      </c>
      <c r="J40" s="16">
        <f t="shared" si="15"/>
        <v>0</v>
      </c>
      <c r="K40" s="16">
        <f t="shared" si="15"/>
        <v>0</v>
      </c>
      <c r="L40" s="16">
        <f t="shared" si="15"/>
        <v>0</v>
      </c>
      <c r="M40" s="16">
        <f t="shared" si="15"/>
        <v>0</v>
      </c>
      <c r="N40" s="77">
        <f t="shared" si="7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 thickBot="1">
      <c r="A41" s="30" t="s">
        <v>23</v>
      </c>
      <c r="B41" s="15" t="s">
        <v>29</v>
      </c>
      <c r="C41" s="16"/>
      <c r="D41" s="16"/>
      <c r="E41" s="16"/>
      <c r="F41" s="96"/>
      <c r="G41" s="96"/>
      <c r="H41" s="96"/>
      <c r="I41" s="16"/>
      <c r="J41" s="16"/>
      <c r="K41" s="16"/>
      <c r="L41" s="21"/>
      <c r="M41" s="21"/>
      <c r="N41" s="77">
        <f t="shared" si="7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77">
        <f t="shared" si="7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16" ref="D44:M44">SUM(D41:D42)</f>
        <v>0</v>
      </c>
      <c r="E44" s="16">
        <f t="shared" si="16"/>
        <v>0</v>
      </c>
      <c r="F44" s="16">
        <f t="shared" si="16"/>
        <v>0</v>
      </c>
      <c r="G44" s="16">
        <f t="shared" si="16"/>
        <v>0</v>
      </c>
      <c r="H44" s="16">
        <f t="shared" si="16"/>
        <v>0</v>
      </c>
      <c r="I44" s="16">
        <f t="shared" si="16"/>
        <v>0</v>
      </c>
      <c r="J44" s="16">
        <f t="shared" si="16"/>
        <v>0</v>
      </c>
      <c r="K44" s="16">
        <f t="shared" si="16"/>
        <v>0</v>
      </c>
      <c r="L44" s="16">
        <f t="shared" si="16"/>
        <v>0</v>
      </c>
      <c r="M44" s="16">
        <f t="shared" si="16"/>
        <v>0</v>
      </c>
      <c r="N44" s="77">
        <f t="shared" si="7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98"/>
      <c r="G45" s="98"/>
      <c r="H45" s="98"/>
      <c r="I45" s="21"/>
      <c r="J45" s="21"/>
      <c r="K45" s="21"/>
      <c r="L45" s="21"/>
      <c r="M45" s="21"/>
      <c r="N45" s="90">
        <f t="shared" si="7"/>
        <v>0</v>
      </c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98"/>
      <c r="G46" s="98"/>
      <c r="H46" s="98"/>
      <c r="I46" s="21"/>
      <c r="J46" s="21"/>
      <c r="K46" s="21"/>
      <c r="L46" s="21"/>
      <c r="M46" s="21"/>
      <c r="N46" s="139">
        <f t="shared" si="7"/>
        <v>0</v>
      </c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7" ref="D47:M47">SUM(D45:D46)</f>
        <v>0</v>
      </c>
      <c r="E47" s="77">
        <f t="shared" si="17"/>
        <v>0</v>
      </c>
      <c r="F47" s="77">
        <f t="shared" si="17"/>
        <v>0</v>
      </c>
      <c r="G47" s="77">
        <f t="shared" si="17"/>
        <v>0</v>
      </c>
      <c r="H47" s="77">
        <f t="shared" si="17"/>
        <v>0</v>
      </c>
      <c r="I47" s="77">
        <f t="shared" si="17"/>
        <v>0</v>
      </c>
      <c r="J47" s="77">
        <f t="shared" si="17"/>
        <v>0</v>
      </c>
      <c r="K47" s="77">
        <f t="shared" si="17"/>
        <v>0</v>
      </c>
      <c r="L47" s="77">
        <f t="shared" si="17"/>
        <v>0</v>
      </c>
      <c r="M47" s="77">
        <f t="shared" si="17"/>
        <v>0</v>
      </c>
      <c r="N47" s="77">
        <f t="shared" si="7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77">
        <f t="shared" si="7"/>
        <v>0</v>
      </c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8" ref="D49:M49">SUM(D47,D44,D48)</f>
        <v>0</v>
      </c>
      <c r="E49" s="77">
        <f t="shared" si="18"/>
        <v>0</v>
      </c>
      <c r="F49" s="77">
        <f t="shared" si="18"/>
        <v>0</v>
      </c>
      <c r="G49" s="77">
        <f t="shared" si="18"/>
        <v>0</v>
      </c>
      <c r="H49" s="77">
        <f t="shared" si="18"/>
        <v>0</v>
      </c>
      <c r="I49" s="77">
        <f t="shared" si="18"/>
        <v>0</v>
      </c>
      <c r="J49" s="77">
        <f t="shared" si="18"/>
        <v>0</v>
      </c>
      <c r="K49" s="77">
        <f t="shared" si="18"/>
        <v>0</v>
      </c>
      <c r="L49" s="77">
        <f t="shared" si="18"/>
        <v>0</v>
      </c>
      <c r="M49" s="77">
        <f t="shared" si="18"/>
        <v>0</v>
      </c>
      <c r="N49" s="77">
        <f t="shared" si="7"/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9" ref="D50:M50">SUM(D49,D40,D36)</f>
        <v>0</v>
      </c>
      <c r="E50" s="9">
        <f t="shared" si="19"/>
        <v>0</v>
      </c>
      <c r="F50" s="9">
        <f t="shared" si="19"/>
        <v>0</v>
      </c>
      <c r="G50" s="9">
        <f t="shared" si="19"/>
        <v>0</v>
      </c>
      <c r="H50" s="9">
        <f t="shared" si="19"/>
        <v>0</v>
      </c>
      <c r="I50" s="9">
        <f t="shared" si="19"/>
        <v>0</v>
      </c>
      <c r="J50" s="9">
        <f t="shared" si="19"/>
        <v>0</v>
      </c>
      <c r="K50" s="9">
        <f t="shared" si="19"/>
        <v>0</v>
      </c>
      <c r="L50" s="9">
        <f t="shared" si="19"/>
        <v>0</v>
      </c>
      <c r="M50" s="9">
        <f t="shared" si="19"/>
        <v>0</v>
      </c>
      <c r="N50" s="77">
        <f t="shared" si="7"/>
        <v>0</v>
      </c>
      <c r="AA50" s="19"/>
      <c r="AB50" s="19"/>
      <c r="AC50" s="19"/>
    </row>
    <row r="51" spans="1:14" ht="13.5" thickBot="1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>
        <f>C51+F51</f>
        <v>0</v>
      </c>
      <c r="M51" s="35">
        <f>D51+G51</f>
        <v>0</v>
      </c>
      <c r="N51" s="77">
        <f t="shared" si="7"/>
        <v>0</v>
      </c>
    </row>
    <row r="52" spans="1:14" ht="13.5" thickBot="1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77">
        <f t="shared" si="7"/>
        <v>0</v>
      </c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I73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10.00390625" style="1" customWidth="1"/>
    <col min="7" max="8" width="9.375" style="1" customWidth="1"/>
    <col min="9" max="9" width="10.375" style="1" customWidth="1"/>
    <col min="10" max="11" width="10.75390625" style="1" customWidth="1"/>
    <col min="12" max="14" width="9.375" style="1" customWidth="1"/>
    <col min="15" max="15" width="9.25390625" style="1" customWidth="1"/>
    <col min="16" max="16" width="0" style="1" hidden="1" customWidth="1"/>
    <col min="17" max="16384" width="9.125" style="1" customWidth="1"/>
  </cols>
  <sheetData>
    <row r="1" spans="2:16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</row>
    <row r="2" spans="8:13" ht="8.25" customHeight="1">
      <c r="H2" s="3"/>
      <c r="M2" s="3" t="s">
        <v>0</v>
      </c>
    </row>
    <row r="3" spans="1:14" ht="9" customHeight="1">
      <c r="A3" s="161" t="s">
        <v>1</v>
      </c>
      <c r="B3" s="161"/>
      <c r="C3" s="163">
        <v>1501</v>
      </c>
      <c r="D3" s="163"/>
      <c r="E3" s="163"/>
      <c r="F3" s="163">
        <v>1502</v>
      </c>
      <c r="G3" s="163"/>
      <c r="H3" s="163"/>
      <c r="I3" s="175">
        <v>1503</v>
      </c>
      <c r="J3" s="175"/>
      <c r="K3" s="175"/>
      <c r="L3" s="165">
        <v>1504</v>
      </c>
      <c r="M3" s="165"/>
      <c r="N3" s="165"/>
    </row>
    <row r="4" spans="1:18" s="48" customFormat="1" ht="24" customHeight="1" thickBot="1">
      <c r="A4" s="161"/>
      <c r="B4" s="161"/>
      <c r="C4" s="195" t="s">
        <v>116</v>
      </c>
      <c r="D4" s="195"/>
      <c r="E4" s="195"/>
      <c r="F4" s="197" t="s">
        <v>117</v>
      </c>
      <c r="G4" s="197"/>
      <c r="H4" s="197"/>
      <c r="I4" s="195" t="s">
        <v>118</v>
      </c>
      <c r="J4" s="195"/>
      <c r="K4" s="195"/>
      <c r="L4" s="195" t="s">
        <v>119</v>
      </c>
      <c r="M4" s="195"/>
      <c r="N4" s="195"/>
      <c r="Q4" s="52"/>
      <c r="R4" s="52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/>
      <c r="M13" s="9"/>
      <c r="N13" s="9"/>
      <c r="P13" s="49"/>
    </row>
    <row r="14" spans="1:14" ht="10.5" customHeigh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56">
        <f>SUM(C19)</f>
        <v>0</v>
      </c>
      <c r="D20" s="56">
        <f aca="true" t="shared" si="2" ref="D20:N20">SUM(D19)</f>
        <v>0</v>
      </c>
      <c r="E20" s="56">
        <f t="shared" si="2"/>
        <v>0</v>
      </c>
      <c r="F20" s="56">
        <f t="shared" si="2"/>
        <v>0</v>
      </c>
      <c r="G20" s="56">
        <f t="shared" si="2"/>
        <v>0</v>
      </c>
      <c r="H20" s="56">
        <f t="shared" si="2"/>
        <v>0</v>
      </c>
      <c r="I20" s="56">
        <f t="shared" si="2"/>
        <v>0</v>
      </c>
      <c r="J20" s="56">
        <f t="shared" si="2"/>
        <v>0</v>
      </c>
      <c r="K20" s="56">
        <f t="shared" si="2"/>
        <v>0</v>
      </c>
      <c r="L20" s="56">
        <f t="shared" si="2"/>
        <v>0</v>
      </c>
      <c r="M20" s="56">
        <f t="shared" si="2"/>
        <v>0</v>
      </c>
      <c r="N20" s="56">
        <f t="shared" si="2"/>
        <v>0</v>
      </c>
    </row>
    <row r="21" spans="1:14" ht="10.5" customHeight="1">
      <c r="A21" s="23" t="s">
        <v>28</v>
      </c>
      <c r="B21" s="3" t="s">
        <v>31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10"/>
      <c r="D23" s="10"/>
      <c r="E23" s="10"/>
      <c r="F23" s="10"/>
      <c r="G23" s="10"/>
      <c r="H23" s="10"/>
      <c r="I23" s="10"/>
      <c r="J23" s="10"/>
      <c r="K23" s="10"/>
      <c r="L23" s="40"/>
      <c r="M23" s="9"/>
      <c r="N23" s="21"/>
    </row>
    <row r="24" spans="1:14" ht="10.5" customHeight="1" thickBot="1">
      <c r="A24" s="14" t="s">
        <v>30</v>
      </c>
      <c r="B24" s="24" t="s">
        <v>161</v>
      </c>
      <c r="C24" s="56">
        <f>SUM(C21:C23)</f>
        <v>0</v>
      </c>
      <c r="D24" s="56">
        <f aca="true" t="shared" si="3" ref="D24:N24">SUM(D21:D23)</f>
        <v>0</v>
      </c>
      <c r="E24" s="56">
        <f t="shared" si="3"/>
        <v>0</v>
      </c>
      <c r="F24" s="56">
        <f t="shared" si="3"/>
        <v>0</v>
      </c>
      <c r="G24" s="56">
        <f t="shared" si="3"/>
        <v>0</v>
      </c>
      <c r="H24" s="56">
        <f t="shared" si="3"/>
        <v>0</v>
      </c>
      <c r="I24" s="56">
        <f t="shared" si="3"/>
        <v>0</v>
      </c>
      <c r="J24" s="56">
        <f t="shared" si="3"/>
        <v>0</v>
      </c>
      <c r="K24" s="56">
        <f t="shared" si="3"/>
        <v>0</v>
      </c>
      <c r="L24" s="56">
        <f t="shared" si="3"/>
        <v>0</v>
      </c>
      <c r="M24" s="56">
        <f t="shared" si="3"/>
        <v>0</v>
      </c>
      <c r="N24" s="5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0.5" customHeight="1" thickBot="1">
      <c r="A26" s="91" t="s">
        <v>178</v>
      </c>
      <c r="B26" s="122" t="s">
        <v>179</v>
      </c>
      <c r="C26" s="78">
        <f>SUM(C20,C24,C25)</f>
        <v>0</v>
      </c>
      <c r="D26" s="78">
        <f aca="true" t="shared" si="4" ref="D26:N26">SUM(D20,D24,D25)</f>
        <v>0</v>
      </c>
      <c r="E26" s="78">
        <f t="shared" si="4"/>
        <v>0</v>
      </c>
      <c r="F26" s="78">
        <f t="shared" si="4"/>
        <v>0</v>
      </c>
      <c r="G26" s="78">
        <f t="shared" si="4"/>
        <v>0</v>
      </c>
      <c r="H26" s="78">
        <f t="shared" si="4"/>
        <v>0</v>
      </c>
      <c r="I26" s="78">
        <f t="shared" si="4"/>
        <v>0</v>
      </c>
      <c r="J26" s="78">
        <f t="shared" si="4"/>
        <v>0</v>
      </c>
      <c r="K26" s="78">
        <f t="shared" si="4"/>
        <v>0</v>
      </c>
      <c r="L26" s="78">
        <f t="shared" si="4"/>
        <v>0</v>
      </c>
      <c r="M26" s="78">
        <f t="shared" si="4"/>
        <v>0</v>
      </c>
      <c r="N26" s="78">
        <f t="shared" si="4"/>
        <v>0</v>
      </c>
    </row>
    <row r="27" spans="1:14" s="19" customFormat="1" ht="10.5" customHeight="1">
      <c r="A27" s="25"/>
      <c r="B27" s="19" t="s">
        <v>183</v>
      </c>
      <c r="C27" s="40">
        <f>SUM(C26,C18,C14)</f>
        <v>0</v>
      </c>
      <c r="D27" s="40">
        <f aca="true" t="shared" si="5" ref="D27:N27">SUM(D26,D18,D14)</f>
        <v>0</v>
      </c>
      <c r="E27" s="40">
        <f t="shared" si="5"/>
        <v>0</v>
      </c>
      <c r="F27" s="40">
        <f t="shared" si="5"/>
        <v>0</v>
      </c>
      <c r="G27" s="40">
        <f t="shared" si="5"/>
        <v>0</v>
      </c>
      <c r="H27" s="40">
        <f t="shared" si="5"/>
        <v>0</v>
      </c>
      <c r="I27" s="40">
        <f t="shared" si="5"/>
        <v>0</v>
      </c>
      <c r="J27" s="40">
        <f t="shared" si="5"/>
        <v>0</v>
      </c>
      <c r="K27" s="40">
        <f t="shared" si="5"/>
        <v>0</v>
      </c>
      <c r="L27" s="40">
        <f t="shared" si="5"/>
        <v>0</v>
      </c>
      <c r="M27" s="40">
        <f t="shared" si="5"/>
        <v>0</v>
      </c>
      <c r="N27" s="40">
        <f t="shared" si="5"/>
        <v>0</v>
      </c>
    </row>
    <row r="28" spans="1:21" ht="10.5" customHeight="1">
      <c r="A28" s="156" t="s">
        <v>33</v>
      </c>
      <c r="B28" s="156"/>
      <c r="C28" s="10"/>
      <c r="D28" s="10"/>
      <c r="E28" s="10"/>
      <c r="F28" s="10"/>
      <c r="G28" s="10"/>
      <c r="H28" s="10"/>
      <c r="I28" s="10"/>
      <c r="J28" s="10"/>
      <c r="K28" s="10"/>
      <c r="L28" s="40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>
        <v>2038846</v>
      </c>
      <c r="D29" s="10">
        <f>2146473-1073</f>
        <v>2145400</v>
      </c>
      <c r="E29" s="10">
        <v>2145400</v>
      </c>
      <c r="F29" s="10"/>
      <c r="G29" s="10"/>
      <c r="H29" s="10"/>
      <c r="I29" s="10"/>
      <c r="J29" s="10"/>
      <c r="K29" s="10"/>
      <c r="L29" s="40"/>
      <c r="M29" s="40"/>
      <c r="N29" s="41"/>
    </row>
    <row r="30" spans="1:18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>
        <v>325330</v>
      </c>
      <c r="I30" s="10"/>
      <c r="J30" s="10"/>
      <c r="K30" s="10"/>
      <c r="L30" s="40"/>
      <c r="M30" s="40"/>
      <c r="N30" s="41"/>
      <c r="R30" s="8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>
        <v>502541</v>
      </c>
      <c r="G31" s="10">
        <f>721548+1073</f>
        <v>722621</v>
      </c>
      <c r="H31" s="10">
        <v>692500</v>
      </c>
      <c r="I31" s="10"/>
      <c r="J31" s="10"/>
      <c r="K31" s="10"/>
      <c r="L31" s="40"/>
      <c r="M31" s="40"/>
      <c r="N31" s="41"/>
    </row>
    <row r="32" spans="1:14" ht="10.5" customHeight="1">
      <c r="A32" s="27" t="s">
        <v>7</v>
      </c>
      <c r="B32" s="28" t="s">
        <v>166</v>
      </c>
      <c r="C32" s="29">
        <f>SUM(C29:C31)</f>
        <v>2038846</v>
      </c>
      <c r="D32" s="29">
        <f aca="true" t="shared" si="6" ref="D32:N32">SUM(D29:D31)</f>
        <v>2145400</v>
      </c>
      <c r="E32" s="29">
        <f t="shared" si="6"/>
        <v>2145400</v>
      </c>
      <c r="F32" s="29">
        <f t="shared" si="6"/>
        <v>502541</v>
      </c>
      <c r="G32" s="29">
        <f t="shared" si="6"/>
        <v>722621</v>
      </c>
      <c r="H32" s="29">
        <f t="shared" si="6"/>
        <v>1017830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10">
        <v>4967848</v>
      </c>
      <c r="J33" s="10">
        <v>4967848</v>
      </c>
      <c r="K33" s="10">
        <v>5194534</v>
      </c>
      <c r="L33" s="105"/>
      <c r="M33" s="8"/>
      <c r="N33" s="18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26">
        <v>5047111</v>
      </c>
      <c r="J34" s="10">
        <v>5728886</v>
      </c>
      <c r="K34" s="10">
        <v>5941491</v>
      </c>
      <c r="L34" s="10"/>
      <c r="M34" s="18"/>
      <c r="N34" s="18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40"/>
      <c r="M35" s="9"/>
      <c r="N35" s="21"/>
    </row>
    <row r="36" spans="1:35" ht="10.5" customHeight="1">
      <c r="A36" s="14" t="s">
        <v>16</v>
      </c>
      <c r="B36" s="15" t="s">
        <v>169</v>
      </c>
      <c r="C36" s="56">
        <f>SUM(C32:C35)</f>
        <v>2038846</v>
      </c>
      <c r="D36" s="56">
        <f aca="true" t="shared" si="7" ref="D36:N36">SUM(D32:D35)</f>
        <v>2145400</v>
      </c>
      <c r="E36" s="56">
        <f t="shared" si="7"/>
        <v>2145400</v>
      </c>
      <c r="F36" s="56">
        <f t="shared" si="7"/>
        <v>502541</v>
      </c>
      <c r="G36" s="56">
        <f t="shared" si="7"/>
        <v>722621</v>
      </c>
      <c r="H36" s="56">
        <f t="shared" si="7"/>
        <v>1017830</v>
      </c>
      <c r="I36" s="56">
        <f t="shared" si="7"/>
        <v>10014959</v>
      </c>
      <c r="J36" s="56">
        <f t="shared" si="7"/>
        <v>10696734</v>
      </c>
      <c r="K36" s="56">
        <f t="shared" si="7"/>
        <v>11136025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Y36" s="8"/>
      <c r="Z36" s="8"/>
      <c r="AA36" s="8"/>
      <c r="AE36" s="8"/>
      <c r="AF36" s="8"/>
      <c r="AG36" s="8"/>
      <c r="AH36" s="8"/>
      <c r="AI36" s="8"/>
    </row>
    <row r="37" spans="1:35" ht="10.5" customHeight="1">
      <c r="A37" s="4" t="s">
        <v>17</v>
      </c>
      <c r="B37" s="3" t="s">
        <v>39</v>
      </c>
      <c r="C37" s="10">
        <v>0</v>
      </c>
      <c r="D37" s="10"/>
      <c r="E37" s="10">
        <v>0</v>
      </c>
      <c r="F37" s="10"/>
      <c r="G37" s="10"/>
      <c r="H37" s="10"/>
      <c r="I37" s="10"/>
      <c r="J37" s="10"/>
      <c r="K37" s="10"/>
      <c r="L37" s="40"/>
      <c r="M37" s="9"/>
      <c r="N37" s="21"/>
      <c r="Y37" s="8"/>
      <c r="Z37" s="8"/>
      <c r="AA37" s="8"/>
      <c r="AE37" s="8"/>
      <c r="AF37" s="8"/>
      <c r="AG37" s="8"/>
      <c r="AH37" s="8"/>
      <c r="AI37" s="8"/>
    </row>
    <row r="38" spans="1:35" ht="10.5" customHeight="1">
      <c r="A38" s="4" t="s">
        <v>18</v>
      </c>
      <c r="B38" s="3" t="s">
        <v>168</v>
      </c>
      <c r="C38" s="10"/>
      <c r="D38" s="10"/>
      <c r="E38" s="10"/>
      <c r="F38" s="10"/>
      <c r="G38" s="10"/>
      <c r="H38" s="10"/>
      <c r="I38" s="10"/>
      <c r="J38" s="10"/>
      <c r="K38" s="10"/>
      <c r="L38" s="40"/>
      <c r="M38" s="9"/>
      <c r="N38" s="21"/>
      <c r="Y38" s="8"/>
      <c r="Z38" s="8"/>
      <c r="AA38" s="8"/>
      <c r="AE38" s="8"/>
      <c r="AF38" s="8"/>
      <c r="AG38" s="8"/>
      <c r="AH38" s="8"/>
      <c r="AI38" s="8"/>
    </row>
    <row r="39" spans="1:35" s="19" customFormat="1" ht="10.5" customHeight="1">
      <c r="A39" s="4" t="s">
        <v>20</v>
      </c>
      <c r="B39" s="3" t="s">
        <v>40</v>
      </c>
      <c r="C39" s="10"/>
      <c r="D39" s="10"/>
      <c r="E39" s="10"/>
      <c r="F39" s="10"/>
      <c r="G39" s="10"/>
      <c r="H39" s="10"/>
      <c r="I39" s="10"/>
      <c r="J39" s="10"/>
      <c r="K39" s="10"/>
      <c r="L39" s="40"/>
      <c r="M39" s="9"/>
      <c r="N39" s="21"/>
      <c r="Y39" s="9"/>
      <c r="Z39" s="9"/>
      <c r="AA39" s="9"/>
      <c r="AE39" s="9"/>
      <c r="AF39" s="9"/>
      <c r="AG39" s="9"/>
      <c r="AH39" s="9"/>
      <c r="AI39" s="9"/>
    </row>
    <row r="40" spans="1:26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Y40" s="8"/>
      <c r="Z40" s="8"/>
    </row>
    <row r="41" spans="1:26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Y41" s="8"/>
      <c r="Z41" s="8"/>
    </row>
    <row r="42" spans="1:26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Y42" s="8"/>
      <c r="Z42" s="8"/>
    </row>
    <row r="43" spans="1:26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Y43" s="8"/>
      <c r="Z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4" s="84" customFormat="1" ht="13.5" thickBot="1">
      <c r="A50" s="25"/>
      <c r="B50" s="19" t="s">
        <v>185</v>
      </c>
      <c r="C50" s="9">
        <f>SUM(C49,C40,C36)</f>
        <v>2038846</v>
      </c>
      <c r="D50" s="9">
        <f aca="true" t="shared" si="12" ref="D50:N50">SUM(D49,D40,D36)</f>
        <v>2145400</v>
      </c>
      <c r="E50" s="9">
        <f t="shared" si="12"/>
        <v>2145400</v>
      </c>
      <c r="F50" s="9">
        <f t="shared" si="12"/>
        <v>502541</v>
      </c>
      <c r="G50" s="9">
        <f t="shared" si="12"/>
        <v>722621</v>
      </c>
      <c r="H50" s="9">
        <f t="shared" si="12"/>
        <v>1017830</v>
      </c>
      <c r="I50" s="9">
        <f t="shared" si="12"/>
        <v>10014959</v>
      </c>
      <c r="J50" s="9">
        <f t="shared" si="12"/>
        <v>10696734</v>
      </c>
      <c r="K50" s="9">
        <f t="shared" si="12"/>
        <v>11136025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V50" s="19"/>
      <c r="W50" s="19"/>
      <c r="X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spans="22:24" ht="12.75">
      <c r="V56" s="8"/>
      <c r="W56" s="8"/>
      <c r="X56" s="8"/>
    </row>
    <row r="57" spans="22:24" ht="12.75">
      <c r="V57" s="8"/>
      <c r="W57" s="8"/>
      <c r="X57" s="8"/>
    </row>
    <row r="58" spans="22:24" ht="12.75">
      <c r="V58" s="8"/>
      <c r="W58" s="8"/>
      <c r="X58" s="8"/>
    </row>
    <row r="59" spans="22:24" ht="12.75">
      <c r="V59" s="8"/>
      <c r="W59" s="8"/>
      <c r="X59" s="8"/>
    </row>
    <row r="60" spans="22:24" ht="12.75">
      <c r="V60" s="9"/>
      <c r="W60" s="9"/>
      <c r="X60" s="9"/>
    </row>
    <row r="61" spans="22:24" ht="12.75">
      <c r="V61" s="9"/>
      <c r="W61" s="9"/>
      <c r="X61" s="9"/>
    </row>
    <row r="62" spans="22:24" ht="12.75">
      <c r="V62" s="8"/>
      <c r="W62" s="8"/>
      <c r="X62" s="8"/>
    </row>
    <row r="63" spans="22:24" ht="12.75">
      <c r="V63" s="8"/>
      <c r="W63" s="8"/>
      <c r="X63" s="8"/>
    </row>
    <row r="64" spans="22:24" ht="12.75">
      <c r="V64" s="8"/>
      <c r="W64" s="8"/>
      <c r="X64" s="8"/>
    </row>
    <row r="65" spans="22:24" ht="12.75">
      <c r="V65" s="8"/>
      <c r="W65" s="8"/>
      <c r="X65" s="8"/>
    </row>
    <row r="66" spans="22:24" ht="12.75">
      <c r="V66" s="8"/>
      <c r="W66" s="8"/>
      <c r="X66" s="8"/>
    </row>
    <row r="67" spans="22:24" ht="12.75">
      <c r="V67" s="8"/>
      <c r="W67" s="8"/>
      <c r="X67" s="8"/>
    </row>
    <row r="68" spans="22:24" ht="12.75">
      <c r="V68" s="8"/>
      <c r="W68" s="8"/>
      <c r="X68" s="8"/>
    </row>
    <row r="69" spans="22:24" ht="12.75">
      <c r="V69" s="8"/>
      <c r="W69" s="8"/>
      <c r="X69" s="8"/>
    </row>
    <row r="70" spans="22:24" ht="12.75">
      <c r="V70" s="8"/>
      <c r="W70" s="8"/>
      <c r="X70" s="8"/>
    </row>
    <row r="71" spans="22:24" ht="12.75">
      <c r="V71" s="8"/>
      <c r="W71" s="8"/>
      <c r="X71" s="8"/>
    </row>
    <row r="72" spans="22:24" ht="12.75">
      <c r="V72" s="8"/>
      <c r="W72" s="8"/>
      <c r="X72" s="8"/>
    </row>
    <row r="73" spans="22:24" ht="12.75">
      <c r="V73" s="8"/>
      <c r="W73" s="8"/>
      <c r="X73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5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1" width="9.375" style="1" customWidth="1"/>
    <col min="12" max="12" width="11.875" style="1" customWidth="1"/>
    <col min="13" max="13" width="10.375" style="1" customWidth="1"/>
    <col min="14" max="14" width="11.00390625" style="1" customWidth="1"/>
    <col min="15" max="15" width="0" style="1" hidden="1" customWidth="1"/>
    <col min="16" max="16" width="9.25390625" style="1" customWidth="1"/>
    <col min="17" max="19" width="0" style="1" hidden="1" customWidth="1"/>
    <col min="20" max="16384" width="9.125" style="1" customWidth="1"/>
  </cols>
  <sheetData>
    <row r="1" spans="2:16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</row>
    <row r="2" spans="8:19" ht="8.25" customHeight="1" thickBot="1">
      <c r="H2" s="3"/>
      <c r="M2" s="3" t="s">
        <v>0</v>
      </c>
      <c r="S2" s="3"/>
    </row>
    <row r="3" spans="1:14" ht="9" customHeight="1" thickBot="1">
      <c r="A3" s="161" t="s">
        <v>1</v>
      </c>
      <c r="B3" s="161"/>
      <c r="C3" s="163">
        <v>1505</v>
      </c>
      <c r="D3" s="163"/>
      <c r="E3" s="163"/>
      <c r="F3" s="163">
        <v>1506</v>
      </c>
      <c r="G3" s="163"/>
      <c r="H3" s="163"/>
      <c r="I3" s="175">
        <v>1507</v>
      </c>
      <c r="J3" s="175"/>
      <c r="K3" s="175"/>
      <c r="L3" s="182">
        <v>1500</v>
      </c>
      <c r="M3" s="182"/>
      <c r="N3" s="182"/>
    </row>
    <row r="4" spans="1:14" s="48" customFormat="1" ht="24" customHeight="1" thickBot="1">
      <c r="A4" s="161"/>
      <c r="B4" s="161"/>
      <c r="C4" s="195" t="s">
        <v>120</v>
      </c>
      <c r="D4" s="195"/>
      <c r="E4" s="195"/>
      <c r="F4" s="195" t="s">
        <v>197</v>
      </c>
      <c r="G4" s="195"/>
      <c r="H4" s="195"/>
      <c r="I4" s="195" t="s">
        <v>121</v>
      </c>
      <c r="J4" s="195"/>
      <c r="K4" s="195"/>
      <c r="L4" s="196" t="s">
        <v>122</v>
      </c>
      <c r="M4" s="196"/>
      <c r="N4" s="196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>
        <f>'25'!C9+'25'!F9+'25'!I9+'25'!L9+'26'!C9+'26'!F9+'26'!I9</f>
        <v>0</v>
      </c>
      <c r="M9" s="9">
        <f>'25'!D9+'25'!G9+'25'!J9+'25'!M9+'26'!D9+'26'!G9+'26'!J9</f>
        <v>0</v>
      </c>
      <c r="N9" s="9">
        <f>'25'!E9+'25'!H9+'25'!K9+'25'!N9+'26'!E9+'26'!H9+'26'!K9</f>
        <v>0</v>
      </c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9">
        <f>'25'!C10+'25'!F10+'25'!I10+'25'!L10+'26'!C10+'26'!F10+'26'!I10</f>
        <v>0</v>
      </c>
      <c r="M10" s="9">
        <f>'25'!D10+'25'!G10+'25'!J10+'25'!M10+'26'!D10+'26'!G10+'26'!J10</f>
        <v>0</v>
      </c>
      <c r="N10" s="9">
        <f>'25'!E10+'25'!H10+'25'!K10+'25'!N10+'26'!E10+'26'!H10+'26'!K10</f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>
        <f>'25'!C11+'25'!F11+'25'!I11+'25'!L11+'26'!C11+'26'!F11+'26'!I11</f>
        <v>0</v>
      </c>
      <c r="M11" s="9">
        <f>'25'!D11+'25'!G11+'25'!J11+'25'!M11+'26'!D11+'26'!G11+'26'!J11</f>
        <v>0</v>
      </c>
      <c r="N11" s="9">
        <f>'25'!E11+'25'!H11+'25'!K11+'25'!N11+'26'!E11+'26'!H11+'26'!K11</f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>
        <f>'25'!C12+'25'!F12+'25'!I12+'25'!L12+'26'!C12+'26'!F12+'26'!I12</f>
        <v>0</v>
      </c>
      <c r="M12" s="9">
        <f>'25'!D12+'25'!G12+'25'!J12+'25'!M12+'26'!D12+'26'!G12+'26'!J12</f>
        <v>0</v>
      </c>
      <c r="N12" s="9">
        <f>'25'!E12+'25'!H12+'25'!K12+'25'!N12+'26'!E12+'26'!H12+'26'!K12</f>
        <v>0</v>
      </c>
    </row>
    <row r="13" spans="1:15" ht="10.5" customHeight="1" thickBo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>
        <f>'25'!C13+'25'!F13+'25'!I13+'25'!L13+'26'!C13+'26'!F13+'26'!I13</f>
        <v>0</v>
      </c>
      <c r="M13" s="9">
        <f>'25'!D13+'25'!G13+'25'!J13+'25'!M13+'26'!D13+'26'!G13+'26'!J13</f>
        <v>0</v>
      </c>
      <c r="N13" s="9">
        <f>'25'!E13+'25'!H13+'25'!K13+'25'!N13+'26'!E13+'26'!H13+'26'!K13</f>
        <v>0</v>
      </c>
      <c r="O13" s="49"/>
    </row>
    <row r="14" spans="1:14" ht="10.5" customHeight="1" thickBo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M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77">
        <f>'25'!E14+'25'!H14+'25'!K14+'25'!N14+'26'!E14+'26'!H14+'26'!K14</f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>
        <f>'25'!C15+'25'!F15+'25'!I15+'25'!L15+'26'!C15+'26'!F15+'26'!I15</f>
        <v>0</v>
      </c>
      <c r="M15" s="9">
        <f>'25'!D15+'25'!G15+'25'!J15+'25'!M15+'26'!D15+'26'!G15+'26'!J15</f>
        <v>0</v>
      </c>
      <c r="N15" s="90">
        <f>'25'!E15+'25'!H15+'25'!K15+'25'!N15+'26'!E15+'26'!H15+'26'!K15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>'25'!C16+'25'!F16+'25'!I16+'25'!L16+'26'!C16+'26'!F16+'26'!I16</f>
        <v>0</v>
      </c>
      <c r="M16" s="9">
        <f>'25'!D16+'25'!G16+'25'!J16+'25'!M16+'26'!D16+'26'!G16+'26'!J16</f>
        <v>0</v>
      </c>
      <c r="N16" s="21">
        <f>'25'!E16+'25'!H16+'25'!K16+'25'!N16+'26'!E16+'26'!H16+'26'!K16</f>
        <v>0</v>
      </c>
    </row>
    <row r="17" spans="1:14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>'25'!C17+'25'!F17+'25'!I17+'25'!L17+'26'!C17+'26'!F17+'26'!I17</f>
        <v>0</v>
      </c>
      <c r="M17" s="9">
        <f>'25'!D17+'25'!G17+'25'!J17+'25'!M17+'26'!D17+'26'!G17+'26'!J17</f>
        <v>0</v>
      </c>
      <c r="N17" s="139">
        <f>'25'!E17+'25'!H17+'25'!K17+'25'!N17+'26'!E17+'26'!H17+'26'!K17</f>
        <v>0</v>
      </c>
    </row>
    <row r="18" spans="1:14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M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77">
        <f>'25'!E18+'25'!H18+'25'!K18+'25'!N18+'26'!E18+'26'!H18+'26'!K18</f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7">
        <f>'25'!E19+'25'!H19+'25'!K19+'25'!N19+'26'!E19+'26'!H19+'26'!K19</f>
        <v>0</v>
      </c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M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77">
        <f>'25'!E20+'25'!H20+'25'!K20+'25'!N20+'26'!E20+'26'!H20+'26'!K20</f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90">
        <f>'25'!E21+'25'!H21+'25'!K21+'25'!N21+'26'!E21+'26'!H21+'26'!K21</f>
        <v>0</v>
      </c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'25'!E22+'25'!H22+'25'!K22+'25'!N22+'26'!E22+'26'!H22+'26'!K22</f>
        <v>0</v>
      </c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'25'!C23+'25'!F23+'25'!I23+'25'!L23+'26'!C23+'26'!F23+'26'!I23</f>
        <v>0</v>
      </c>
      <c r="M23" s="9">
        <f>'25'!D23+'25'!G23+'25'!J23+'25'!M23+'26'!D23+'26'!G23+'26'!J23</f>
        <v>0</v>
      </c>
      <c r="N23" s="139">
        <f>'25'!E23+'25'!H23+'25'!K23+'25'!N23+'26'!E23+'26'!H23+'26'!K23</f>
        <v>0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M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77">
        <f>'25'!E24+'25'!H24+'25'!K24+'25'!N24+'26'!E24+'26'!H24+'26'!K24</f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7">
        <f>'25'!E25+'25'!H25+'25'!K25+'25'!N25+'26'!E25+'26'!H25+'26'!K25</f>
        <v>0</v>
      </c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M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>'25'!E26+'25'!H26+'25'!K26+'25'!N26+'26'!E26+'26'!H26+'26'!K26</f>
        <v>0</v>
      </c>
    </row>
    <row r="27" spans="1:14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5" ref="D27:M27">SUM(D26,D18,D14)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9">
        <f t="shared" si="5"/>
        <v>0</v>
      </c>
      <c r="N27" s="9">
        <f>'25'!E27+'25'!H27+'25'!K27+'25'!N27+'26'!E27+'26'!H27+'26'!K27</f>
        <v>0</v>
      </c>
    </row>
    <row r="28" spans="1:20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9">
        <f>'25'!E28+'25'!H28+'25'!K28+'25'!N28+'26'!E28+'26'!H28+'26'!K28</f>
        <v>0</v>
      </c>
      <c r="T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'25'!C29+'25'!F29+'25'!I29+'25'!L29+'26'!C29+'26'!F29+'26'!I29</f>
        <v>2038846</v>
      </c>
      <c r="M29" s="9">
        <f>'25'!D29+'25'!G29+'25'!J29+'25'!M29+'26'!D29+'26'!G29+'26'!J29</f>
        <v>2145400</v>
      </c>
      <c r="N29" s="9">
        <f>'25'!E29+'25'!H29+'25'!K29+'25'!N29+'26'!E29+'26'!H29+'26'!K29</f>
        <v>2145400</v>
      </c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9">
        <f>'25'!C30+'25'!F30+'25'!I30+'25'!L30+'26'!C30+'26'!F30+'26'!I30</f>
        <v>0</v>
      </c>
      <c r="M30" s="9">
        <f>'25'!D30+'25'!G30+'25'!J30+'25'!M30+'26'!D30+'26'!G30+'26'!J30</f>
        <v>0</v>
      </c>
      <c r="N30" s="9">
        <f>'25'!E30+'25'!H30+'25'!K30+'25'!N30+'26'!E30+'26'!H30+'26'!K30</f>
        <v>325330</v>
      </c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9">
        <f>'25'!C31+'25'!F31+'25'!I31+'25'!L31+'26'!C31+'26'!F31+'26'!I31</f>
        <v>502541</v>
      </c>
      <c r="M31" s="9">
        <f>'25'!D31+'25'!G31+'25'!J31+'25'!M31+'26'!D31+'26'!G31+'26'!J31</f>
        <v>722621</v>
      </c>
      <c r="N31" s="9">
        <f>'25'!E31+'25'!H31+'25'!K31+'25'!N31+'26'!E31+'26'!H31+'26'!K31</f>
        <v>692500</v>
      </c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M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2541387</v>
      </c>
      <c r="M32" s="29">
        <f t="shared" si="6"/>
        <v>2868021</v>
      </c>
      <c r="N32" s="138">
        <f>'25'!E32+'25'!H32+'25'!K32+'25'!N32+'26'!E32+'26'!H32+'26'!K32</f>
        <v>3163230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>
        <f>'25'!C33+'25'!F33+'25'!I33+'25'!L33+'26'!C33+'26'!F33+'26'!I33</f>
        <v>4967848</v>
      </c>
      <c r="M33" s="9">
        <f>'25'!D33+'25'!G33+'25'!J33+'25'!M33+'26'!D33+'26'!G33+'26'!J33</f>
        <v>4967848</v>
      </c>
      <c r="N33" s="9">
        <f>'25'!E33+'25'!H33+'25'!K33+'25'!N33+'26'!E33+'26'!H33+'26'!K33</f>
        <v>5194534</v>
      </c>
    </row>
    <row r="34" spans="1:16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>
        <f>'25'!C34+'25'!F34+'25'!I34+'25'!L34+'26'!C34+'26'!F34+'26'!I34</f>
        <v>5047111</v>
      </c>
      <c r="M34" s="9">
        <f>'25'!D34+'25'!G34+'25'!J34+'25'!M34+'26'!D34+'26'!G34+'26'!J34</f>
        <v>5728886</v>
      </c>
      <c r="N34" s="9">
        <f>'25'!E34+'25'!H34+'25'!K34+'25'!N34+'26'!E34+'26'!H34+'26'!K34</f>
        <v>5941491</v>
      </c>
      <c r="P34" s="8"/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>
        <f>'25'!C35+'25'!F35+'25'!I35+'25'!L35+'26'!C35+'26'!F35+'26'!I35</f>
        <v>0</v>
      </c>
      <c r="M35" s="9">
        <f>'25'!D35+'25'!G35+'25'!J35+'25'!M35+'26'!D35+'26'!G35+'26'!J35</f>
        <v>0</v>
      </c>
      <c r="N35" s="9">
        <f>'25'!E35+'25'!H35+'25'!K35+'25'!N35+'26'!E35+'26'!H35+'26'!K35</f>
        <v>0</v>
      </c>
    </row>
    <row r="36" spans="1:39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M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12556346</v>
      </c>
      <c r="M36" s="16">
        <f t="shared" si="7"/>
        <v>13564755</v>
      </c>
      <c r="N36" s="77">
        <f>'25'!E36+'25'!H36+'25'!K36+'25'!N36+'26'!E36+'26'!H36+'26'!K36</f>
        <v>14299255</v>
      </c>
      <c r="AC36" s="8"/>
      <c r="AD36" s="8"/>
      <c r="AE36" s="8"/>
      <c r="AI36" s="8"/>
      <c r="AJ36" s="8"/>
      <c r="AK36" s="8"/>
      <c r="AL36" s="8"/>
      <c r="AM36" s="8"/>
    </row>
    <row r="37" spans="1:39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>
        <f>'25'!C37+'25'!F37+'25'!I37+'25'!L37+'26'!C37+'26'!F37+'26'!I37</f>
        <v>0</v>
      </c>
      <c r="M37" s="9">
        <f>'25'!D37+'25'!G37+'25'!J37+'25'!M37+'26'!D37+'26'!G37+'26'!J37</f>
        <v>0</v>
      </c>
      <c r="N37" s="90">
        <f>'25'!E37+'25'!H37+'25'!K37+'25'!N37+'26'!E37+'26'!H37+'26'!K37</f>
        <v>0</v>
      </c>
      <c r="P37" s="8"/>
      <c r="AC37" s="8"/>
      <c r="AD37" s="8"/>
      <c r="AE37" s="8"/>
      <c r="AI37" s="8"/>
      <c r="AJ37" s="8"/>
      <c r="AK37" s="8"/>
      <c r="AL37" s="8"/>
      <c r="AM37" s="8"/>
    </row>
    <row r="38" spans="1:39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>
        <f>'25'!C38+'25'!F38+'25'!I38+'25'!L38+'26'!C38+'26'!F38+'26'!I38</f>
        <v>0</v>
      </c>
      <c r="M38" s="9">
        <f>'25'!D38+'25'!G38+'25'!J38+'25'!M38+'26'!D38+'26'!G38+'26'!J38</f>
        <v>0</v>
      </c>
      <c r="N38" s="21">
        <f>'25'!E38+'25'!H38+'25'!K38+'25'!N38+'26'!E38+'26'!H38+'26'!K38</f>
        <v>0</v>
      </c>
      <c r="AC38" s="8"/>
      <c r="AD38" s="8"/>
      <c r="AE38" s="8"/>
      <c r="AI38" s="8"/>
      <c r="AJ38" s="8"/>
      <c r="AK38" s="8"/>
      <c r="AL38" s="8"/>
      <c r="AM38" s="8"/>
    </row>
    <row r="39" spans="1:39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>
        <f>'25'!C39+'25'!F39+'25'!I39+'25'!L39+'26'!C39+'26'!F39+'26'!I39</f>
        <v>0</v>
      </c>
      <c r="M39" s="9">
        <f>'25'!D39+'25'!G39+'25'!J39+'25'!M39+'26'!D39+'26'!G39+'26'!J39</f>
        <v>0</v>
      </c>
      <c r="N39" s="139">
        <f>'25'!E39+'25'!H39+'25'!K39+'25'!N39+'26'!E39+'26'!H39+'26'!K39</f>
        <v>0</v>
      </c>
      <c r="P39" s="9"/>
      <c r="AC39" s="9"/>
      <c r="AD39" s="9"/>
      <c r="AE39" s="9"/>
      <c r="AI39" s="9"/>
      <c r="AJ39" s="9"/>
      <c r="AK39" s="9"/>
      <c r="AL39" s="9"/>
      <c r="AM39" s="9"/>
    </row>
    <row r="40" spans="1:30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M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77">
        <f>'25'!E40+'25'!H40+'25'!K40+'25'!N40+'26'!E40+'26'!H40+'26'!K40</f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AC40" s="8"/>
      <c r="AD40" s="8"/>
    </row>
    <row r="41" spans="1:30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>
        <f>'25'!C41+'25'!F41+'25'!I41+'25'!L41+'26'!C41+'26'!F41+'26'!I41</f>
        <v>0</v>
      </c>
      <c r="M41" s="21">
        <f>'25'!D41+'25'!G41+'25'!J41+'25'!M41+'26'!D41+'26'!G41+'26'!J41</f>
        <v>0</v>
      </c>
      <c r="N41" s="77">
        <f>'25'!E41+'25'!H41+'25'!K41+'25'!N41+'26'!E41+'26'!H41+'26'!K41</f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AC41" s="8"/>
      <c r="AD41" s="8"/>
    </row>
    <row r="42" spans="1:30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96">
        <v>0</v>
      </c>
      <c r="J42" s="16">
        <v>603637</v>
      </c>
      <c r="K42" s="16">
        <v>278307</v>
      </c>
      <c r="L42" s="16">
        <f>'25'!C42+'25'!F42+'25'!I42+'25'!L42+'26'!C42+'26'!F42+'26'!I42</f>
        <v>0</v>
      </c>
      <c r="M42" s="16">
        <f>'25'!D42+'25'!G42+'25'!J42+'25'!M42+'26'!D42+'26'!G42+'26'!J42</f>
        <v>603637</v>
      </c>
      <c r="N42" s="77">
        <f>'25'!E42+'25'!H42+'25'!K42+'25'!N42+'26'!E42+'26'!H42+'26'!K42</f>
        <v>278307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AC42" s="8"/>
      <c r="AD42" s="8"/>
    </row>
    <row r="43" spans="1:30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>
        <v>83862</v>
      </c>
      <c r="H43" s="16">
        <v>83862</v>
      </c>
      <c r="I43" s="96"/>
      <c r="J43" s="16"/>
      <c r="K43" s="16"/>
      <c r="L43" s="16"/>
      <c r="M43" s="16">
        <f>SUM(G43)</f>
        <v>83862</v>
      </c>
      <c r="N43" s="77">
        <f>SUM(H43)</f>
        <v>83862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AC43" s="8"/>
      <c r="AD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L44">SUM(D41:D42)</f>
        <v>0</v>
      </c>
      <c r="E44" s="16">
        <f t="shared" si="9"/>
        <v>0</v>
      </c>
      <c r="F44" s="16">
        <f t="shared" si="9"/>
        <v>0</v>
      </c>
      <c r="G44" s="16">
        <f>SUM(G43)</f>
        <v>83862</v>
      </c>
      <c r="H44" s="16">
        <f>SUM(H43)</f>
        <v>83862</v>
      </c>
      <c r="I44" s="16">
        <f t="shared" si="9"/>
        <v>0</v>
      </c>
      <c r="J44" s="16">
        <f t="shared" si="9"/>
        <v>603637</v>
      </c>
      <c r="K44" s="16">
        <f t="shared" si="9"/>
        <v>278307</v>
      </c>
      <c r="L44" s="16">
        <f t="shared" si="9"/>
        <v>0</v>
      </c>
      <c r="M44" s="16">
        <f>SUM(M41:M43)</f>
        <v>687499</v>
      </c>
      <c r="N44" s="77">
        <f>'25'!E44+'25'!H44+'25'!K44+'25'!N44+'26'!E44+'26'!H44+'26'!K44</f>
        <v>362169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f>'25'!C45+'25'!F45+'25'!I45+'25'!L45+'26'!C45+'26'!F45+'26'!I45</f>
        <v>0</v>
      </c>
      <c r="M45" s="21">
        <f>'25'!D45+'25'!G45+'25'!J45+'25'!M45+'26'!D45+'26'!G45+'26'!J45</f>
        <v>0</v>
      </c>
      <c r="N45" s="90">
        <f>'25'!E45+'25'!H45+'25'!K45+'25'!N45+'26'!E45+'26'!H45+'26'!K45</f>
        <v>0</v>
      </c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>
        <f>'25'!C46+'25'!F46+'25'!I46+'25'!L46+'26'!C46+'26'!F46+'26'!I46</f>
        <v>0</v>
      </c>
      <c r="M46" s="21">
        <f>'25'!D46+'25'!G46+'25'!J46+'25'!M46+'26'!D46+'26'!G46+'26'!J46</f>
        <v>0</v>
      </c>
      <c r="N46" s="139">
        <f>'25'!E46+'25'!H46+'25'!K46+'25'!N46+'26'!E46+'26'!H46+'26'!K46</f>
        <v>0</v>
      </c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M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>'25'!E47+'25'!H47+'25'!K47+'25'!N47+'26'!E47+'26'!H47+'26'!K47</f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77">
        <f>'25'!E48+'25'!H48+'25'!K48+'25'!N48+'26'!E48+'26'!H48+'26'!K48</f>
        <v>0</v>
      </c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M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83862</v>
      </c>
      <c r="H49" s="77">
        <f t="shared" si="11"/>
        <v>83862</v>
      </c>
      <c r="I49" s="77">
        <f t="shared" si="11"/>
        <v>0</v>
      </c>
      <c r="J49" s="77">
        <f t="shared" si="11"/>
        <v>603637</v>
      </c>
      <c r="K49" s="77">
        <f t="shared" si="11"/>
        <v>278307</v>
      </c>
      <c r="L49" s="77">
        <f t="shared" si="11"/>
        <v>0</v>
      </c>
      <c r="M49" s="77">
        <f t="shared" si="11"/>
        <v>687499</v>
      </c>
      <c r="N49" s="77">
        <f>'25'!E49+'25'!H49+'25'!K49+'25'!N49+'26'!E49+'26'!H49+'26'!K49</f>
        <v>362169</v>
      </c>
    </row>
    <row r="50" spans="1:28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M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83862</v>
      </c>
      <c r="H50" s="9">
        <f t="shared" si="12"/>
        <v>83862</v>
      </c>
      <c r="I50" s="9">
        <f t="shared" si="12"/>
        <v>0</v>
      </c>
      <c r="J50" s="9">
        <f t="shared" si="12"/>
        <v>603637</v>
      </c>
      <c r="K50" s="9">
        <f t="shared" si="12"/>
        <v>278307</v>
      </c>
      <c r="L50" s="9">
        <f t="shared" si="12"/>
        <v>12556346</v>
      </c>
      <c r="M50" s="9">
        <f t="shared" si="12"/>
        <v>14252254</v>
      </c>
      <c r="N50" s="77">
        <f>'25'!E50+'25'!H50+'25'!K50+'25'!N50+'26'!E50+'26'!H50+'26'!K50</f>
        <v>14661424</v>
      </c>
      <c r="Z50" s="19"/>
      <c r="AA50" s="19"/>
      <c r="AB50" s="19"/>
    </row>
    <row r="51" spans="1:14" ht="13.5" thickBot="1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>
        <f>'25'!C51+'25'!F51+'25'!I51+'25'!L51+'26'!C51+'26'!F51+'26'!I51</f>
        <v>0</v>
      </c>
      <c r="M51" s="35">
        <f>'25'!D51+'25'!G51+'25'!J51+'25'!M51+'26'!D51+'26'!G51+'26'!J51</f>
        <v>0</v>
      </c>
      <c r="N51" s="77">
        <f>'25'!E51+'25'!H51+'25'!K51+'25'!N51+'26'!E51+'26'!H51+'26'!K51</f>
        <v>0</v>
      </c>
    </row>
    <row r="52" spans="1:14" ht="13.5" thickBot="1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>
        <f>'25'!C52+'25'!F52+'25'!I52+'25'!L52+'26'!C52+'26'!F52+'26'!I52</f>
        <v>0</v>
      </c>
      <c r="M52" s="42">
        <f>'25'!D52+'25'!G52+'25'!J52+'25'!M52+'26'!D52+'26'!G52+'26'!J52</f>
        <v>0</v>
      </c>
      <c r="N52" s="77">
        <f>'25'!E52+'25'!H52+'25'!K52+'25'!N52+'26'!E52+'26'!H52+'26'!K52</f>
        <v>0</v>
      </c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spans="26:28" ht="12.75">
      <c r="Z58" s="8"/>
      <c r="AA58" s="8"/>
      <c r="AB58" s="8"/>
    </row>
    <row r="59" spans="26:28" ht="12.75">
      <c r="Z59" s="8"/>
      <c r="AA59" s="8"/>
      <c r="AB59" s="8"/>
    </row>
    <row r="60" spans="26:28" ht="12.75">
      <c r="Z60" s="8"/>
      <c r="AA60" s="8"/>
      <c r="AB60" s="8"/>
    </row>
    <row r="61" spans="26:28" ht="12.75">
      <c r="Z61" s="8"/>
      <c r="AA61" s="8"/>
      <c r="AB61" s="8"/>
    </row>
    <row r="62" spans="26:28" ht="12.75">
      <c r="Z62" s="9"/>
      <c r="AA62" s="9"/>
      <c r="AB62" s="9"/>
    </row>
    <row r="63" spans="26:28" ht="12.75">
      <c r="Z63" s="9"/>
      <c r="AA63" s="9"/>
      <c r="AB63" s="9"/>
    </row>
    <row r="64" spans="26:28" ht="12.75">
      <c r="Z64" s="8"/>
      <c r="AA64" s="8"/>
      <c r="AB64" s="8"/>
    </row>
    <row r="65" spans="26:28" ht="12.75">
      <c r="Z65" s="8"/>
      <c r="AA65" s="8"/>
      <c r="AB65" s="8"/>
    </row>
    <row r="66" spans="26:28" ht="12.75">
      <c r="Z66" s="8"/>
      <c r="AA66" s="8"/>
      <c r="AB66" s="8"/>
    </row>
    <row r="67" spans="26:28" ht="12.75">
      <c r="Z67" s="8"/>
      <c r="AA67" s="8"/>
      <c r="AB67" s="8"/>
    </row>
    <row r="68" spans="26:28" ht="12.75">
      <c r="Z68" s="8"/>
      <c r="AA68" s="8"/>
      <c r="AB68" s="8"/>
    </row>
    <row r="69" spans="26:28" ht="12.75">
      <c r="Z69" s="8"/>
      <c r="AA69" s="8"/>
      <c r="AB69" s="8"/>
    </row>
    <row r="70" spans="26:28" ht="12.75">
      <c r="Z70" s="8"/>
      <c r="AA70" s="8"/>
      <c r="AB70" s="8"/>
    </row>
    <row r="71" spans="26:28" ht="12.75">
      <c r="Z71" s="8"/>
      <c r="AA71" s="8"/>
      <c r="AB71" s="8"/>
    </row>
    <row r="72" spans="26:28" ht="12.75">
      <c r="Z72" s="8"/>
      <c r="AA72" s="8"/>
      <c r="AB72" s="8"/>
    </row>
    <row r="73" spans="26:28" ht="12.75">
      <c r="Z73" s="8"/>
      <c r="AA73" s="8"/>
      <c r="AB73" s="8"/>
    </row>
    <row r="74" spans="26:28" ht="12.75">
      <c r="Z74" s="8"/>
      <c r="AA74" s="8"/>
      <c r="AB74" s="8"/>
    </row>
    <row r="75" spans="26:28" ht="12.75">
      <c r="Z75" s="8"/>
      <c r="AA75" s="8"/>
      <c r="AB75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1968503937007874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N75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10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10.5" customHeight="1">
      <c r="A3" s="161" t="s">
        <v>1</v>
      </c>
      <c r="B3" s="161"/>
      <c r="C3" s="163">
        <v>1601</v>
      </c>
      <c r="D3" s="163"/>
      <c r="E3" s="163"/>
      <c r="F3" s="163">
        <v>1602</v>
      </c>
      <c r="G3" s="163"/>
      <c r="H3" s="163"/>
      <c r="I3" s="175">
        <v>1603</v>
      </c>
      <c r="J3" s="175"/>
      <c r="K3" s="175"/>
      <c r="L3" s="165">
        <v>1604</v>
      </c>
      <c r="M3" s="165"/>
      <c r="N3" s="165"/>
    </row>
    <row r="4" spans="1:14" s="48" customFormat="1" ht="24" customHeight="1" thickBot="1">
      <c r="A4" s="161"/>
      <c r="B4" s="161"/>
      <c r="C4" s="195" t="s">
        <v>38</v>
      </c>
      <c r="D4" s="195"/>
      <c r="E4" s="195"/>
      <c r="F4" s="195" t="s">
        <v>39</v>
      </c>
      <c r="G4" s="195"/>
      <c r="H4" s="195"/>
      <c r="I4" s="195" t="s">
        <v>40</v>
      </c>
      <c r="J4" s="195"/>
      <c r="K4" s="195"/>
      <c r="L4" s="197" t="s">
        <v>123</v>
      </c>
      <c r="M4" s="197"/>
      <c r="N4" s="197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/>
      <c r="M13" s="9"/>
      <c r="N13" s="9"/>
      <c r="P13" s="49"/>
    </row>
    <row r="14" spans="1:14" ht="10.5" customHeigh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7" t="s">
        <v>23</v>
      </c>
      <c r="B19" s="68" t="s">
        <v>157</v>
      </c>
      <c r="C19" s="56"/>
      <c r="D19" s="56"/>
      <c r="E19" s="56"/>
      <c r="F19" s="56"/>
      <c r="G19" s="5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69" t="s">
        <v>26</v>
      </c>
      <c r="B20" s="68" t="s">
        <v>158</v>
      </c>
      <c r="C20" s="56">
        <f>SUM(C19)</f>
        <v>0</v>
      </c>
      <c r="D20" s="56">
        <f aca="true" t="shared" si="2" ref="D20:N20">SUM(D19)</f>
        <v>0</v>
      </c>
      <c r="E20" s="56">
        <f t="shared" si="2"/>
        <v>0</v>
      </c>
      <c r="F20" s="56">
        <f t="shared" si="2"/>
        <v>0</v>
      </c>
      <c r="G20" s="56">
        <f t="shared" si="2"/>
        <v>0</v>
      </c>
      <c r="H20" s="56">
        <f t="shared" si="2"/>
        <v>0</v>
      </c>
      <c r="I20" s="56">
        <f t="shared" si="2"/>
        <v>0</v>
      </c>
      <c r="J20" s="56">
        <f t="shared" si="2"/>
        <v>0</v>
      </c>
      <c r="K20" s="56">
        <f t="shared" si="2"/>
        <v>0</v>
      </c>
      <c r="L20" s="56">
        <f t="shared" si="2"/>
        <v>0</v>
      </c>
      <c r="M20" s="56">
        <f t="shared" si="2"/>
        <v>0</v>
      </c>
      <c r="N20" s="56">
        <f t="shared" si="2"/>
        <v>0</v>
      </c>
    </row>
    <row r="21" spans="1:14" ht="10.5" customHeight="1">
      <c r="A21" s="70" t="s">
        <v>28</v>
      </c>
      <c r="B21" s="65" t="s">
        <v>31</v>
      </c>
      <c r="C21" s="41"/>
      <c r="D21" s="41"/>
      <c r="E21" s="41"/>
      <c r="F21" s="41"/>
      <c r="G21" s="4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66" t="s">
        <v>160</v>
      </c>
      <c r="B23" s="65" t="s">
        <v>32</v>
      </c>
      <c r="C23" s="10"/>
      <c r="D23" s="10"/>
      <c r="E23" s="10"/>
      <c r="F23" s="10"/>
      <c r="G23" s="10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67" t="s">
        <v>30</v>
      </c>
      <c r="B24" s="71" t="s">
        <v>161</v>
      </c>
      <c r="C24" s="56">
        <f>SUM(C21:C23)</f>
        <v>0</v>
      </c>
      <c r="D24" s="56">
        <f aca="true" t="shared" si="3" ref="D24:N24">SUM(D21:D23)</f>
        <v>0</v>
      </c>
      <c r="E24" s="56">
        <f t="shared" si="3"/>
        <v>0</v>
      </c>
      <c r="F24" s="56">
        <f t="shared" si="3"/>
        <v>0</v>
      </c>
      <c r="G24" s="56">
        <f t="shared" si="3"/>
        <v>0</v>
      </c>
      <c r="H24" s="56">
        <f t="shared" si="3"/>
        <v>0</v>
      </c>
      <c r="I24" s="56">
        <f t="shared" si="3"/>
        <v>0</v>
      </c>
      <c r="J24" s="56">
        <f t="shared" si="3"/>
        <v>0</v>
      </c>
      <c r="K24" s="56">
        <f t="shared" si="3"/>
        <v>0</v>
      </c>
      <c r="L24" s="56">
        <f t="shared" si="3"/>
        <v>0</v>
      </c>
      <c r="M24" s="56">
        <f t="shared" si="3"/>
        <v>0</v>
      </c>
      <c r="N24" s="56">
        <f t="shared" si="3"/>
        <v>0</v>
      </c>
    </row>
    <row r="25" spans="1:14" ht="10.5" customHeight="1" thickBot="1">
      <c r="A25" s="117" t="s">
        <v>184</v>
      </c>
      <c r="B25" s="116" t="s">
        <v>182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0.5" customHeight="1" thickBot="1">
      <c r="A26" s="123" t="s">
        <v>178</v>
      </c>
      <c r="B26" s="124" t="s">
        <v>179</v>
      </c>
      <c r="C26" s="78">
        <f>SUM(C20,C24,C25)</f>
        <v>0</v>
      </c>
      <c r="D26" s="78">
        <f aca="true" t="shared" si="4" ref="D26:N26">SUM(D20,D24,D25)</f>
        <v>0</v>
      </c>
      <c r="E26" s="78">
        <f t="shared" si="4"/>
        <v>0</v>
      </c>
      <c r="F26" s="78">
        <f t="shared" si="4"/>
        <v>0</v>
      </c>
      <c r="G26" s="78">
        <f t="shared" si="4"/>
        <v>0</v>
      </c>
      <c r="H26" s="78">
        <f t="shared" si="4"/>
        <v>0</v>
      </c>
      <c r="I26" s="78">
        <f t="shared" si="4"/>
        <v>0</v>
      </c>
      <c r="J26" s="78">
        <f t="shared" si="4"/>
        <v>0</v>
      </c>
      <c r="K26" s="78">
        <f t="shared" si="4"/>
        <v>0</v>
      </c>
      <c r="L26" s="78">
        <f t="shared" si="4"/>
        <v>0</v>
      </c>
      <c r="M26" s="78">
        <f t="shared" si="4"/>
        <v>0</v>
      </c>
      <c r="N26" s="78">
        <f t="shared" si="4"/>
        <v>0</v>
      </c>
    </row>
    <row r="27" spans="1:14" s="19" customFormat="1" ht="10.5" customHeight="1">
      <c r="A27" s="72"/>
      <c r="B27" s="79" t="s">
        <v>183</v>
      </c>
      <c r="C27" s="40">
        <f>SUM(C26,C18,C14)</f>
        <v>0</v>
      </c>
      <c r="D27" s="40">
        <f aca="true" t="shared" si="5" ref="D27:N27">SUM(D26,D18,D14)</f>
        <v>0</v>
      </c>
      <c r="E27" s="40">
        <f t="shared" si="5"/>
        <v>0</v>
      </c>
      <c r="F27" s="40">
        <f t="shared" si="5"/>
        <v>0</v>
      </c>
      <c r="G27" s="40">
        <f t="shared" si="5"/>
        <v>0</v>
      </c>
      <c r="H27" s="40">
        <f t="shared" si="5"/>
        <v>0</v>
      </c>
      <c r="I27" s="40">
        <f t="shared" si="5"/>
        <v>0</v>
      </c>
      <c r="J27" s="40">
        <f t="shared" si="5"/>
        <v>0</v>
      </c>
      <c r="K27" s="40">
        <f t="shared" si="5"/>
        <v>0</v>
      </c>
      <c r="L27" s="40">
        <f t="shared" si="5"/>
        <v>0</v>
      </c>
      <c r="M27" s="40">
        <f t="shared" si="5"/>
        <v>0</v>
      </c>
      <c r="N27" s="40">
        <f t="shared" si="5"/>
        <v>0</v>
      </c>
    </row>
    <row r="28" spans="1:21" ht="10.5" customHeight="1">
      <c r="A28" s="198" t="s">
        <v>33</v>
      </c>
      <c r="B28" s="198"/>
      <c r="C28" s="10"/>
      <c r="D28" s="10"/>
      <c r="E28" s="10"/>
      <c r="F28" s="10"/>
      <c r="G28" s="10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66" t="s">
        <v>34</v>
      </c>
      <c r="B29" s="65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/>
      <c r="M29" s="40"/>
      <c r="N29" s="41"/>
    </row>
    <row r="30" spans="1:14" ht="10.5" customHeight="1">
      <c r="A30" s="66" t="s">
        <v>35</v>
      </c>
      <c r="B30" s="65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40"/>
      <c r="M30" s="40"/>
      <c r="N30" s="41"/>
    </row>
    <row r="31" spans="1:14" ht="10.5" customHeight="1">
      <c r="A31" s="66" t="s">
        <v>164</v>
      </c>
      <c r="B31" s="65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40"/>
      <c r="M31" s="40"/>
      <c r="N31" s="41"/>
    </row>
    <row r="32" spans="1:14" ht="10.5" customHeight="1">
      <c r="A32" s="73" t="s">
        <v>7</v>
      </c>
      <c r="B32" s="74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66" t="s">
        <v>9</v>
      </c>
      <c r="B33" s="65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66" t="s">
        <v>10</v>
      </c>
      <c r="B34" s="65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21" ht="10.5" customHeight="1">
      <c r="A35" s="66" t="s">
        <v>11</v>
      </c>
      <c r="B35" s="65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  <c r="U35" s="8"/>
    </row>
    <row r="36" spans="1:40" ht="10.5" customHeight="1">
      <c r="A36" s="67" t="s">
        <v>16</v>
      </c>
      <c r="B36" s="68" t="s">
        <v>169</v>
      </c>
      <c r="C36" s="56">
        <f>SUM(C32:C35)</f>
        <v>0</v>
      </c>
      <c r="D36" s="56">
        <f aca="true" t="shared" si="7" ref="D36:N36">SUM(D32:D35)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66" t="s">
        <v>17</v>
      </c>
      <c r="B37" s="65" t="s">
        <v>39</v>
      </c>
      <c r="C37" s="10"/>
      <c r="D37" s="10"/>
      <c r="E37" s="10"/>
      <c r="F37" s="10">
        <v>3143753</v>
      </c>
      <c r="G37" s="10">
        <v>2309757</v>
      </c>
      <c r="H37" s="8">
        <f>1933789-313</f>
        <v>1933476</v>
      </c>
      <c r="I37" s="8"/>
      <c r="J37" s="10"/>
      <c r="K37" s="8"/>
      <c r="L37" s="9"/>
      <c r="M37" s="9"/>
      <c r="N37" s="2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66" t="s">
        <v>18</v>
      </c>
      <c r="B38" s="65" t="s">
        <v>168</v>
      </c>
      <c r="C38" s="10">
        <v>6150000</v>
      </c>
      <c r="D38" s="10">
        <f>6184944</f>
        <v>6184944</v>
      </c>
      <c r="E38" s="10">
        <f>6932330-1200000</f>
        <v>5732330</v>
      </c>
      <c r="F38" s="8"/>
      <c r="G38" s="10"/>
      <c r="H38" s="8"/>
      <c r="I38" s="8">
        <v>0</v>
      </c>
      <c r="J38" s="10">
        <v>1200000</v>
      </c>
      <c r="K38" s="8">
        <v>1200000</v>
      </c>
      <c r="L38" s="9"/>
      <c r="M38" s="9"/>
      <c r="N38" s="21"/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 thickBot="1">
      <c r="A39" s="66" t="s">
        <v>20</v>
      </c>
      <c r="B39" s="65" t="s">
        <v>40</v>
      </c>
      <c r="C39" s="10"/>
      <c r="D39" s="10"/>
      <c r="E39" s="10"/>
      <c r="F39" s="10"/>
      <c r="G39" s="10"/>
      <c r="H39" s="8"/>
      <c r="I39" s="8">
        <v>85000</v>
      </c>
      <c r="J39" s="8">
        <v>49000</v>
      </c>
      <c r="K39" s="114">
        <v>0</v>
      </c>
      <c r="L39" s="9"/>
      <c r="M39" s="9"/>
      <c r="N39" s="21"/>
      <c r="AD39" s="9"/>
      <c r="AE39" s="9"/>
      <c r="AF39" s="9"/>
      <c r="AJ39" s="9"/>
      <c r="AK39" s="9"/>
      <c r="AL39" s="9"/>
      <c r="AM39" s="9"/>
      <c r="AN39" s="9"/>
    </row>
    <row r="40" spans="1:31" ht="10.5" customHeight="1" thickBot="1">
      <c r="A40" s="14" t="s">
        <v>22</v>
      </c>
      <c r="B40" s="15" t="s">
        <v>170</v>
      </c>
      <c r="C40" s="16">
        <f>SUM(C37:C39)</f>
        <v>6150000</v>
      </c>
      <c r="D40" s="16">
        <f aca="true" t="shared" si="8" ref="D40:N40">SUM(D37:D39)</f>
        <v>6184944</v>
      </c>
      <c r="E40" s="16">
        <f t="shared" si="8"/>
        <v>5732330</v>
      </c>
      <c r="F40" s="16">
        <f t="shared" si="8"/>
        <v>3143753</v>
      </c>
      <c r="G40" s="16">
        <f t="shared" si="8"/>
        <v>2309757</v>
      </c>
      <c r="H40" s="16">
        <f t="shared" si="8"/>
        <v>1933476</v>
      </c>
      <c r="I40" s="16">
        <f t="shared" si="8"/>
        <v>85000</v>
      </c>
      <c r="J40" s="16">
        <f t="shared" si="8"/>
        <v>1249000</v>
      </c>
      <c r="K40" s="76">
        <f t="shared" si="8"/>
        <v>1200000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9" s="84" customFormat="1" ht="13.5" thickBot="1">
      <c r="A50" s="25"/>
      <c r="B50" s="19" t="s">
        <v>185</v>
      </c>
      <c r="C50" s="9">
        <f>SUM(C49,C40,C36)</f>
        <v>6150000</v>
      </c>
      <c r="D50" s="9">
        <f aca="true" t="shared" si="12" ref="D50:N50">SUM(D49,D40,D36)</f>
        <v>6184944</v>
      </c>
      <c r="E50" s="9">
        <f t="shared" si="12"/>
        <v>5732330</v>
      </c>
      <c r="F50" s="9">
        <f t="shared" si="12"/>
        <v>3143753</v>
      </c>
      <c r="G50" s="9">
        <f t="shared" si="12"/>
        <v>2309757</v>
      </c>
      <c r="H50" s="9">
        <f t="shared" si="12"/>
        <v>1933476</v>
      </c>
      <c r="I50" s="9">
        <f t="shared" si="12"/>
        <v>85000</v>
      </c>
      <c r="J50" s="9">
        <f t="shared" si="12"/>
        <v>1249000</v>
      </c>
      <c r="K50" s="9">
        <f t="shared" si="12"/>
        <v>1200000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AA50" s="19"/>
      <c r="AB50" s="19"/>
      <c r="AC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7"/>
  <sheetViews>
    <sheetView tabSelected="1" zoomScale="92" zoomScaleNormal="92" zoomScalePageLayoutView="0" workbookViewId="0" topLeftCell="A1">
      <pane ySplit="7" topLeftCell="A26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1" width="9.375" style="1" customWidth="1"/>
    <col min="12" max="12" width="10.375" style="1" customWidth="1"/>
    <col min="13" max="13" width="10.75390625" style="1" customWidth="1"/>
    <col min="14" max="14" width="10.625" style="1" customWidth="1"/>
    <col min="15" max="15" width="9.25390625" style="1" customWidth="1"/>
    <col min="16" max="16" width="0" style="1" hidden="1" customWidth="1"/>
    <col min="17" max="16384" width="9.125" style="1" customWidth="1"/>
  </cols>
  <sheetData>
    <row r="1" spans="2:16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</row>
    <row r="2" spans="8:13" ht="8.25" customHeight="1" thickBot="1">
      <c r="H2" s="3"/>
      <c r="M2" s="3" t="s">
        <v>0</v>
      </c>
    </row>
    <row r="3" spans="1:14" ht="9" customHeight="1" thickBot="1">
      <c r="A3" s="161" t="s">
        <v>1</v>
      </c>
      <c r="B3" s="161"/>
      <c r="C3" s="163">
        <v>1605</v>
      </c>
      <c r="D3" s="163"/>
      <c r="E3" s="163"/>
      <c r="F3" s="163">
        <v>1606</v>
      </c>
      <c r="G3" s="163"/>
      <c r="H3" s="163"/>
      <c r="I3" s="175"/>
      <c r="J3" s="175"/>
      <c r="K3" s="175"/>
      <c r="L3" s="182">
        <v>1600</v>
      </c>
      <c r="M3" s="182"/>
      <c r="N3" s="182"/>
    </row>
    <row r="4" spans="1:14" s="48" customFormat="1" ht="24" customHeight="1" thickBot="1">
      <c r="A4" s="161"/>
      <c r="B4" s="161"/>
      <c r="C4" s="195" t="s">
        <v>124</v>
      </c>
      <c r="D4" s="195"/>
      <c r="E4" s="195"/>
      <c r="F4" s="195" t="s">
        <v>116</v>
      </c>
      <c r="G4" s="195"/>
      <c r="H4" s="195"/>
      <c r="I4" s="195"/>
      <c r="J4" s="195"/>
      <c r="K4" s="195"/>
      <c r="L4" s="196" t="s">
        <v>125</v>
      </c>
      <c r="M4" s="196"/>
      <c r="N4" s="196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>
        <f>'27'!C9+'27'!F9+'27'!I9+'27'!L9+'28'!C9</f>
        <v>0</v>
      </c>
      <c r="M9" s="9">
        <f>'27'!D9+'27'!G9+'27'!J9+'27'!M9+'28'!D9</f>
        <v>0</v>
      </c>
      <c r="N9" s="9">
        <f>'27'!E9+'27'!H9+'27'!K9+'27'!N9+'28'!E9</f>
        <v>0</v>
      </c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9">
        <f>'27'!C10+'27'!F10+'27'!I10+'27'!L10+'28'!C10</f>
        <v>0</v>
      </c>
      <c r="M10" s="9">
        <f>'27'!D10+'27'!G10+'27'!J10+'27'!M10+'28'!D10</f>
        <v>0</v>
      </c>
      <c r="N10" s="9">
        <f>'27'!E10+'27'!H10+'27'!K10+'27'!N10+'28'!E10</f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>
        <f>'27'!C11+'27'!F11+'27'!I11+'27'!L11+'28'!C11</f>
        <v>0</v>
      </c>
      <c r="M11" s="9">
        <f>'27'!D11+'27'!G11+'27'!J11+'27'!M11+'28'!D11</f>
        <v>0</v>
      </c>
      <c r="N11" s="9">
        <f>'27'!E11+'27'!H11+'27'!K11+'27'!N11+'28'!E11</f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>
        <f>'27'!C12+'27'!F12+'27'!I12+'27'!L12+'28'!C12</f>
        <v>0</v>
      </c>
      <c r="M12" s="9">
        <f>'27'!D12+'27'!G12+'27'!J12+'27'!M12+'28'!D12</f>
        <v>0</v>
      </c>
      <c r="N12" s="9">
        <f>'27'!E12+'27'!H12+'27'!K12+'27'!N12+'28'!E12</f>
        <v>0</v>
      </c>
    </row>
    <row r="13" spans="1:16" ht="10.5" customHeight="1" thickBo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>
        <f>'27'!C13+'27'!F13+'27'!I13+'27'!L13+'28'!C13</f>
        <v>0</v>
      </c>
      <c r="M13" s="9">
        <f>'27'!D13+'27'!G13+'27'!J13+'27'!M13+'28'!D13</f>
        <v>0</v>
      </c>
      <c r="N13" s="9">
        <f>'27'!E13+'27'!H13+'27'!K13+'27'!N13+'28'!E13</f>
        <v>0</v>
      </c>
      <c r="P13" s="49"/>
    </row>
    <row r="14" spans="1:14" ht="10.5" customHeight="1" thickBo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M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77">
        <f>'27'!E14+'27'!H14+'27'!K14+'27'!N14+'28'!E14</f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>
        <f>'27'!C15+'27'!F15+'27'!I15+'27'!L15+'28'!C15</f>
        <v>0</v>
      </c>
      <c r="M15" s="9">
        <f>'27'!D15+'27'!G15+'27'!J15+'27'!M15+'28'!D15</f>
        <v>0</v>
      </c>
      <c r="N15" s="90">
        <f>'27'!E15+'27'!H15+'27'!K15+'27'!N15+'28'!E15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>'27'!C16+'27'!F16+'27'!I16+'27'!L16+'28'!C16</f>
        <v>0</v>
      </c>
      <c r="M16" s="9">
        <f>'27'!D16+'27'!G16+'27'!J16+'27'!M16+'28'!D16</f>
        <v>0</v>
      </c>
      <c r="N16" s="21">
        <f>'27'!E16+'27'!H16+'27'!K16+'27'!N16+'28'!E16</f>
        <v>0</v>
      </c>
    </row>
    <row r="17" spans="1:14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>'27'!C17+'27'!F17+'27'!I17+'27'!L17+'28'!C17</f>
        <v>0</v>
      </c>
      <c r="M17" s="9">
        <f>'27'!D17+'27'!G17+'27'!J17+'27'!M17+'28'!D17</f>
        <v>0</v>
      </c>
      <c r="N17" s="139">
        <f>'27'!E17+'27'!H17+'27'!K17+'27'!N17+'28'!E17</f>
        <v>0</v>
      </c>
    </row>
    <row r="18" spans="1:14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M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77">
        <f>'27'!E18+'27'!H18+'27'!K18+'27'!N18+'28'!E18</f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7">
        <f>'27'!E19+'27'!H19+'27'!K19+'27'!N19+'28'!E19</f>
        <v>0</v>
      </c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M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77">
        <f>'27'!E20+'27'!H20+'27'!K20+'27'!N20+'28'!E20</f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90">
        <f>'27'!E21+'27'!H21+'27'!K21+'27'!N21+'28'!E21</f>
        <v>0</v>
      </c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>'27'!E22+'27'!H22+'27'!K22+'27'!N22+'28'!E22</f>
        <v>0</v>
      </c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'27'!C23+'27'!F23+'27'!I23+'27'!L23+'28'!C23</f>
        <v>0</v>
      </c>
      <c r="M23" s="9">
        <f>'27'!D23+'27'!G23+'27'!J23+'27'!M23+'28'!D23</f>
        <v>0</v>
      </c>
      <c r="N23" s="139">
        <f>'27'!E23+'27'!H23+'27'!K23+'27'!N23+'28'!E23</f>
        <v>0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M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77">
        <f>'27'!E24+'27'!H24+'27'!K24+'27'!N24+'28'!E24</f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7">
        <f>'27'!E25+'27'!H25+'27'!K25+'27'!N25+'28'!E25</f>
        <v>0</v>
      </c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M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>'27'!E26+'27'!H26+'27'!K26+'27'!N26+'28'!E26</f>
        <v>0</v>
      </c>
    </row>
    <row r="27" spans="1:14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5" ref="D27:M27">SUM(D26,D18,D14)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9">
        <f t="shared" si="5"/>
        <v>0</v>
      </c>
      <c r="N27" s="9">
        <f>'27'!E27+'27'!H27+'27'!K27+'27'!N27+'28'!E27</f>
        <v>0</v>
      </c>
    </row>
    <row r="28" spans="1:14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9">
        <f>'27'!E28+'27'!H28+'27'!K28+'27'!N28+'28'!E28</f>
        <v>0</v>
      </c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'27'!C29+'27'!F29+'27'!I29+'27'!L29+'28'!C29</f>
        <v>0</v>
      </c>
      <c r="M29" s="9">
        <f>'27'!D29+'27'!G29+'27'!J29+'27'!M29+'28'!D29</f>
        <v>0</v>
      </c>
      <c r="N29" s="9">
        <f>'27'!E29+'27'!H29+'27'!K29+'27'!N29+'28'!E29</f>
        <v>0</v>
      </c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9">
        <f>'27'!C30+'27'!F30+'27'!I30+'27'!L30+'28'!C30</f>
        <v>0</v>
      </c>
      <c r="M30" s="9">
        <f>'27'!D30+'27'!G30+'27'!J30+'27'!M30+'28'!D30</f>
        <v>0</v>
      </c>
      <c r="N30" s="9">
        <f>'27'!E30+'27'!H30+'27'!K30+'27'!N30+'28'!E30</f>
        <v>0</v>
      </c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9">
        <f>'27'!C31+'27'!F31+'27'!I31+'27'!L31+'28'!C31</f>
        <v>0</v>
      </c>
      <c r="M31" s="9">
        <f>'27'!D31+'27'!G31+'27'!J31+'27'!M31+'28'!D31</f>
        <v>0</v>
      </c>
      <c r="N31" s="9">
        <f>'27'!E31+'27'!H31+'27'!K31+'27'!N31+'28'!E31</f>
        <v>0</v>
      </c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M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138">
        <f>'27'!E32+'27'!H32+'27'!K32+'27'!N32+'28'!E32</f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>
        <f>'27'!C33+'27'!F33+'27'!I33+'27'!L33+'28'!C33</f>
        <v>0</v>
      </c>
      <c r="M33" s="9">
        <f>'27'!D33+'27'!G33+'27'!J33+'27'!M33+'28'!D33</f>
        <v>0</v>
      </c>
      <c r="N33" s="9">
        <f>'27'!E33+'27'!H33+'27'!K33+'27'!N33+'28'!E33</f>
        <v>0</v>
      </c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>
        <f>'27'!C34+'27'!F34+'27'!I34+'27'!L34+'28'!C34</f>
        <v>0</v>
      </c>
      <c r="M34" s="9">
        <f>'27'!D34+'27'!G34+'27'!J34+'27'!M34+'28'!D34</f>
        <v>0</v>
      </c>
      <c r="N34" s="9">
        <f>'27'!E34+'27'!H34+'27'!K34+'27'!N34+'28'!E34</f>
        <v>0</v>
      </c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>
        <f>'27'!C35+'27'!F35+'27'!I35+'27'!L35+'28'!C35</f>
        <v>0</v>
      </c>
      <c r="M35" s="9">
        <f>'27'!D35+'27'!G35+'27'!J35+'27'!M35+'28'!D35</f>
        <v>0</v>
      </c>
      <c r="N35" s="9">
        <f>'27'!E35+'27'!H35+'27'!K35+'27'!N35+'28'!E35</f>
        <v>0</v>
      </c>
    </row>
    <row r="36" spans="1:34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M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77">
        <f>'27'!E36+'27'!H36+'27'!K36+'27'!N36+'28'!E36</f>
        <v>0</v>
      </c>
      <c r="X36" s="8"/>
      <c r="Y36" s="8"/>
      <c r="Z36" s="8"/>
      <c r="AD36" s="8"/>
      <c r="AE36" s="8"/>
      <c r="AF36" s="8"/>
      <c r="AG36" s="8"/>
      <c r="AH36" s="8"/>
    </row>
    <row r="37" spans="1:34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>
        <v>313</v>
      </c>
      <c r="H37" s="8">
        <v>313</v>
      </c>
      <c r="I37" s="8"/>
      <c r="J37" s="10"/>
      <c r="K37" s="8"/>
      <c r="L37" s="9">
        <f>'27'!C37+'27'!F37+'27'!I37+'27'!L37+'28'!C37</f>
        <v>3143753</v>
      </c>
      <c r="M37" s="9">
        <f>'27'!D37+'27'!G37+'27'!J37+'27'!M37+'28'!D37+G37</f>
        <v>2310070</v>
      </c>
      <c r="N37" s="90">
        <f>'27'!E37+'27'!H37+'27'!K37+'27'!N37+'28'!E37+H37</f>
        <v>1933789</v>
      </c>
      <c r="X37" s="8"/>
      <c r="Y37" s="8"/>
      <c r="Z37" s="8"/>
      <c r="AD37" s="8"/>
      <c r="AE37" s="8"/>
      <c r="AF37" s="8"/>
      <c r="AG37" s="8"/>
      <c r="AH37" s="8"/>
    </row>
    <row r="38" spans="1:34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>
        <f>'27'!C38+'27'!F38+'27'!I38+'27'!L38+'28'!C38</f>
        <v>6150000</v>
      </c>
      <c r="M38" s="9">
        <f>'27'!D38+'27'!G38+'27'!J38+'27'!M38+'28'!D38</f>
        <v>7384944</v>
      </c>
      <c r="N38" s="21">
        <f>'27'!E38+'27'!H38+'27'!K38+'27'!N38+'28'!E38+H38</f>
        <v>6932330</v>
      </c>
      <c r="X38" s="8"/>
      <c r="Y38" s="8"/>
      <c r="Z38" s="8"/>
      <c r="AD38" s="8"/>
      <c r="AE38" s="8"/>
      <c r="AF38" s="8"/>
      <c r="AG38" s="8"/>
      <c r="AH38" s="8"/>
    </row>
    <row r="39" spans="1:34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>
        <f>'27'!C39+'27'!F39+'27'!I39+'27'!L39+'28'!C39</f>
        <v>85000</v>
      </c>
      <c r="M39" s="9">
        <f>'27'!D39+'27'!G39+'27'!J39+'27'!M39+'28'!D39</f>
        <v>49000</v>
      </c>
      <c r="N39" s="21">
        <f>'27'!E39+'27'!H39+'27'!K39+'27'!N39+'28'!E39+H39</f>
        <v>0</v>
      </c>
      <c r="X39" s="9"/>
      <c r="Y39" s="9"/>
      <c r="Z39" s="9"/>
      <c r="AD39" s="9"/>
      <c r="AE39" s="9"/>
      <c r="AF39" s="9"/>
      <c r="AG39" s="9"/>
      <c r="AH39" s="9"/>
    </row>
    <row r="40" spans="1:25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M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313</v>
      </c>
      <c r="H40" s="16">
        <f t="shared" si="8"/>
        <v>313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9378753</v>
      </c>
      <c r="M40" s="16">
        <f t="shared" si="8"/>
        <v>9744014</v>
      </c>
      <c r="N40" s="90">
        <f>'27'!E40+'27'!H40+'27'!K40+'27'!N40+'28'!E40+H40</f>
        <v>8866119</v>
      </c>
      <c r="O40" s="8"/>
      <c r="P40" s="8"/>
      <c r="Q40" s="8"/>
      <c r="R40" s="8"/>
      <c r="S40" s="8"/>
      <c r="T40" s="8"/>
      <c r="X40" s="8"/>
      <c r="Y40" s="8"/>
    </row>
    <row r="41" spans="1:25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>
        <f>'27'!C41+'27'!F41+'27'!I41+'27'!L41+'28'!C41</f>
        <v>0</v>
      </c>
      <c r="M41" s="21">
        <f>'27'!D41+'27'!G41+'27'!J41+'27'!M41+'28'!D41</f>
        <v>0</v>
      </c>
      <c r="N41" s="90">
        <f>'27'!E41+'27'!H41+'27'!K41+'27'!N41+'28'!E41+H41</f>
        <v>0</v>
      </c>
      <c r="O41" s="8"/>
      <c r="P41" s="8"/>
      <c r="Q41" s="8"/>
      <c r="R41" s="8"/>
      <c r="S41" s="8"/>
      <c r="T41" s="8"/>
      <c r="X41" s="8"/>
      <c r="Y41" s="8"/>
    </row>
    <row r="42" spans="1:25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>
        <f>'27'!C42+'27'!F42+'27'!I42+'27'!L42+'28'!C42</f>
        <v>0</v>
      </c>
      <c r="M42" s="16">
        <f>'27'!D42+'27'!G42+'27'!J42+'27'!M42+'28'!D42</f>
        <v>0</v>
      </c>
      <c r="N42" s="90">
        <f>'27'!E42+'27'!H42+'27'!K42+'27'!N42+'28'!E42+H42</f>
        <v>0</v>
      </c>
      <c r="O42" s="8"/>
      <c r="P42" s="8"/>
      <c r="Q42" s="8"/>
      <c r="R42" s="8"/>
      <c r="S42" s="8"/>
      <c r="T42" s="8"/>
      <c r="X42" s="8"/>
      <c r="Y42" s="8"/>
    </row>
    <row r="43" spans="1:25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90">
        <f>'27'!E43+'27'!H43+'27'!K43+'27'!N43+'28'!E43+H43</f>
        <v>0</v>
      </c>
      <c r="O43" s="8"/>
      <c r="P43" s="8"/>
      <c r="Q43" s="8"/>
      <c r="R43" s="8"/>
      <c r="S43" s="8"/>
      <c r="T43" s="8"/>
      <c r="X43" s="8"/>
      <c r="Y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M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90">
        <f>'27'!E44+'27'!H44+'27'!K44+'27'!N44+'28'!E44+H44</f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f>'27'!C45+'27'!F45+'27'!I45+'27'!L45+'28'!C45</f>
        <v>0</v>
      </c>
      <c r="M45" s="21">
        <f>'27'!D45+'27'!G45+'27'!J45+'27'!M45+'28'!D45</f>
        <v>0</v>
      </c>
      <c r="N45" s="90">
        <f>'27'!E45+'27'!H45+'27'!K45+'27'!N45+'28'!E45+H45</f>
        <v>0</v>
      </c>
    </row>
    <row r="46" spans="1:14" ht="13.5" thickBot="1">
      <c r="A46" s="89" t="s">
        <v>159</v>
      </c>
      <c r="B46" s="20" t="s">
        <v>172</v>
      </c>
      <c r="C46" s="21">
        <v>0</v>
      </c>
      <c r="D46" s="21">
        <v>1723028</v>
      </c>
      <c r="E46" s="21">
        <v>1723028</v>
      </c>
      <c r="F46" s="21"/>
      <c r="G46" s="21"/>
      <c r="H46" s="21"/>
      <c r="I46" s="21"/>
      <c r="J46" s="21"/>
      <c r="K46" s="21"/>
      <c r="L46" s="21">
        <f>'27'!C46+'27'!F46+'27'!I46+'27'!L46+'28'!C46</f>
        <v>0</v>
      </c>
      <c r="M46" s="21">
        <f>'27'!D46+'27'!G46+'27'!J46+'27'!M46+'28'!D46</f>
        <v>1723028</v>
      </c>
      <c r="N46" s="139">
        <f>'27'!E46+'27'!H46+'27'!K46+'27'!N46+'28'!E46+H46</f>
        <v>1723028</v>
      </c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M47">SUM(D45:D46)</f>
        <v>1723028</v>
      </c>
      <c r="E47" s="77">
        <f t="shared" si="10"/>
        <v>1723028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1723028</v>
      </c>
      <c r="N47" s="90">
        <f>'27'!E47+'27'!H47+'27'!K47+'27'!N47+'28'!E47+H47</f>
        <v>1723028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90">
        <f>'27'!E48+'27'!H48+'27'!K48+'27'!N48+'28'!E48+H48</f>
        <v>0</v>
      </c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M49">SUM(D47,D44,D48)</f>
        <v>1723028</v>
      </c>
      <c r="E49" s="77">
        <f t="shared" si="11"/>
        <v>1723028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1723028</v>
      </c>
      <c r="N49" s="90">
        <f>'27'!E49+'27'!H49+'27'!K49+'27'!N49+'28'!E49+H49</f>
        <v>1723028</v>
      </c>
    </row>
    <row r="50" spans="1:14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M50">SUM(D49,D40,D36)</f>
        <v>1723028</v>
      </c>
      <c r="E50" s="9">
        <f t="shared" si="12"/>
        <v>1723028</v>
      </c>
      <c r="F50" s="9">
        <f t="shared" si="12"/>
        <v>0</v>
      </c>
      <c r="G50" s="9">
        <f t="shared" si="12"/>
        <v>313</v>
      </c>
      <c r="H50" s="9">
        <f>SUM(H49,H40,H36)</f>
        <v>313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9378753</v>
      </c>
      <c r="M50" s="9">
        <f t="shared" si="12"/>
        <v>11467042</v>
      </c>
      <c r="N50" s="90">
        <f>'27'!E50+'27'!H50+'27'!K50+'27'!N50+'28'!E50+H50</f>
        <v>10589147</v>
      </c>
    </row>
    <row r="51" spans="1:23" ht="13.5" thickBot="1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>
        <f>'27'!C51+'27'!F51+'27'!I51+'27'!L51+'28'!C51</f>
        <v>0</v>
      </c>
      <c r="M51" s="35">
        <f>'27'!D51+'27'!G51+'27'!J51+'27'!M51+'28'!D51</f>
        <v>0</v>
      </c>
      <c r="N51" s="77">
        <f>'27'!E51+'27'!H51+'27'!K51+'27'!N51+'28'!E51</f>
        <v>0</v>
      </c>
      <c r="U51" s="19"/>
      <c r="V51" s="19"/>
      <c r="W51" s="19"/>
    </row>
    <row r="52" spans="1:23" ht="13.5" thickBot="1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>
        <f>'27'!C52+'27'!F52+'27'!I52+'27'!L52+'28'!C52</f>
        <v>0</v>
      </c>
      <c r="M52" s="42">
        <f>'27'!D52+'27'!G52+'27'!J52+'27'!M52+'28'!D52</f>
        <v>0</v>
      </c>
      <c r="N52" s="149">
        <f>'27'!E52+'27'!H52+'27'!K52+'27'!N52+'28'!E52</f>
        <v>0</v>
      </c>
      <c r="U52" s="19"/>
      <c r="V52" s="19"/>
      <c r="W52" s="19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spans="8:11" ht="12.75">
      <c r="H56" s="31"/>
      <c r="K56" s="31"/>
    </row>
    <row r="57" ht="12.75">
      <c r="K57" s="31"/>
    </row>
    <row r="58" ht="12.75">
      <c r="K58" s="31"/>
    </row>
    <row r="59" ht="12.75">
      <c r="K59" s="31"/>
    </row>
    <row r="60" spans="21:23" ht="12.75">
      <c r="U60" s="8"/>
      <c r="V60" s="8"/>
      <c r="W60" s="8"/>
    </row>
    <row r="61" spans="21:23" ht="12.75">
      <c r="U61" s="8"/>
      <c r="V61" s="8"/>
      <c r="W61" s="8"/>
    </row>
    <row r="62" spans="21:23" ht="12.75">
      <c r="U62" s="8"/>
      <c r="V62" s="8"/>
      <c r="W62" s="8"/>
    </row>
    <row r="63" spans="21:23" ht="12.75">
      <c r="U63" s="8"/>
      <c r="V63" s="8"/>
      <c r="W63" s="8"/>
    </row>
    <row r="64" spans="21:23" ht="12.75">
      <c r="U64" s="9"/>
      <c r="V64" s="9"/>
      <c r="W64" s="9"/>
    </row>
    <row r="65" spans="21:23" ht="12.75">
      <c r="U65" s="9"/>
      <c r="V65" s="9"/>
      <c r="W65" s="9"/>
    </row>
    <row r="66" spans="21:23" ht="12.75">
      <c r="U66" s="8"/>
      <c r="V66" s="8"/>
      <c r="W66" s="8"/>
    </row>
    <row r="67" spans="21:23" ht="12.75">
      <c r="U67" s="8"/>
      <c r="V67" s="8"/>
      <c r="W67" s="8"/>
    </row>
    <row r="68" spans="21:23" ht="12.75">
      <c r="U68" s="8"/>
      <c r="V68" s="8"/>
      <c r="W68" s="8"/>
    </row>
    <row r="69" spans="21:23" ht="12.75">
      <c r="U69" s="8"/>
      <c r="V69" s="8"/>
      <c r="W69" s="8"/>
    </row>
    <row r="70" spans="21:23" ht="12.75">
      <c r="U70" s="8"/>
      <c r="V70" s="8"/>
      <c r="W70" s="8"/>
    </row>
    <row r="71" spans="21:23" ht="12.75">
      <c r="U71" s="8"/>
      <c r="V71" s="8"/>
      <c r="W71" s="8"/>
    </row>
    <row r="72" spans="21:23" ht="12.75">
      <c r="U72" s="8"/>
      <c r="V72" s="8"/>
      <c r="W72" s="8"/>
    </row>
    <row r="73" spans="21:23" ht="12.75">
      <c r="U73" s="8"/>
      <c r="V73" s="8"/>
      <c r="W73" s="8"/>
    </row>
    <row r="74" spans="21:23" ht="12.75">
      <c r="U74" s="8"/>
      <c r="V74" s="8"/>
      <c r="W74" s="8"/>
    </row>
    <row r="75" spans="21:23" ht="12.75">
      <c r="U75" s="8"/>
      <c r="V75" s="8"/>
      <c r="W75" s="8"/>
    </row>
    <row r="76" spans="21:23" ht="12.75">
      <c r="U76" s="8"/>
      <c r="V76" s="8"/>
      <c r="W76" s="8"/>
    </row>
    <row r="77" spans="21:23" ht="12.75">
      <c r="U77" s="8"/>
      <c r="V77" s="8"/>
      <c r="W77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N78"/>
  <sheetViews>
    <sheetView tabSelected="1" zoomScale="92" zoomScaleNormal="92" zoomScalePageLayoutView="0" workbookViewId="0" topLeftCell="A1">
      <pane ySplit="7" topLeftCell="A14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79">
        <v>1701</v>
      </c>
      <c r="D3" s="179"/>
      <c r="E3" s="179"/>
      <c r="F3" s="179">
        <v>1702</v>
      </c>
      <c r="G3" s="179"/>
      <c r="H3" s="179"/>
      <c r="I3" s="175"/>
      <c r="J3" s="175"/>
      <c r="K3" s="175"/>
      <c r="L3" s="182">
        <v>1700</v>
      </c>
      <c r="M3" s="182"/>
      <c r="N3" s="182"/>
    </row>
    <row r="4" spans="1:14" s="48" customFormat="1" ht="24" customHeight="1" thickBot="1">
      <c r="A4" s="161"/>
      <c r="B4" s="161"/>
      <c r="C4" s="195" t="s">
        <v>126</v>
      </c>
      <c r="D4" s="195"/>
      <c r="E4" s="195"/>
      <c r="F4" s="195" t="s">
        <v>127</v>
      </c>
      <c r="G4" s="195"/>
      <c r="H4" s="195"/>
      <c r="I4" s="195"/>
      <c r="J4" s="195"/>
      <c r="K4" s="195"/>
      <c r="L4" s="196" t="s">
        <v>128</v>
      </c>
      <c r="M4" s="196"/>
      <c r="N4" s="196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>
        <f>C9+F9</f>
        <v>0</v>
      </c>
      <c r="M9" s="9">
        <f aca="true" t="shared" si="0" ref="M9:N24">D9+G9</f>
        <v>0</v>
      </c>
      <c r="N9" s="9">
        <f t="shared" si="0"/>
        <v>0</v>
      </c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9">
        <f>C10+F10</f>
        <v>0</v>
      </c>
      <c r="M10" s="9">
        <f t="shared" si="0"/>
        <v>0</v>
      </c>
      <c r="N10" s="9">
        <f t="shared" si="0"/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>
        <f>C11+F11</f>
        <v>0</v>
      </c>
      <c r="M11" s="9">
        <f t="shared" si="0"/>
        <v>0</v>
      </c>
      <c r="N11" s="9">
        <f t="shared" si="0"/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>
        <f>C12+F12</f>
        <v>0</v>
      </c>
      <c r="M12" s="9">
        <f t="shared" si="0"/>
        <v>0</v>
      </c>
      <c r="N12" s="9">
        <f t="shared" si="0"/>
        <v>0</v>
      </c>
    </row>
    <row r="13" spans="1:16" ht="10.5" customHeight="1" thickBo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>
        <f>C13+F13</f>
        <v>0</v>
      </c>
      <c r="M13" s="9">
        <f t="shared" si="0"/>
        <v>0</v>
      </c>
      <c r="N13" s="9">
        <f t="shared" si="0"/>
        <v>0</v>
      </c>
      <c r="P13" s="49"/>
    </row>
    <row r="14" spans="1:14" ht="10.5" customHeight="1" thickBot="1">
      <c r="A14" s="14" t="s">
        <v>16</v>
      </c>
      <c r="B14" s="15" t="s">
        <v>155</v>
      </c>
      <c r="C14" s="16">
        <f>SUM(C9:C13)</f>
        <v>0</v>
      </c>
      <c r="D14" s="16">
        <f aca="true" t="shared" si="1" ref="D14:M14">SUM(D9:D13)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77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>
        <f aca="true" t="shared" si="2" ref="L15:M17">C15+F15</f>
        <v>0</v>
      </c>
      <c r="M15" s="9">
        <f t="shared" si="2"/>
        <v>0</v>
      </c>
      <c r="N15" s="90">
        <f t="shared" si="0"/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 t="shared" si="2"/>
        <v>0</v>
      </c>
      <c r="M16" s="9">
        <f t="shared" si="2"/>
        <v>0</v>
      </c>
      <c r="N16" s="21">
        <f t="shared" si="0"/>
        <v>0</v>
      </c>
    </row>
    <row r="17" spans="1:14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 t="shared" si="2"/>
        <v>0</v>
      </c>
      <c r="M17" s="9">
        <f t="shared" si="2"/>
        <v>0</v>
      </c>
      <c r="N17" s="139">
        <f t="shared" si="0"/>
        <v>0</v>
      </c>
    </row>
    <row r="18" spans="1:14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3" ref="D18:M18">SUM(D15:D17)</f>
        <v>0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6">
        <f t="shared" si="3"/>
        <v>0</v>
      </c>
      <c r="N18" s="77">
        <f t="shared" si="0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7">
        <f t="shared" si="0"/>
        <v>0</v>
      </c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4" ref="D20:M20">SUM(D19)</f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77">
        <f t="shared" si="0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90">
        <f t="shared" si="0"/>
        <v>0</v>
      </c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 t="shared" si="0"/>
        <v>0</v>
      </c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C23+F23</f>
        <v>0</v>
      </c>
      <c r="M23" s="9">
        <f>D23+G23</f>
        <v>0</v>
      </c>
      <c r="N23" s="139">
        <f t="shared" si="0"/>
        <v>0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5" ref="D24:M24">SUM(D21:D23)</f>
        <v>0</v>
      </c>
      <c r="E24" s="16">
        <f t="shared" si="5"/>
        <v>0</v>
      </c>
      <c r="F24" s="16">
        <f t="shared" si="5"/>
        <v>0</v>
      </c>
      <c r="G24" s="16">
        <f t="shared" si="5"/>
        <v>0</v>
      </c>
      <c r="H24" s="16">
        <f t="shared" si="5"/>
        <v>0</v>
      </c>
      <c r="I24" s="16">
        <f t="shared" si="5"/>
        <v>0</v>
      </c>
      <c r="J24" s="16">
        <f t="shared" si="5"/>
        <v>0</v>
      </c>
      <c r="K24" s="16">
        <f t="shared" si="5"/>
        <v>0</v>
      </c>
      <c r="L24" s="16">
        <f t="shared" si="5"/>
        <v>0</v>
      </c>
      <c r="M24" s="16">
        <f t="shared" si="5"/>
        <v>0</v>
      </c>
      <c r="N24" s="77">
        <f t="shared" si="0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7">
        <f aca="true" t="shared" si="6" ref="N25:N52">E25+H25</f>
        <v>0</v>
      </c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7" ref="D26:M26">SUM(D20,D24,D25)</f>
        <v>0</v>
      </c>
      <c r="E26" s="77">
        <f t="shared" si="7"/>
        <v>0</v>
      </c>
      <c r="F26" s="77">
        <f t="shared" si="7"/>
        <v>0</v>
      </c>
      <c r="G26" s="77">
        <f t="shared" si="7"/>
        <v>0</v>
      </c>
      <c r="H26" s="77">
        <f t="shared" si="7"/>
        <v>0</v>
      </c>
      <c r="I26" s="77">
        <f t="shared" si="7"/>
        <v>0</v>
      </c>
      <c r="J26" s="77">
        <f t="shared" si="7"/>
        <v>0</v>
      </c>
      <c r="K26" s="77">
        <f t="shared" si="7"/>
        <v>0</v>
      </c>
      <c r="L26" s="77">
        <f t="shared" si="7"/>
        <v>0</v>
      </c>
      <c r="M26" s="77">
        <f t="shared" si="7"/>
        <v>0</v>
      </c>
      <c r="N26" s="77">
        <f t="shared" si="6"/>
        <v>0</v>
      </c>
    </row>
    <row r="27" spans="1:14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8" ref="D27:M27">SUM(D26,D18,D14)</f>
        <v>0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9">
        <f t="shared" si="8"/>
        <v>0</v>
      </c>
      <c r="L27" s="9">
        <f t="shared" si="8"/>
        <v>0</v>
      </c>
      <c r="M27" s="9">
        <f t="shared" si="8"/>
        <v>0</v>
      </c>
      <c r="N27" s="9">
        <f t="shared" si="6"/>
        <v>0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9">
        <f t="shared" si="6"/>
        <v>0</v>
      </c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 aca="true" t="shared" si="9" ref="L29:M31">C29+F29</f>
        <v>0</v>
      </c>
      <c r="M29" s="9">
        <f t="shared" si="9"/>
        <v>0</v>
      </c>
      <c r="N29" s="9">
        <f t="shared" si="6"/>
        <v>0</v>
      </c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9">
        <f t="shared" si="9"/>
        <v>0</v>
      </c>
      <c r="M30" s="9">
        <f t="shared" si="9"/>
        <v>0</v>
      </c>
      <c r="N30" s="9">
        <f t="shared" si="6"/>
        <v>0</v>
      </c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9">
        <f t="shared" si="9"/>
        <v>0</v>
      </c>
      <c r="M31" s="9">
        <f t="shared" si="9"/>
        <v>0</v>
      </c>
      <c r="N31" s="9">
        <f t="shared" si="6"/>
        <v>0</v>
      </c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10" ref="D32:M32">SUM(D29:D31)</f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138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>
        <f aca="true" t="shared" si="11" ref="L33:M35">C33+F33</f>
        <v>0</v>
      </c>
      <c r="M33" s="9">
        <f t="shared" si="11"/>
        <v>0</v>
      </c>
      <c r="N33" s="9">
        <f t="shared" si="6"/>
        <v>0</v>
      </c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>
        <f t="shared" si="11"/>
        <v>0</v>
      </c>
      <c r="M34" s="9">
        <f t="shared" si="11"/>
        <v>0</v>
      </c>
      <c r="N34" s="9">
        <f t="shared" si="6"/>
        <v>0</v>
      </c>
    </row>
    <row r="35" spans="1:14" ht="10.5" customHeight="1" thickBot="1">
      <c r="A35" s="4" t="s">
        <v>11</v>
      </c>
      <c r="B35" s="3" t="s">
        <v>37</v>
      </c>
      <c r="C35" s="10">
        <v>134</v>
      </c>
      <c r="D35" s="10">
        <v>134</v>
      </c>
      <c r="E35" s="10">
        <v>1171</v>
      </c>
      <c r="F35" s="10"/>
      <c r="G35" s="10"/>
      <c r="H35" s="10"/>
      <c r="I35" s="8"/>
      <c r="J35" s="10"/>
      <c r="K35" s="8"/>
      <c r="L35" s="9">
        <f t="shared" si="11"/>
        <v>134</v>
      </c>
      <c r="M35" s="9">
        <f t="shared" si="11"/>
        <v>134</v>
      </c>
      <c r="N35" s="9">
        <f t="shared" si="6"/>
        <v>1171</v>
      </c>
    </row>
    <row r="36" spans="1:40" ht="10.5" customHeight="1" thickBot="1">
      <c r="A36" s="14" t="s">
        <v>16</v>
      </c>
      <c r="B36" s="15" t="s">
        <v>169</v>
      </c>
      <c r="C36" s="16">
        <f>SUM(C32:C35)</f>
        <v>134</v>
      </c>
      <c r="D36" s="16">
        <f aca="true" t="shared" si="12" ref="D36:M36">SUM(D32:D35)</f>
        <v>134</v>
      </c>
      <c r="E36" s="16">
        <f t="shared" si="12"/>
        <v>1171</v>
      </c>
      <c r="F36" s="16">
        <f t="shared" si="12"/>
        <v>0</v>
      </c>
      <c r="G36" s="16">
        <f t="shared" si="12"/>
        <v>0</v>
      </c>
      <c r="H36" s="16">
        <f t="shared" si="12"/>
        <v>0</v>
      </c>
      <c r="I36" s="16">
        <f t="shared" si="12"/>
        <v>0</v>
      </c>
      <c r="J36" s="16">
        <f t="shared" si="12"/>
        <v>0</v>
      </c>
      <c r="K36" s="16">
        <f t="shared" si="12"/>
        <v>0</v>
      </c>
      <c r="L36" s="16">
        <f t="shared" si="12"/>
        <v>134</v>
      </c>
      <c r="M36" s="16">
        <f t="shared" si="12"/>
        <v>134</v>
      </c>
      <c r="N36" s="77">
        <f t="shared" si="6"/>
        <v>1171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>
        <f aca="true" t="shared" si="13" ref="L37:M39">C37+F37</f>
        <v>0</v>
      </c>
      <c r="M37" s="9">
        <f t="shared" si="13"/>
        <v>0</v>
      </c>
      <c r="N37" s="90">
        <f t="shared" si="6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>
        <f t="shared" si="13"/>
        <v>0</v>
      </c>
      <c r="M38" s="9">
        <f t="shared" si="13"/>
        <v>0</v>
      </c>
      <c r="N38" s="21">
        <f t="shared" si="6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>
        <v>27266</v>
      </c>
      <c r="G39" s="8">
        <v>27266</v>
      </c>
      <c r="H39" s="8">
        <v>28800</v>
      </c>
      <c r="I39" s="8"/>
      <c r="J39" s="8"/>
      <c r="K39" s="8"/>
      <c r="L39" s="9">
        <f t="shared" si="13"/>
        <v>27266</v>
      </c>
      <c r="M39" s="9">
        <f t="shared" si="13"/>
        <v>27266</v>
      </c>
      <c r="N39" s="139">
        <f t="shared" si="6"/>
        <v>28800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14" ref="D40:M40">SUM(D37:D39)</f>
        <v>0</v>
      </c>
      <c r="E40" s="16">
        <f t="shared" si="14"/>
        <v>0</v>
      </c>
      <c r="F40" s="16">
        <f t="shared" si="14"/>
        <v>27266</v>
      </c>
      <c r="G40" s="16">
        <f t="shared" si="14"/>
        <v>27266</v>
      </c>
      <c r="H40" s="16">
        <f t="shared" si="14"/>
        <v>28800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27266</v>
      </c>
      <c r="M40" s="16">
        <f t="shared" si="14"/>
        <v>27266</v>
      </c>
      <c r="N40" s="77">
        <f t="shared" si="6"/>
        <v>28800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77">
        <f t="shared" si="6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77">
        <f t="shared" si="6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15" ref="D44:M44">SUM(D41:D42)</f>
        <v>0</v>
      </c>
      <c r="E44" s="16">
        <f t="shared" si="15"/>
        <v>0</v>
      </c>
      <c r="F44" s="16">
        <f t="shared" si="15"/>
        <v>0</v>
      </c>
      <c r="G44" s="16">
        <f t="shared" si="15"/>
        <v>0</v>
      </c>
      <c r="H44" s="16">
        <f t="shared" si="15"/>
        <v>0</v>
      </c>
      <c r="I44" s="16">
        <f t="shared" si="15"/>
        <v>0</v>
      </c>
      <c r="J44" s="16">
        <f t="shared" si="15"/>
        <v>0</v>
      </c>
      <c r="K44" s="16">
        <f t="shared" si="15"/>
        <v>0</v>
      </c>
      <c r="L44" s="16">
        <f t="shared" si="15"/>
        <v>0</v>
      </c>
      <c r="M44" s="16">
        <f t="shared" si="15"/>
        <v>0</v>
      </c>
      <c r="N44" s="77">
        <f t="shared" si="6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90">
        <f t="shared" si="6"/>
        <v>0</v>
      </c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39">
        <f t="shared" si="6"/>
        <v>0</v>
      </c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6" ref="D47:M47">SUM(D45:D46)</f>
        <v>0</v>
      </c>
      <c r="E47" s="77">
        <f t="shared" si="16"/>
        <v>0</v>
      </c>
      <c r="F47" s="77">
        <f t="shared" si="16"/>
        <v>0</v>
      </c>
      <c r="G47" s="77">
        <f t="shared" si="16"/>
        <v>0</v>
      </c>
      <c r="H47" s="77">
        <f t="shared" si="16"/>
        <v>0</v>
      </c>
      <c r="I47" s="77">
        <f t="shared" si="16"/>
        <v>0</v>
      </c>
      <c r="J47" s="77">
        <f t="shared" si="16"/>
        <v>0</v>
      </c>
      <c r="K47" s="77">
        <f t="shared" si="16"/>
        <v>0</v>
      </c>
      <c r="L47" s="77">
        <f t="shared" si="16"/>
        <v>0</v>
      </c>
      <c r="M47" s="77">
        <f t="shared" si="16"/>
        <v>0</v>
      </c>
      <c r="N47" s="77">
        <f t="shared" si="6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77">
        <f t="shared" si="6"/>
        <v>0</v>
      </c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7" ref="D49:M49">SUM(D47,D44,D48)</f>
        <v>0</v>
      </c>
      <c r="E49" s="77">
        <f t="shared" si="17"/>
        <v>0</v>
      </c>
      <c r="F49" s="77">
        <f t="shared" si="17"/>
        <v>0</v>
      </c>
      <c r="G49" s="77">
        <f t="shared" si="17"/>
        <v>0</v>
      </c>
      <c r="H49" s="77">
        <f t="shared" si="17"/>
        <v>0</v>
      </c>
      <c r="I49" s="77">
        <f t="shared" si="17"/>
        <v>0</v>
      </c>
      <c r="J49" s="77">
        <f t="shared" si="17"/>
        <v>0</v>
      </c>
      <c r="K49" s="77">
        <f t="shared" si="17"/>
        <v>0</v>
      </c>
      <c r="L49" s="77">
        <f t="shared" si="17"/>
        <v>0</v>
      </c>
      <c r="M49" s="77">
        <f t="shared" si="17"/>
        <v>0</v>
      </c>
      <c r="N49" s="77">
        <f t="shared" si="6"/>
        <v>0</v>
      </c>
    </row>
    <row r="50" spans="1:14" s="84" customFormat="1" ht="13.5" thickBot="1">
      <c r="A50" s="25"/>
      <c r="B50" s="19" t="s">
        <v>185</v>
      </c>
      <c r="C50" s="9">
        <f>SUM(C49,C40,C36)</f>
        <v>134</v>
      </c>
      <c r="D50" s="9">
        <f aca="true" t="shared" si="18" ref="D50:M50">SUM(D49,D40,D36)</f>
        <v>134</v>
      </c>
      <c r="E50" s="9">
        <f t="shared" si="18"/>
        <v>1171</v>
      </c>
      <c r="F50" s="9">
        <f t="shared" si="18"/>
        <v>27266</v>
      </c>
      <c r="G50" s="9">
        <f t="shared" si="18"/>
        <v>27266</v>
      </c>
      <c r="H50" s="9">
        <f t="shared" si="18"/>
        <v>28800</v>
      </c>
      <c r="I50" s="9">
        <f t="shared" si="18"/>
        <v>0</v>
      </c>
      <c r="J50" s="9">
        <f t="shared" si="18"/>
        <v>0</v>
      </c>
      <c r="K50" s="9">
        <f t="shared" si="18"/>
        <v>0</v>
      </c>
      <c r="L50" s="9">
        <f t="shared" si="18"/>
        <v>27400</v>
      </c>
      <c r="M50" s="9">
        <f t="shared" si="18"/>
        <v>27400</v>
      </c>
      <c r="N50" s="77">
        <f>E50+H50</f>
        <v>29971</v>
      </c>
    </row>
    <row r="51" spans="1:29" ht="13.5" thickBot="1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>
        <f>C51+F51</f>
        <v>0</v>
      </c>
      <c r="M51" s="35">
        <f>D51+G51</f>
        <v>0</v>
      </c>
      <c r="N51" s="77">
        <f t="shared" si="6"/>
        <v>0</v>
      </c>
      <c r="AA51" s="19"/>
      <c r="AB51" s="19"/>
      <c r="AC51" s="19"/>
    </row>
    <row r="52" spans="1:29" ht="13.5" thickBot="1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77">
        <f t="shared" si="6"/>
        <v>0</v>
      </c>
      <c r="AA52" s="19"/>
      <c r="AB52" s="19"/>
      <c r="AC52" s="19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spans="8:11" ht="12.75">
      <c r="H56" s="31"/>
      <c r="K56" s="31"/>
    </row>
    <row r="57" spans="8:11" ht="12.75">
      <c r="H57" s="31"/>
      <c r="K57" s="31"/>
    </row>
    <row r="58" ht="12.75">
      <c r="K58" s="31"/>
    </row>
    <row r="59" ht="12.75">
      <c r="K59" s="31"/>
    </row>
    <row r="60" ht="12.75">
      <c r="K60" s="31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8"/>
      <c r="AB64" s="8"/>
      <c r="AC64" s="8"/>
    </row>
    <row r="65" spans="27:29" ht="12.75">
      <c r="AA65" s="9"/>
      <c r="AB65" s="9"/>
      <c r="AC65" s="9"/>
    </row>
    <row r="66" spans="27:29" ht="12.75">
      <c r="AA66" s="9"/>
      <c r="AB66" s="9"/>
      <c r="AC66" s="9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  <row r="78" spans="27:29" ht="12.75">
      <c r="AA78" s="8"/>
      <c r="AB78" s="8"/>
      <c r="AC78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zoomScale="92" zoomScaleNormal="92"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9.75390625" style="1" customWidth="1"/>
    <col min="4" max="4" width="9.875" style="1" customWidth="1"/>
    <col min="5" max="5" width="9.75390625" style="1" customWidth="1"/>
    <col min="6" max="6" width="10.25390625" style="1" customWidth="1"/>
    <col min="7" max="7" width="11.00390625" style="1" customWidth="1"/>
    <col min="8" max="8" width="9.75390625" style="1" customWidth="1"/>
    <col min="9" max="9" width="9.625" style="1" customWidth="1"/>
    <col min="10" max="14" width="9.375" style="1" customWidth="1"/>
    <col min="15" max="15" width="10.375" style="1" customWidth="1"/>
    <col min="16" max="19" width="0" style="1" hidden="1" customWidth="1"/>
    <col min="20" max="16384" width="9.125" style="1" customWidth="1"/>
  </cols>
  <sheetData>
    <row r="1" spans="2:14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8.25" customHeight="1">
      <c r="N2" s="3" t="s">
        <v>0</v>
      </c>
    </row>
    <row r="3" spans="1:14" ht="9" customHeight="1">
      <c r="A3" s="161" t="s">
        <v>1</v>
      </c>
      <c r="B3" s="161"/>
      <c r="C3" s="163">
        <v>1008</v>
      </c>
      <c r="D3" s="163"/>
      <c r="E3" s="163"/>
      <c r="F3" s="163">
        <v>1009</v>
      </c>
      <c r="G3" s="163"/>
      <c r="H3" s="163"/>
      <c r="I3" s="162">
        <v>1010</v>
      </c>
      <c r="J3" s="162"/>
      <c r="K3" s="162"/>
      <c r="L3" s="167">
        <v>1011</v>
      </c>
      <c r="M3" s="167"/>
      <c r="N3" s="167"/>
    </row>
    <row r="4" spans="1:14" s="4" customFormat="1" ht="22.5" customHeight="1" thickBot="1">
      <c r="A4" s="161"/>
      <c r="B4" s="161"/>
      <c r="C4" s="166" t="s">
        <v>49</v>
      </c>
      <c r="D4" s="166"/>
      <c r="E4" s="166"/>
      <c r="F4" s="165" t="s">
        <v>50</v>
      </c>
      <c r="G4" s="165"/>
      <c r="H4" s="165"/>
      <c r="I4" s="165" t="s">
        <v>51</v>
      </c>
      <c r="J4" s="165"/>
      <c r="K4" s="165"/>
      <c r="L4" s="165" t="s">
        <v>52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>
        <v>0</v>
      </c>
      <c r="J9" s="8">
        <v>6200</v>
      </c>
      <c r="K9" s="8">
        <v>6200</v>
      </c>
      <c r="L9" s="9"/>
      <c r="M9" s="9"/>
      <c r="N9" s="9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>
        <v>0</v>
      </c>
      <c r="J10" s="8">
        <v>2200</v>
      </c>
      <c r="K10" s="8">
        <v>1013</v>
      </c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>
        <v>5600</v>
      </c>
      <c r="D11" s="10">
        <v>5600</v>
      </c>
      <c r="E11" s="10">
        <v>0</v>
      </c>
      <c r="F11" s="10">
        <v>3120441</v>
      </c>
      <c r="G11" s="10">
        <v>3704732</v>
      </c>
      <c r="H11" s="10">
        <f>3520472+126970+18758+5+470+6174+2187+1+86-20+497+14935+4</f>
        <v>3690539</v>
      </c>
      <c r="I11" s="8">
        <v>0</v>
      </c>
      <c r="J11" s="8">
        <v>22698</v>
      </c>
      <c r="K11" s="8">
        <v>20892</v>
      </c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14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/>
      <c r="M13" s="9"/>
      <c r="N13" s="9"/>
    </row>
    <row r="14" spans="1:14" ht="10.5" customHeight="1">
      <c r="A14" s="14" t="s">
        <v>16</v>
      </c>
      <c r="B14" s="15" t="s">
        <v>155</v>
      </c>
      <c r="C14" s="16">
        <f>SUM(C9:C13)</f>
        <v>5600</v>
      </c>
      <c r="D14" s="16">
        <f aca="true" t="shared" si="0" ref="D14:N14">SUM(D9:D13)</f>
        <v>5600</v>
      </c>
      <c r="E14" s="16">
        <f t="shared" si="0"/>
        <v>0</v>
      </c>
      <c r="F14" s="16">
        <f t="shared" si="0"/>
        <v>3120441</v>
      </c>
      <c r="G14" s="16">
        <f t="shared" si="0"/>
        <v>3704732</v>
      </c>
      <c r="H14" s="16">
        <f t="shared" si="0"/>
        <v>3690539</v>
      </c>
      <c r="I14" s="16">
        <f t="shared" si="0"/>
        <v>0</v>
      </c>
      <c r="J14" s="16">
        <f t="shared" si="0"/>
        <v>31098</v>
      </c>
      <c r="K14" s="16">
        <f t="shared" si="0"/>
        <v>28105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5600</v>
      </c>
      <c r="D27" s="9">
        <f aca="true" t="shared" si="5" ref="D27:N27">SUM(D26,D18,D14)</f>
        <v>5600</v>
      </c>
      <c r="E27" s="9">
        <f t="shared" si="5"/>
        <v>0</v>
      </c>
      <c r="F27" s="9">
        <f t="shared" si="5"/>
        <v>3120441</v>
      </c>
      <c r="G27" s="9">
        <f t="shared" si="5"/>
        <v>3704732</v>
      </c>
      <c r="H27" s="9">
        <f t="shared" si="5"/>
        <v>3690539</v>
      </c>
      <c r="I27" s="9">
        <f t="shared" si="5"/>
        <v>0</v>
      </c>
      <c r="J27" s="9">
        <f t="shared" si="5"/>
        <v>31098</v>
      </c>
      <c r="K27" s="9">
        <f t="shared" si="5"/>
        <v>28105</v>
      </c>
      <c r="L27" s="9">
        <f t="shared" si="5"/>
        <v>0</v>
      </c>
      <c r="M27" s="9">
        <f t="shared" si="5"/>
        <v>0</v>
      </c>
      <c r="N27" s="9">
        <f t="shared" si="5"/>
        <v>0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/>
      <c r="M29" s="40"/>
      <c r="N29" s="41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40"/>
      <c r="M30" s="40"/>
      <c r="N30" s="41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40"/>
      <c r="M31" s="40"/>
      <c r="N31" s="41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36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0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14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</row>
    <row r="54" spans="8:9" ht="12.75">
      <c r="H54" s="8"/>
      <c r="I54" s="49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20972222222222223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tabSelected="1" zoomScale="92" zoomScaleNormal="92" zoomScalePageLayoutView="0" workbookViewId="0" topLeftCell="B1">
      <pane ySplit="7" topLeftCell="A20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10.125" style="1" customWidth="1"/>
    <col min="7" max="8" width="9.375" style="1" customWidth="1"/>
    <col min="9" max="9" width="9.625" style="1" customWidth="1"/>
    <col min="10" max="11" width="9.375" style="1" customWidth="1"/>
    <col min="12" max="12" width="11.00390625" style="1" customWidth="1"/>
    <col min="13" max="13" width="10.625" style="1" customWidth="1"/>
    <col min="14" max="14" width="10.875" style="1" customWidth="1"/>
    <col min="15" max="16384" width="9.125" style="1" customWidth="1"/>
  </cols>
  <sheetData>
    <row r="1" spans="1:14" ht="11.25" customHeight="1">
      <c r="A1" s="1" t="s">
        <v>191</v>
      </c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8:13" ht="8.25" customHeight="1" thickBot="1">
      <c r="H2" s="3"/>
      <c r="M2" s="3" t="s">
        <v>0</v>
      </c>
    </row>
    <row r="3" spans="1:14" ht="9" customHeight="1" thickBot="1">
      <c r="A3" s="161" t="s">
        <v>1</v>
      </c>
      <c r="B3" s="161"/>
      <c r="C3" s="163">
        <v>1801</v>
      </c>
      <c r="D3" s="163"/>
      <c r="E3" s="163"/>
      <c r="F3" s="163">
        <v>1802</v>
      </c>
      <c r="G3" s="163"/>
      <c r="H3" s="163"/>
      <c r="I3" s="182">
        <v>1800</v>
      </c>
      <c r="J3" s="182"/>
      <c r="K3" s="182"/>
      <c r="L3" s="182">
        <v>1</v>
      </c>
      <c r="M3" s="182"/>
      <c r="N3" s="182"/>
    </row>
    <row r="4" spans="1:14" s="48" customFormat="1" ht="24" customHeight="1" thickBot="1">
      <c r="A4" s="161"/>
      <c r="B4" s="161"/>
      <c r="C4" s="195" t="s">
        <v>129</v>
      </c>
      <c r="D4" s="195"/>
      <c r="E4" s="195"/>
      <c r="F4" s="195" t="s">
        <v>181</v>
      </c>
      <c r="G4" s="195"/>
      <c r="H4" s="195"/>
      <c r="I4" s="196" t="s">
        <v>130</v>
      </c>
      <c r="J4" s="196"/>
      <c r="K4" s="196"/>
      <c r="L4" s="196" t="s">
        <v>131</v>
      </c>
      <c r="M4" s="196"/>
      <c r="N4" s="196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99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200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13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>
        <f>C9+F9</f>
        <v>0</v>
      </c>
      <c r="J9" s="8">
        <f aca="true" t="shared" si="0" ref="J9:K13">D9+G9</f>
        <v>0</v>
      </c>
      <c r="K9" s="8">
        <f t="shared" si="0"/>
        <v>0</v>
      </c>
      <c r="L9" s="9">
        <f>'15'!L9+'17'!C9+'18'!L9+'23'!L9+'24'!L9+'26'!L9+'28'!L9+'29'!L9+'30'!I9</f>
        <v>3580</v>
      </c>
      <c r="M9" s="9">
        <f>'15'!M9+'17'!D9+'18'!M9+'23'!M9+'24'!M9+'26'!M9+'28'!M9+'29'!M9+'30'!J9</f>
        <v>45284</v>
      </c>
      <c r="N9" s="9">
        <f>'15'!N9+'17'!E9+'18'!N9+'23'!N9+'24'!N9+'26'!N9+'28'!N9+'29'!N9+'30'!K9</f>
        <v>43813</v>
      </c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>
        <f>C10+F10</f>
        <v>0</v>
      </c>
      <c r="J10" s="8">
        <f t="shared" si="0"/>
        <v>0</v>
      </c>
      <c r="K10" s="8">
        <f t="shared" si="0"/>
        <v>0</v>
      </c>
      <c r="L10" s="9">
        <f>'15'!L10+'17'!C10+'18'!L10+'23'!L10+'24'!L10+'26'!L10+'28'!L10+'29'!L10+'30'!I10</f>
        <v>10894</v>
      </c>
      <c r="M10" s="9">
        <f>'15'!M10+'17'!D10+'18'!M10+'23'!M10+'24'!M10+'26'!M10+'28'!M10+'29'!M10+'30'!J10</f>
        <v>35167</v>
      </c>
      <c r="N10" s="9">
        <f>'15'!N10+'17'!E10+'18'!N10+'23'!N10+'24'!N10+'26'!N10+'28'!N10+'29'!N10+'30'!K10</f>
        <v>25271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>
        <f>C11+F11</f>
        <v>0</v>
      </c>
      <c r="J11" s="8">
        <f t="shared" si="0"/>
        <v>0</v>
      </c>
      <c r="K11" s="8">
        <f t="shared" si="0"/>
        <v>0</v>
      </c>
      <c r="L11" s="9">
        <f>'15'!L11+'17'!C11+'18'!L11+'23'!L11+'24'!L11+'26'!L11+'28'!L11+'29'!L11+'30'!I11</f>
        <v>5706742</v>
      </c>
      <c r="M11" s="9">
        <f>'15'!M11+'17'!D11+'18'!M11+'23'!M11+'24'!M11+'26'!M11+'28'!M11+'29'!M11+'30'!J11</f>
        <v>6730271</v>
      </c>
      <c r="N11" s="9">
        <f>'15'!N11+'17'!E11+'18'!N11+'23'!N11+'24'!N11+'26'!N11+'28'!N11+'29'!N11+'30'!K11</f>
        <v>6330348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>
        <f>C12+F12</f>
        <v>0</v>
      </c>
      <c r="J12" s="8">
        <f t="shared" si="0"/>
        <v>0</v>
      </c>
      <c r="K12" s="8">
        <f t="shared" si="0"/>
        <v>0</v>
      </c>
      <c r="L12" s="9">
        <f>'15'!L12+'17'!C12+'18'!L12+'23'!L12+'24'!L12+'26'!L12+'28'!L12+'29'!L12+'30'!I12</f>
        <v>616180</v>
      </c>
      <c r="M12" s="9">
        <f>'15'!M12+'17'!D12+'18'!M12+'23'!M12+'24'!M12+'26'!M12+'28'!M12+'29'!M12+'30'!J12</f>
        <v>711564</v>
      </c>
      <c r="N12" s="9">
        <f>'15'!N12+'17'!E12+'18'!N12+'23'!N12+'24'!N12+'26'!N12+'28'!N12+'29'!N12+'30'!K12</f>
        <v>693499</v>
      </c>
    </row>
    <row r="13" spans="1:14" ht="10.5" customHeight="1" thickBo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>
        <f>C13+F13</f>
        <v>0</v>
      </c>
      <c r="J13" s="8">
        <f>D13+G13</f>
        <v>0</v>
      </c>
      <c r="K13" s="8">
        <f t="shared" si="0"/>
        <v>0</v>
      </c>
      <c r="L13" s="9">
        <f>'15'!L13+'17'!C13+'18'!L13+'23'!L13+'24'!L13+'26'!L13+'28'!L13+'29'!L13+'30'!I13</f>
        <v>1684546</v>
      </c>
      <c r="M13" s="9">
        <f>'15'!M13+'17'!D13+'18'!M13+'23'!M13+'24'!M13+'26'!M13+'28'!M13+'29'!M13+'30'!J13</f>
        <v>1614675</v>
      </c>
      <c r="N13" s="9">
        <f>'15'!N13+'17'!E13+'18'!N13+'23'!N13+'24'!N13+'26'!N13+'28'!N13+'29'!N13+'30'!K13</f>
        <v>1204226</v>
      </c>
    </row>
    <row r="14" spans="1:14" ht="10.5" customHeight="1" thickBot="1">
      <c r="A14" s="14" t="s">
        <v>16</v>
      </c>
      <c r="B14" s="15" t="s">
        <v>155</v>
      </c>
      <c r="C14" s="16">
        <f>SUM(C9:C13)</f>
        <v>0</v>
      </c>
      <c r="D14" s="16">
        <f aca="true" t="shared" si="1" ref="D14:M14">SUM(D9:D13)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8021942</v>
      </c>
      <c r="M14" s="16">
        <f t="shared" si="1"/>
        <v>9136961</v>
      </c>
      <c r="N14" s="16">
        <f>SUM(N9:N13)</f>
        <v>8297157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>
        <f aca="true" t="shared" si="2" ref="I15:K17">C15+F15</f>
        <v>0</v>
      </c>
      <c r="J15" s="8">
        <f t="shared" si="2"/>
        <v>0</v>
      </c>
      <c r="K15" s="8">
        <f t="shared" si="2"/>
        <v>0</v>
      </c>
      <c r="L15" s="9">
        <f>'15'!L15+'17'!C15+'18'!L15+'23'!L15+'24'!L15+'26'!L15+'28'!L15+'29'!L15+'30'!I15</f>
        <v>6038002</v>
      </c>
      <c r="M15" s="9">
        <f>'15'!M15+'17'!D15+'18'!M15+'23'!M15+'24'!M15+'26'!M15+'28'!M15+'29'!M15+'30'!J15</f>
        <v>8517555</v>
      </c>
      <c r="N15" s="9">
        <f>'15'!N15+'17'!E15+'18'!N15+'23'!N15+'24'!N15+'26'!N15+'28'!N15+'29'!N15+'30'!K15</f>
        <v>7385743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>
        <f t="shared" si="2"/>
        <v>0</v>
      </c>
      <c r="J16" s="8">
        <f t="shared" si="2"/>
        <v>0</v>
      </c>
      <c r="K16" s="8">
        <f t="shared" si="2"/>
        <v>0</v>
      </c>
      <c r="L16" s="9">
        <f>'15'!L16+'17'!C16+'18'!L16+'23'!L16+'24'!L16+'26'!L16+'28'!L16+'29'!L16+'30'!I16</f>
        <v>738033</v>
      </c>
      <c r="M16" s="9">
        <f>'15'!M16+'17'!D16+'18'!M16+'23'!M16+'24'!M16+'26'!M16+'28'!M16+'29'!M16+'30'!J16</f>
        <v>1099350</v>
      </c>
      <c r="N16" s="9">
        <f>'15'!N16+'17'!E16+'18'!N16+'23'!N16+'24'!N16+'26'!N16+'28'!N16+'29'!N16+'30'!K16</f>
        <v>853059</v>
      </c>
    </row>
    <row r="17" spans="1:14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>
        <f t="shared" si="2"/>
        <v>0</v>
      </c>
      <c r="J17" s="8">
        <f t="shared" si="2"/>
        <v>0</v>
      </c>
      <c r="K17" s="8">
        <f t="shared" si="2"/>
        <v>0</v>
      </c>
      <c r="L17" s="9">
        <f>'15'!L17+'17'!C17+'18'!L17+'23'!L17+'24'!L17+'26'!L17+'28'!L17+'29'!L17+'30'!I17</f>
        <v>2558084</v>
      </c>
      <c r="M17" s="9">
        <f>'15'!M17+'17'!D17+'18'!M17+'23'!M17+'24'!M17+'26'!M17+'28'!M17+'29'!M17+'30'!J17</f>
        <v>2231177</v>
      </c>
      <c r="N17" s="9">
        <f>'15'!N17+'17'!E17+'18'!N17+'23'!N17+'24'!N17+'26'!N17+'28'!N17+'29'!N17+'30'!K17</f>
        <v>554111</v>
      </c>
    </row>
    <row r="18" spans="1:14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3" ref="D18:M18">SUM(D15:D17)</f>
        <v>0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9334119</v>
      </c>
      <c r="M18" s="16">
        <f t="shared" si="3"/>
        <v>11848082</v>
      </c>
      <c r="N18" s="9">
        <f>'15'!N18+'17'!E18+'18'!N18+'23'!N18+'24'!N18+'26'!N18+'28'!N18+'29'!N18+'30'!K18</f>
        <v>8792913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8">
        <f>C19+F19</f>
        <v>0</v>
      </c>
      <c r="J19" s="8">
        <f>D19+G19</f>
        <v>0</v>
      </c>
      <c r="K19" s="8">
        <f>E19+H19</f>
        <v>0</v>
      </c>
      <c r="L19" s="16">
        <f>'15'!L19+'17'!C19+'18'!L19+'23'!L19+'24'!L19+'26'!L19+'28'!L19+'29'!L19+'30'!I19</f>
        <v>4534538</v>
      </c>
      <c r="M19" s="16">
        <f>'15'!M19+'17'!D19+'18'!M19+'23'!M19+'24'!M19+'26'!M19+'28'!M19+'29'!M19+'30'!J19</f>
        <v>4595658</v>
      </c>
      <c r="N19" s="16">
        <f>'15'!N19+'17'!E19+'18'!N19+'23'!N19+'24'!N19+'26'!N19+'28'!N19+'29'!N19+'30'!K19</f>
        <v>4326222</v>
      </c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4" ref="D20:M20">SUM(D19)</f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>SUM(I19)</f>
        <v>0</v>
      </c>
      <c r="J20" s="16">
        <f>SUM(J19)</f>
        <v>0</v>
      </c>
      <c r="K20" s="16">
        <f>SUM(K19)</f>
        <v>0</v>
      </c>
      <c r="L20" s="16">
        <f t="shared" si="4"/>
        <v>4534538</v>
      </c>
      <c r="M20" s="16">
        <f t="shared" si="4"/>
        <v>4595658</v>
      </c>
      <c r="N20" s="16">
        <f>SUM(N19)</f>
        <v>4326222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8">
        <f aca="true" t="shared" si="5" ref="I21:K23">C21+F21</f>
        <v>0</v>
      </c>
      <c r="J21" s="8">
        <f t="shared" si="5"/>
        <v>0</v>
      </c>
      <c r="K21" s="8">
        <f t="shared" si="5"/>
        <v>0</v>
      </c>
      <c r="L21" s="9">
        <f>'15'!L21+'17'!C21+'18'!L21+'23'!L21+'24'!L21+'26'!L21+'28'!L21+'29'!L21+'30'!I21</f>
        <v>0</v>
      </c>
      <c r="M21" s="9">
        <f>'15'!M21+'17'!D21+'18'!M21+'23'!M21+'24'!M21+'26'!M21+'28'!M21+'29'!M21+'30'!J21</f>
        <v>0</v>
      </c>
      <c r="N21" s="9">
        <f>'15'!N21+'17'!E21+'18'!N21+'23'!N21+'24'!N21+'26'!N21+'28'!N21+'29'!N21+'30'!K21</f>
        <v>0</v>
      </c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8">
        <f t="shared" si="5"/>
        <v>0</v>
      </c>
      <c r="J22" s="8">
        <f t="shared" si="5"/>
        <v>0</v>
      </c>
      <c r="K22" s="8">
        <f t="shared" si="5"/>
        <v>0</v>
      </c>
      <c r="L22" s="9">
        <f>'15'!L22+'17'!C22+'18'!L22+'23'!L22+'24'!L22+'26'!L22+'28'!L22+'29'!L22+'30'!I22</f>
        <v>0</v>
      </c>
      <c r="M22" s="9">
        <f>'15'!M22+'17'!D22+'18'!M22+'23'!M22+'24'!M22+'26'!M22+'28'!M22+'29'!M22+'30'!J22</f>
        <v>0</v>
      </c>
      <c r="N22" s="9">
        <f>'15'!N22+'17'!E22+'18'!N22+'23'!N22+'24'!N22+'26'!N22+'28'!N22+'29'!N22+'30'!K22</f>
        <v>0</v>
      </c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>
        <f t="shared" si="5"/>
        <v>0</v>
      </c>
      <c r="J23" s="8">
        <f t="shared" si="5"/>
        <v>0</v>
      </c>
      <c r="K23" s="8">
        <f t="shared" si="5"/>
        <v>0</v>
      </c>
      <c r="L23" s="9">
        <f>'15'!L23+'17'!C23+'18'!L23+'23'!L23+'24'!L23+'26'!L23+'28'!L23+'29'!L23+'30'!I23</f>
        <v>71900</v>
      </c>
      <c r="M23" s="9">
        <f>'15'!M23+'17'!D23+'18'!M23+'23'!M23+'24'!M23+'26'!M23+'28'!M23+'29'!M23+'30'!J23</f>
        <v>165995</v>
      </c>
      <c r="N23" s="9">
        <f>'15'!N23+'17'!E23+'18'!N23+'23'!N23+'24'!N23+'26'!N23+'28'!N23+'29'!N23+'30'!K23</f>
        <v>118171</v>
      </c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6" ref="D24:M24">SUM(D21:D23)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71900</v>
      </c>
      <c r="M24" s="16">
        <f t="shared" si="6"/>
        <v>165995</v>
      </c>
      <c r="N24" s="16">
        <f>SUM(N21:N23)</f>
        <v>118171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>
        <f>'15'!L25+'17'!C25+'18'!L25+'23'!L25+'24'!L25+'26'!L25+'28'!L25+'29'!L25+'30'!I25</f>
        <v>0</v>
      </c>
      <c r="M25" s="21">
        <f>'15'!M25+'17'!D25+'18'!M25+'23'!M25+'24'!M25+'26'!M25+'28'!M25+'29'!M25+'30'!J25</f>
        <v>2500000</v>
      </c>
      <c r="N25" s="21">
        <f>'15'!N25+'17'!E25+'18'!N25+'23'!N25+'24'!N25+'26'!N25+'28'!N25+'29'!N25+'30'!K25</f>
        <v>0</v>
      </c>
    </row>
    <row r="26" spans="1:14" ht="10.5" customHeight="1" thickBot="1">
      <c r="A26" s="91" t="s">
        <v>178</v>
      </c>
      <c r="B26" s="122" t="s">
        <v>179</v>
      </c>
      <c r="C26" s="77">
        <f aca="true" t="shared" si="7" ref="C26:N26">SUM(C20,C24,C25)</f>
        <v>0</v>
      </c>
      <c r="D26" s="77">
        <f t="shared" si="7"/>
        <v>0</v>
      </c>
      <c r="E26" s="77">
        <f t="shared" si="7"/>
        <v>0</v>
      </c>
      <c r="F26" s="77">
        <f t="shared" si="7"/>
        <v>0</v>
      </c>
      <c r="G26" s="77">
        <f t="shared" si="7"/>
        <v>0</v>
      </c>
      <c r="H26" s="77">
        <f t="shared" si="7"/>
        <v>0</v>
      </c>
      <c r="I26" s="77">
        <f t="shared" si="7"/>
        <v>0</v>
      </c>
      <c r="J26" s="77">
        <f t="shared" si="7"/>
        <v>0</v>
      </c>
      <c r="K26" s="77">
        <f t="shared" si="7"/>
        <v>0</v>
      </c>
      <c r="L26" s="77">
        <f t="shared" si="7"/>
        <v>4606438</v>
      </c>
      <c r="M26" s="77">
        <f t="shared" si="7"/>
        <v>7261653</v>
      </c>
      <c r="N26" s="77">
        <f t="shared" si="7"/>
        <v>4444393</v>
      </c>
    </row>
    <row r="27" spans="1:14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8" ref="D27:L27">SUM(D26,D18,D14)</f>
        <v>0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9">
        <f t="shared" si="8"/>
        <v>0</v>
      </c>
      <c r="L27" s="9">
        <f t="shared" si="8"/>
        <v>21962499</v>
      </c>
      <c r="M27" s="9">
        <f>SUM(M26,M18,M14)</f>
        <v>28246696</v>
      </c>
      <c r="N27" s="9">
        <f>SUM(N26,N18,N14)</f>
        <v>21534463</v>
      </c>
    </row>
    <row r="28" spans="1:14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9">
        <f>'15'!N28+'17'!E28+'18'!N28+'23'!N28+'24'!N28+'26'!N28+'28'!N28+'29'!N28+'30'!K28</f>
        <v>0</v>
      </c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8">
        <f aca="true" t="shared" si="9" ref="I29:K31">C29+F29</f>
        <v>0</v>
      </c>
      <c r="J29" s="8">
        <f t="shared" si="9"/>
        <v>0</v>
      </c>
      <c r="K29" s="8">
        <f t="shared" si="9"/>
        <v>0</v>
      </c>
      <c r="L29" s="9">
        <f>'15'!L29+'17'!C29+'18'!L29+'23'!L29+'24'!L29+'26'!L29+'28'!L29+'29'!L29+'30'!I29</f>
        <v>2038846</v>
      </c>
      <c r="M29" s="9">
        <f>'15'!M29+'17'!D29+'18'!M29+'23'!M29+'24'!M29+'26'!M29+'28'!M29+'29'!M29+'30'!J29</f>
        <v>2145400</v>
      </c>
      <c r="N29" s="9">
        <f>'15'!N29+'17'!E29+'18'!N29+'23'!N29+'24'!N29+'26'!N29+'28'!N29+'29'!N29+'30'!K29</f>
        <v>2145400</v>
      </c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8">
        <f t="shared" si="9"/>
        <v>0</v>
      </c>
      <c r="J30" s="8">
        <f t="shared" si="9"/>
        <v>0</v>
      </c>
      <c r="K30" s="8">
        <f t="shared" si="9"/>
        <v>0</v>
      </c>
      <c r="L30" s="9">
        <f>'15'!L30+'17'!C30+'18'!L30+'23'!L30+'24'!L30+'26'!L30+'28'!L30+'29'!L30+'30'!I30</f>
        <v>0</v>
      </c>
      <c r="M30" s="9">
        <f>'15'!M30+'17'!D30+'18'!M30+'23'!M30+'24'!M30+'26'!M30+'28'!M30+'29'!M30+'30'!J30</f>
        <v>0</v>
      </c>
      <c r="N30" s="9">
        <f>'15'!N30+'17'!E30+'18'!N30+'23'!N30+'24'!N30+'26'!N30+'28'!N30+'29'!N30+'30'!K30</f>
        <v>325330</v>
      </c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8">
        <f t="shared" si="9"/>
        <v>0</v>
      </c>
      <c r="J31" s="8">
        <f t="shared" si="9"/>
        <v>0</v>
      </c>
      <c r="K31" s="8">
        <f t="shared" si="9"/>
        <v>0</v>
      </c>
      <c r="L31" s="9">
        <f>'15'!L31+'17'!C31+'18'!L31+'23'!L31+'24'!L31+'26'!L31+'28'!L31+'29'!L31+'30'!I31</f>
        <v>502541</v>
      </c>
      <c r="M31" s="9">
        <f>'15'!M31+'17'!D31+'18'!M31+'23'!M31+'24'!M31+'26'!M31+'28'!M31+'29'!M31+'30'!J31</f>
        <v>722621</v>
      </c>
      <c r="N31" s="9">
        <f>'15'!N31+'17'!E31+'18'!N31+'23'!N31+'24'!N31+'26'!N31+'28'!N31+'29'!N31+'30'!K31</f>
        <v>692500</v>
      </c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10" ref="D32:M32">SUM(D29:D31)</f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2541387</v>
      </c>
      <c r="M32" s="29">
        <f t="shared" si="10"/>
        <v>2868021</v>
      </c>
      <c r="N32" s="29">
        <f>SUM(N29:N31)</f>
        <v>3163230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>
        <f aca="true" t="shared" si="11" ref="I33:K35">C33+F33</f>
        <v>0</v>
      </c>
      <c r="J33" s="8">
        <f t="shared" si="11"/>
        <v>0</v>
      </c>
      <c r="K33" s="8">
        <f t="shared" si="11"/>
        <v>0</v>
      </c>
      <c r="L33" s="9">
        <f>'15'!L33+'17'!C33+'18'!L33+'23'!L33+'24'!L33+'26'!L33+'28'!L33+'29'!L33+'30'!I33</f>
        <v>4967848</v>
      </c>
      <c r="M33" s="9">
        <f>'15'!M33+'17'!D33+'18'!M33+'23'!M33+'24'!M33+'26'!M33+'28'!M33+'29'!M33+'30'!J33</f>
        <v>4967848</v>
      </c>
      <c r="N33" s="9">
        <f>'15'!N33+'17'!E33+'18'!N33+'23'!N33+'24'!N33+'26'!N33+'28'!N33+'29'!N33+'30'!K33</f>
        <v>5194534</v>
      </c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8">
        <f t="shared" si="11"/>
        <v>0</v>
      </c>
      <c r="J34" s="8">
        <f t="shared" si="11"/>
        <v>0</v>
      </c>
      <c r="K34" s="8">
        <f t="shared" si="11"/>
        <v>0</v>
      </c>
      <c r="L34" s="9">
        <f>'15'!L34+'17'!C34+'18'!L34+'23'!L34+'24'!L34+'26'!L34+'28'!L34+'29'!L34+'30'!I34</f>
        <v>5047111</v>
      </c>
      <c r="M34" s="9">
        <f>'15'!M34+'17'!D34+'18'!M34+'23'!M34+'24'!M34+'26'!M34+'28'!M34+'29'!M34+'30'!J34</f>
        <v>5728886</v>
      </c>
      <c r="N34" s="9">
        <f>'15'!N34+'17'!E34+'18'!N34+'23'!N34+'24'!N34+'26'!N34+'28'!N34+'29'!N34+'30'!K34</f>
        <v>5941491</v>
      </c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>
        <f t="shared" si="11"/>
        <v>0</v>
      </c>
      <c r="J35" s="8">
        <f t="shared" si="11"/>
        <v>0</v>
      </c>
      <c r="K35" s="8">
        <f t="shared" si="11"/>
        <v>0</v>
      </c>
      <c r="L35" s="9">
        <f>'15'!L35+'17'!C35+'18'!L35+'23'!L35+'24'!L35+'26'!L35+'28'!L35+'29'!L35+'30'!I35</f>
        <v>134</v>
      </c>
      <c r="M35" s="9">
        <f>'15'!M35+'17'!D35+'18'!M35+'23'!M35+'24'!M35+'26'!M35+'28'!M35+'29'!M35+'30'!J35</f>
        <v>134</v>
      </c>
      <c r="N35" s="9">
        <f>'15'!N35+'17'!E35+'18'!N35+'23'!N35+'24'!N35+'26'!N35+'28'!N35+'29'!N35+'30'!K35</f>
        <v>1171</v>
      </c>
    </row>
    <row r="36" spans="1:14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12" ref="D36:M36">SUM(D32:D35)</f>
        <v>0</v>
      </c>
      <c r="E36" s="16">
        <f t="shared" si="12"/>
        <v>0</v>
      </c>
      <c r="F36" s="16">
        <f t="shared" si="12"/>
        <v>0</v>
      </c>
      <c r="G36" s="16">
        <f t="shared" si="12"/>
        <v>0</v>
      </c>
      <c r="H36" s="16">
        <f t="shared" si="12"/>
        <v>0</v>
      </c>
      <c r="I36" s="16">
        <f t="shared" si="12"/>
        <v>0</v>
      </c>
      <c r="J36" s="16">
        <f t="shared" si="12"/>
        <v>0</v>
      </c>
      <c r="K36" s="16">
        <f t="shared" si="12"/>
        <v>0</v>
      </c>
      <c r="L36" s="16">
        <f t="shared" si="12"/>
        <v>12556480</v>
      </c>
      <c r="M36" s="16">
        <f t="shared" si="12"/>
        <v>13564889</v>
      </c>
      <c r="N36" s="16">
        <f>SUM(N32:N35)</f>
        <v>14300426</v>
      </c>
    </row>
    <row r="37" spans="1:14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>
        <f>C37+F37</f>
        <v>0</v>
      </c>
      <c r="J37" s="8">
        <f aca="true" t="shared" si="13" ref="J37:K39">D37+G37</f>
        <v>0</v>
      </c>
      <c r="K37" s="8">
        <f t="shared" si="13"/>
        <v>0</v>
      </c>
      <c r="L37" s="9">
        <f>'15'!L37+'17'!C37+'18'!L37+'23'!L37+'24'!L37+'26'!L37+'28'!L37+'29'!L37+'30'!I37</f>
        <v>3143753</v>
      </c>
      <c r="M37" s="9">
        <f>'15'!M37+'17'!D37+'18'!M37+'23'!M37+'24'!M37+'26'!M37+'28'!M37+'29'!M37+'30'!J37</f>
        <v>2310070</v>
      </c>
      <c r="N37" s="9">
        <f>'15'!N37+'17'!E37+'18'!N37+'23'!N37+'24'!N37+'26'!N37+'28'!N37+'29'!N37+'30'!K37</f>
        <v>1933789</v>
      </c>
    </row>
    <row r="38" spans="1:14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>
        <f>C38+F38</f>
        <v>0</v>
      </c>
      <c r="J38" s="8">
        <f t="shared" si="13"/>
        <v>0</v>
      </c>
      <c r="K38" s="8">
        <f t="shared" si="13"/>
        <v>0</v>
      </c>
      <c r="L38" s="9">
        <f>'15'!L38+'17'!C38+'18'!L38+'23'!L38+'24'!L38+'26'!L38+'28'!L38+'29'!L38+'30'!I38</f>
        <v>6150000</v>
      </c>
      <c r="M38" s="9">
        <f>'15'!M38+'17'!D38+'18'!M38+'23'!M38+'24'!M38+'26'!M38+'28'!M38+'29'!M38+'30'!J38</f>
        <v>7384944</v>
      </c>
      <c r="N38" s="9">
        <f>'15'!N38+'17'!E38+'18'!N38+'23'!N38+'24'!N38+'26'!N38+'28'!N38+'29'!N38+'30'!K38</f>
        <v>6932330</v>
      </c>
    </row>
    <row r="39" spans="1:14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>
        <f>C39+F39</f>
        <v>0</v>
      </c>
      <c r="J39" s="8">
        <f t="shared" si="13"/>
        <v>0</v>
      </c>
      <c r="K39" s="8">
        <f t="shared" si="13"/>
        <v>0</v>
      </c>
      <c r="L39" s="9">
        <f>'15'!L39+'17'!C39+'18'!L39+'23'!L39+'24'!L39+'26'!L39+'28'!L39+'29'!L39+'30'!I39</f>
        <v>112266</v>
      </c>
      <c r="M39" s="9">
        <f>'15'!M39+'17'!D39+'18'!M39+'23'!M39+'24'!M39+'26'!M39+'28'!M39+'29'!M39+'30'!J39</f>
        <v>76266</v>
      </c>
      <c r="N39" s="9">
        <f>'15'!N39+'17'!E39+'18'!N39+'23'!N39+'24'!N39+'26'!N39+'28'!N39+'29'!N39+'30'!K39</f>
        <v>28800</v>
      </c>
    </row>
    <row r="40" spans="1:14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14" ref="D40:M40">SUM(D37:D39)</f>
        <v>0</v>
      </c>
      <c r="E40" s="16">
        <f t="shared" si="14"/>
        <v>0</v>
      </c>
      <c r="F40" s="16">
        <f t="shared" si="14"/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9406019</v>
      </c>
      <c r="M40" s="16">
        <f t="shared" si="14"/>
        <v>9771280</v>
      </c>
      <c r="N40" s="16">
        <f>SUM(N37:N39)</f>
        <v>8894919</v>
      </c>
    </row>
    <row r="41" spans="1:14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21"/>
      <c r="J41" s="21"/>
      <c r="K41" s="21"/>
      <c r="L41" s="21">
        <f>'15'!L41+'17'!C41+'18'!L41+'23'!L41+'24'!L41+'26'!L41+'28'!L41+'29'!L41+'30'!I41</f>
        <v>0</v>
      </c>
      <c r="M41" s="21">
        <f>'15'!M41+'17'!D41+'18'!M41+'23'!M41+'24'!M41+'26'!M41+'28'!M41+'29'!M41+'30'!J41</f>
        <v>0</v>
      </c>
      <c r="N41" s="21">
        <f>'15'!N41+'17'!E41+'18'!N41+'23'!N41+'24'!N41+'26'!N41+'28'!N41+'29'!N41+'30'!K41</f>
        <v>0</v>
      </c>
    </row>
    <row r="42" spans="1:14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>
        <f>'15'!L42+'17'!C42+'18'!L42+'23'!L42+'24'!L42+'26'!L42+'28'!L42+'29'!L42+'30'!I42</f>
        <v>0</v>
      </c>
      <c r="M42" s="16">
        <f>'15'!M42+'17'!D42+'18'!M42+'23'!M42+'24'!M42+'26'!M42+'28'!M42+'29'!M42+'30'!J42</f>
        <v>603637</v>
      </c>
      <c r="N42" s="16">
        <f>'15'!N42+'17'!E42+'18'!N42+'23'!N42+'24'!N42+'26'!N42+'28'!N42+'29'!N42+'30'!K42</f>
        <v>278307</v>
      </c>
    </row>
    <row r="43" spans="1:14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>
        <f>SUM('26'!G43)</f>
        <v>83862</v>
      </c>
      <c r="N43" s="16">
        <f>SUM('26'!H43)</f>
        <v>83862</v>
      </c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15" ref="D44:L44">SUM(D41:D42)</f>
        <v>0</v>
      </c>
      <c r="E44" s="16">
        <f t="shared" si="15"/>
        <v>0</v>
      </c>
      <c r="F44" s="16">
        <f t="shared" si="15"/>
        <v>0</v>
      </c>
      <c r="G44" s="16">
        <f t="shared" si="15"/>
        <v>0</v>
      </c>
      <c r="H44" s="16">
        <f t="shared" si="15"/>
        <v>0</v>
      </c>
      <c r="I44" s="16">
        <f t="shared" si="15"/>
        <v>0</v>
      </c>
      <c r="J44" s="16">
        <f t="shared" si="15"/>
        <v>0</v>
      </c>
      <c r="K44" s="16">
        <f t="shared" si="15"/>
        <v>0</v>
      </c>
      <c r="L44" s="16">
        <f t="shared" si="15"/>
        <v>0</v>
      </c>
      <c r="M44" s="16">
        <f>SUM(M41:M43)</f>
        <v>687499</v>
      </c>
      <c r="N44" s="16">
        <f>SUM(N41:N43)</f>
        <v>362169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f>'15'!L45+'17'!C45+'18'!L45+'23'!L45+'24'!L45+'26'!L45+'28'!L45+'29'!L45+'30'!I45</f>
        <v>0</v>
      </c>
      <c r="M45" s="21">
        <f>'15'!M45+'17'!D45+'18'!M45+'23'!M45+'24'!M45+'26'!M45+'28'!M45+'29'!M45+'30'!J45</f>
        <v>0</v>
      </c>
      <c r="N45" s="21">
        <f>'15'!N45+'17'!E45+'18'!N45+'23'!N45+'24'!N45+'26'!N45+'28'!N45+'29'!N45+'30'!K45</f>
        <v>0</v>
      </c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>
        <f>'15'!L46+'17'!C46+'18'!L46+'23'!L46+'24'!L46+'26'!L46+'28'!L46+'29'!L46+'30'!I46</f>
        <v>0</v>
      </c>
      <c r="M46" s="21">
        <f>'15'!M46+'17'!D46+'18'!M46+'23'!M46+'24'!M46+'26'!M46+'28'!M46+'29'!M46+'30'!J46</f>
        <v>1723028</v>
      </c>
      <c r="N46" s="21">
        <f>'15'!N46+'17'!E46+'18'!N46+'23'!N46+'24'!N46+'26'!N46+'28'!N46+'29'!N46+'30'!K46</f>
        <v>1723028</v>
      </c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6" ref="D47:M47">SUM(D45:D46)</f>
        <v>0</v>
      </c>
      <c r="E47" s="77">
        <f t="shared" si="16"/>
        <v>0</v>
      </c>
      <c r="F47" s="77">
        <f t="shared" si="16"/>
        <v>0</v>
      </c>
      <c r="G47" s="77">
        <f t="shared" si="16"/>
        <v>0</v>
      </c>
      <c r="H47" s="77">
        <f t="shared" si="16"/>
        <v>0</v>
      </c>
      <c r="I47" s="77">
        <f t="shared" si="16"/>
        <v>0</v>
      </c>
      <c r="J47" s="77">
        <f t="shared" si="16"/>
        <v>0</v>
      </c>
      <c r="K47" s="77">
        <f t="shared" si="16"/>
        <v>0</v>
      </c>
      <c r="L47" s="77">
        <f t="shared" si="16"/>
        <v>0</v>
      </c>
      <c r="M47" s="77">
        <f t="shared" si="16"/>
        <v>1723028</v>
      </c>
      <c r="N47" s="77">
        <f>SUM(N45:N46)</f>
        <v>1723028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>
        <v>0</v>
      </c>
      <c r="G48" s="21">
        <v>2500000</v>
      </c>
      <c r="H48" s="21">
        <v>0</v>
      </c>
      <c r="I48" s="21"/>
      <c r="J48" s="21"/>
      <c r="K48" s="21"/>
      <c r="L48" s="21">
        <f>SUM(F48)</f>
        <v>0</v>
      </c>
      <c r="M48" s="21">
        <f>SUM(G48)</f>
        <v>2500000</v>
      </c>
      <c r="N48" s="21">
        <f>SUM(H48)</f>
        <v>0</v>
      </c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7" ref="D49:M49">SUM(D47,D44,D48)</f>
        <v>0</v>
      </c>
      <c r="E49" s="77">
        <f t="shared" si="17"/>
        <v>0</v>
      </c>
      <c r="F49" s="77">
        <f t="shared" si="17"/>
        <v>0</v>
      </c>
      <c r="G49" s="77">
        <f t="shared" si="17"/>
        <v>2500000</v>
      </c>
      <c r="H49" s="77">
        <f t="shared" si="17"/>
        <v>0</v>
      </c>
      <c r="I49" s="77">
        <f t="shared" si="17"/>
        <v>0</v>
      </c>
      <c r="J49" s="77">
        <f t="shared" si="17"/>
        <v>0</v>
      </c>
      <c r="K49" s="77">
        <f t="shared" si="17"/>
        <v>0</v>
      </c>
      <c r="L49" s="77">
        <f t="shared" si="17"/>
        <v>0</v>
      </c>
      <c r="M49" s="77">
        <f t="shared" si="17"/>
        <v>4910527</v>
      </c>
      <c r="N49" s="77">
        <f>SUM(N47,N44,N48)</f>
        <v>2085197</v>
      </c>
    </row>
    <row r="50" spans="1:14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8" ref="D50:M50">SUM(D49,D40,D36)</f>
        <v>0</v>
      </c>
      <c r="E50" s="9">
        <f t="shared" si="18"/>
        <v>0</v>
      </c>
      <c r="F50" s="9">
        <f t="shared" si="18"/>
        <v>0</v>
      </c>
      <c r="G50" s="9">
        <f t="shared" si="18"/>
        <v>2500000</v>
      </c>
      <c r="H50" s="9">
        <f t="shared" si="18"/>
        <v>0</v>
      </c>
      <c r="I50" s="9">
        <f t="shared" si="18"/>
        <v>0</v>
      </c>
      <c r="J50" s="9">
        <f t="shared" si="18"/>
        <v>0</v>
      </c>
      <c r="K50" s="9">
        <f t="shared" si="18"/>
        <v>0</v>
      </c>
      <c r="L50" s="9">
        <f t="shared" si="18"/>
        <v>21962499</v>
      </c>
      <c r="M50" s="9">
        <f t="shared" si="18"/>
        <v>28246696</v>
      </c>
      <c r="N50" s="9">
        <f>SUM(N49,N40,N36)</f>
        <v>25280542</v>
      </c>
    </row>
    <row r="51" spans="1:14" ht="13.5" thickBot="1">
      <c r="A51" s="32"/>
      <c r="B51" s="33" t="s">
        <v>43</v>
      </c>
      <c r="C51" s="34"/>
      <c r="D51" s="34"/>
      <c r="E51" s="34"/>
      <c r="F51" s="34"/>
      <c r="G51" s="34"/>
      <c r="H51" s="34"/>
      <c r="I51" s="34">
        <f>C51+F51</f>
        <v>0</v>
      </c>
      <c r="J51" s="34">
        <f>D51+G51</f>
        <v>0</v>
      </c>
      <c r="K51" s="34">
        <f>E51+H51</f>
        <v>0</v>
      </c>
      <c r="L51" s="35">
        <f>'15'!L51+'17'!C51+'18'!L51+'23'!L51+'24'!L51+'26'!L51+'28'!L51+'29'!L51+'30'!I51</f>
        <v>0</v>
      </c>
      <c r="M51" s="35">
        <f>'15'!M51+'17'!D51+'18'!M51+'23'!M51+'24'!M51+'26'!M51+'28'!M51+'29'!M51+'30'!J51</f>
        <v>0</v>
      </c>
      <c r="N51" s="136">
        <f>'15'!N51+'17'!E51+'18'!N51+'23'!N51+'24'!N51+'26'!N51+'28'!N51+'29'!N51+'30'!K51</f>
        <v>0</v>
      </c>
    </row>
    <row r="52" spans="1:14" ht="13.5" thickBot="1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137"/>
    </row>
    <row r="53" spans="8:11" ht="12.75">
      <c r="H53" s="31"/>
      <c r="K53" s="31"/>
    </row>
    <row r="54" spans="8:14" ht="12.75">
      <c r="H54" s="31"/>
      <c r="K54" s="31"/>
      <c r="M54" s="8"/>
      <c r="N54" s="8"/>
    </row>
    <row r="55" spans="8:13" ht="12.75">
      <c r="H55" s="31"/>
      <c r="K55" s="31"/>
      <c r="L55" s="8"/>
      <c r="M55" s="8"/>
    </row>
    <row r="56" spans="8:11" ht="12.75">
      <c r="H56" s="31"/>
      <c r="K56" s="31"/>
    </row>
    <row r="57" spans="8:11" ht="12.75">
      <c r="H57" s="31"/>
      <c r="K57" s="31"/>
    </row>
    <row r="58" ht="12.75">
      <c r="K58" s="31"/>
    </row>
    <row r="59" ht="12.75">
      <c r="K59" s="31"/>
    </row>
    <row r="60" ht="12.75">
      <c r="K60" s="31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92" zoomScaleNormal="92" zoomScalePageLayoutView="0" workbookViewId="0" topLeftCell="A1">
      <pane ySplit="7" topLeftCell="A23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5" width="9.375" style="1" customWidth="1"/>
    <col min="6" max="6" width="9.625" style="1" customWidth="1"/>
    <col min="7" max="8" width="9.375" style="1" customWidth="1"/>
    <col min="9" max="9" width="9.625" style="1" customWidth="1"/>
    <col min="10" max="10" width="9.875" style="1" customWidth="1"/>
    <col min="11" max="11" width="10.125" style="1" customWidth="1"/>
    <col min="12" max="12" width="9.875" style="1" customWidth="1"/>
    <col min="13" max="13" width="10.00390625" style="1" customWidth="1"/>
    <col min="14" max="14" width="9.875" style="1" customWidth="1"/>
    <col min="15" max="16384" width="9.125" style="1" customWidth="1"/>
  </cols>
  <sheetData>
    <row r="1" spans="2:14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8.25" customHeight="1" thickBot="1">
      <c r="N2" s="3" t="s">
        <v>0</v>
      </c>
    </row>
    <row r="3" spans="1:14" ht="9" customHeight="1" thickBot="1">
      <c r="A3" s="161" t="s">
        <v>1</v>
      </c>
      <c r="B3" s="161"/>
      <c r="C3" s="201">
        <v>2</v>
      </c>
      <c r="D3" s="201"/>
      <c r="E3" s="201"/>
      <c r="F3" s="202">
        <v>3</v>
      </c>
      <c r="G3" s="203"/>
      <c r="H3" s="204"/>
      <c r="I3" s="205">
        <v>4001</v>
      </c>
      <c r="J3" s="206"/>
      <c r="K3" s="201"/>
      <c r="L3" s="205">
        <v>4002</v>
      </c>
      <c r="M3" s="206"/>
      <c r="N3" s="201"/>
    </row>
    <row r="4" spans="1:14" s="4" customFormat="1" ht="22.5" customHeight="1" thickBot="1">
      <c r="A4" s="161"/>
      <c r="B4" s="161"/>
      <c r="C4" s="164" t="s">
        <v>132</v>
      </c>
      <c r="D4" s="164"/>
      <c r="E4" s="164"/>
      <c r="F4" s="197" t="s">
        <v>133</v>
      </c>
      <c r="G4" s="197"/>
      <c r="H4" s="197"/>
      <c r="I4" s="207" t="s">
        <v>134</v>
      </c>
      <c r="J4" s="207"/>
      <c r="K4" s="207"/>
      <c r="L4" s="178" t="s">
        <v>135</v>
      </c>
      <c r="M4" s="178"/>
      <c r="N4" s="178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>
        <v>603901</v>
      </c>
      <c r="D9" s="10">
        <v>626257</v>
      </c>
      <c r="E9" s="8">
        <v>574146</v>
      </c>
      <c r="F9" s="10">
        <v>360140</v>
      </c>
      <c r="G9" s="10">
        <v>361787</v>
      </c>
      <c r="H9" s="10">
        <v>322665</v>
      </c>
      <c r="I9" s="8">
        <v>1080222</v>
      </c>
      <c r="J9" s="8">
        <v>1094763</v>
      </c>
      <c r="K9" s="8">
        <f>1122236-72165</f>
        <v>1050071</v>
      </c>
      <c r="L9" s="8">
        <v>72165</v>
      </c>
      <c r="M9" s="8">
        <v>72165</v>
      </c>
      <c r="N9" s="8">
        <v>72165</v>
      </c>
    </row>
    <row r="10" spans="1:14" ht="10.5" customHeight="1">
      <c r="A10" s="4" t="s">
        <v>9</v>
      </c>
      <c r="B10" s="3" t="s">
        <v>153</v>
      </c>
      <c r="C10" s="10">
        <v>162429</v>
      </c>
      <c r="D10" s="10">
        <v>172467</v>
      </c>
      <c r="E10" s="8">
        <v>153176</v>
      </c>
      <c r="F10" s="10">
        <v>104410</v>
      </c>
      <c r="G10" s="10">
        <v>104854</v>
      </c>
      <c r="H10" s="10">
        <v>93209</v>
      </c>
      <c r="I10" s="10">
        <v>303902</v>
      </c>
      <c r="J10" s="8">
        <v>307578</v>
      </c>
      <c r="K10" s="8">
        <f>301016-19485</f>
        <v>281531</v>
      </c>
      <c r="L10" s="10">
        <v>19485</v>
      </c>
      <c r="M10" s="10">
        <v>19485</v>
      </c>
      <c r="N10" s="8">
        <v>19485</v>
      </c>
    </row>
    <row r="11" spans="1:14" ht="10.5" customHeight="1">
      <c r="A11" s="4" t="s">
        <v>10</v>
      </c>
      <c r="B11" s="3" t="s">
        <v>12</v>
      </c>
      <c r="C11" s="10">
        <v>455655</v>
      </c>
      <c r="D11" s="10">
        <v>527412</v>
      </c>
      <c r="E11" s="8">
        <f>462148-11102</f>
        <v>451046</v>
      </c>
      <c r="F11" s="10">
        <v>350000</v>
      </c>
      <c r="G11" s="10">
        <v>423751</v>
      </c>
      <c r="H11" s="10">
        <v>415250</v>
      </c>
      <c r="I11" s="8">
        <v>1107587</v>
      </c>
      <c r="J11" s="8">
        <v>1133181</v>
      </c>
      <c r="K11" s="8">
        <f>1093090-102185</f>
        <v>990905</v>
      </c>
      <c r="L11" s="8">
        <v>102185</v>
      </c>
      <c r="M11" s="8">
        <v>102185</v>
      </c>
      <c r="N11" s="8">
        <v>102185</v>
      </c>
    </row>
    <row r="12" spans="1:14" ht="10.5" customHeight="1">
      <c r="A12" s="4" t="s">
        <v>11</v>
      </c>
      <c r="B12" s="3" t="s">
        <v>14</v>
      </c>
      <c r="C12" s="10"/>
      <c r="D12" s="10"/>
      <c r="E12" s="8"/>
      <c r="F12" s="10"/>
      <c r="G12" s="10"/>
      <c r="H12" s="10"/>
      <c r="I12" s="8"/>
      <c r="J12" s="8"/>
      <c r="K12" s="8"/>
      <c r="L12" s="8"/>
      <c r="M12" s="8"/>
      <c r="N12" s="8"/>
    </row>
    <row r="13" spans="1:14" ht="10.5" customHeight="1" thickBot="1">
      <c r="A13" s="4" t="s">
        <v>13</v>
      </c>
      <c r="B13" s="3" t="s">
        <v>15</v>
      </c>
      <c r="C13" s="8">
        <v>0</v>
      </c>
      <c r="D13" s="12">
        <v>11102</v>
      </c>
      <c r="E13" s="8">
        <v>11102</v>
      </c>
      <c r="F13" s="8">
        <v>0</v>
      </c>
      <c r="G13" s="8">
        <v>11043</v>
      </c>
      <c r="H13" s="8">
        <v>11043</v>
      </c>
      <c r="I13" s="8">
        <v>0</v>
      </c>
      <c r="J13" s="8">
        <v>253395</v>
      </c>
      <c r="K13" s="8">
        <f>255945-2550</f>
        <v>253395</v>
      </c>
      <c r="L13" s="8"/>
      <c r="M13" s="8"/>
      <c r="N13" s="8"/>
    </row>
    <row r="14" spans="1:14" s="19" customFormat="1" ht="10.5" customHeight="1" thickBot="1">
      <c r="A14" s="14" t="s">
        <v>16</v>
      </c>
      <c r="B14" s="15" t="s">
        <v>155</v>
      </c>
      <c r="C14" s="16">
        <f>SUM(C9:C13)</f>
        <v>1221985</v>
      </c>
      <c r="D14" s="16">
        <f aca="true" t="shared" si="0" ref="D14:N14">SUM(D9:D13)</f>
        <v>1337238</v>
      </c>
      <c r="E14" s="16">
        <f>SUM(E9:E13)</f>
        <v>1189470</v>
      </c>
      <c r="F14" s="16">
        <f t="shared" si="0"/>
        <v>814550</v>
      </c>
      <c r="G14" s="16">
        <f>SUM(G9:G13)</f>
        <v>901435</v>
      </c>
      <c r="H14" s="16">
        <f>SUM(H9:H13)</f>
        <v>842167</v>
      </c>
      <c r="I14" s="16">
        <f t="shared" si="0"/>
        <v>2491711</v>
      </c>
      <c r="J14" s="16">
        <f t="shared" si="0"/>
        <v>2788917</v>
      </c>
      <c r="K14" s="16">
        <f t="shared" si="0"/>
        <v>2575902</v>
      </c>
      <c r="L14" s="16">
        <f t="shared" si="0"/>
        <v>193835</v>
      </c>
      <c r="M14" s="16">
        <f t="shared" si="0"/>
        <v>193835</v>
      </c>
      <c r="N14" s="16">
        <f t="shared" si="0"/>
        <v>193835</v>
      </c>
    </row>
    <row r="15" spans="1:14" s="19" customFormat="1" ht="10.5" customHeight="1">
      <c r="A15" s="4" t="s">
        <v>17</v>
      </c>
      <c r="B15" s="3" t="s">
        <v>154</v>
      </c>
      <c r="C15" s="8">
        <v>29900</v>
      </c>
      <c r="D15" s="8">
        <v>44342</v>
      </c>
      <c r="E15" s="8">
        <v>32171</v>
      </c>
      <c r="F15" s="8">
        <v>30000</v>
      </c>
      <c r="G15" s="8">
        <v>30000</v>
      </c>
      <c r="H15" s="8">
        <v>27919</v>
      </c>
      <c r="I15" s="8">
        <v>10000</v>
      </c>
      <c r="J15" s="8">
        <v>69242</v>
      </c>
      <c r="K15" s="8">
        <v>35846</v>
      </c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s="19" customFormat="1" ht="10.5" customHeight="1" thickBot="1">
      <c r="A18" s="14" t="s">
        <v>22</v>
      </c>
      <c r="B18" s="15" t="s">
        <v>156</v>
      </c>
      <c r="C18" s="16">
        <f>SUM(C15:C17)</f>
        <v>29900</v>
      </c>
      <c r="D18" s="16">
        <f aca="true" t="shared" si="1" ref="D18:N18">SUM(D15:D17)</f>
        <v>44342</v>
      </c>
      <c r="E18" s="16">
        <f t="shared" si="1"/>
        <v>32171</v>
      </c>
      <c r="F18" s="16">
        <f t="shared" si="1"/>
        <v>30000</v>
      </c>
      <c r="G18" s="16">
        <f t="shared" si="1"/>
        <v>30000</v>
      </c>
      <c r="H18" s="16">
        <f t="shared" si="1"/>
        <v>27919</v>
      </c>
      <c r="I18" s="16">
        <f t="shared" si="1"/>
        <v>10000</v>
      </c>
      <c r="J18" s="16">
        <f t="shared" si="1"/>
        <v>69242</v>
      </c>
      <c r="K18" s="16">
        <f t="shared" si="1"/>
        <v>35846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1251885</v>
      </c>
      <c r="D27" s="9">
        <f aca="true" t="shared" si="5" ref="D27:N27">SUM(D26,D18,D14)</f>
        <v>1381580</v>
      </c>
      <c r="E27" s="9">
        <f>SUM(E26,E18,E14)</f>
        <v>1221641</v>
      </c>
      <c r="F27" s="9">
        <f t="shared" si="5"/>
        <v>844550</v>
      </c>
      <c r="G27" s="9">
        <f t="shared" si="5"/>
        <v>931435</v>
      </c>
      <c r="H27" s="9">
        <f t="shared" si="5"/>
        <v>870086</v>
      </c>
      <c r="I27" s="9">
        <f t="shared" si="5"/>
        <v>2501711</v>
      </c>
      <c r="J27" s="9">
        <f t="shared" si="5"/>
        <v>2858159</v>
      </c>
      <c r="K27" s="9">
        <f t="shared" si="5"/>
        <v>2611748</v>
      </c>
      <c r="L27" s="9">
        <f t="shared" si="5"/>
        <v>193835</v>
      </c>
      <c r="M27" s="9">
        <f t="shared" si="5"/>
        <v>193835</v>
      </c>
      <c r="N27" s="9">
        <f t="shared" si="5"/>
        <v>193835</v>
      </c>
    </row>
    <row r="28" spans="1:14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/>
      <c r="M29" s="40"/>
      <c r="N29" s="41"/>
    </row>
    <row r="30" spans="1:14" ht="10.5" customHeight="1">
      <c r="A30" s="4" t="s">
        <v>35</v>
      </c>
      <c r="B30" s="3" t="s">
        <v>163</v>
      </c>
      <c r="C30" s="10"/>
      <c r="D30" s="10"/>
      <c r="E30" s="10">
        <f>11102-11102</f>
        <v>0</v>
      </c>
      <c r="F30" s="10"/>
      <c r="G30" s="10"/>
      <c r="H30" s="10"/>
      <c r="I30" s="10"/>
      <c r="J30" s="10"/>
      <c r="K30" s="10">
        <f>226051-226051</f>
        <v>0</v>
      </c>
      <c r="L30" s="40"/>
      <c r="M30" s="40"/>
      <c r="N30" s="41"/>
    </row>
    <row r="31" spans="1:14" ht="10.5" customHeight="1">
      <c r="A31" s="4" t="s">
        <v>164</v>
      </c>
      <c r="B31" s="3" t="s">
        <v>165</v>
      </c>
      <c r="C31" s="10">
        <v>734836</v>
      </c>
      <c r="D31" s="10">
        <v>734836</v>
      </c>
      <c r="E31" s="10">
        <v>762442</v>
      </c>
      <c r="F31" s="10"/>
      <c r="G31" s="10"/>
      <c r="H31" s="10"/>
      <c r="I31" s="10">
        <v>0</v>
      </c>
      <c r="J31" s="10">
        <v>12395</v>
      </c>
      <c r="K31" s="10">
        <v>13514</v>
      </c>
      <c r="L31" s="40"/>
      <c r="M31" s="40"/>
      <c r="N31" s="41"/>
    </row>
    <row r="32" spans="1:15" ht="10.5" customHeight="1">
      <c r="A32" s="27" t="s">
        <v>7</v>
      </c>
      <c r="B32" s="28" t="s">
        <v>166</v>
      </c>
      <c r="C32" s="29">
        <f>SUM(C29:C31)</f>
        <v>734836</v>
      </c>
      <c r="D32" s="29">
        <f aca="true" t="shared" si="6" ref="D32:N32">SUM(D29:D31)</f>
        <v>734836</v>
      </c>
      <c r="E32" s="29">
        <f t="shared" si="6"/>
        <v>762442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12395</v>
      </c>
      <c r="K32" s="29">
        <f t="shared" si="6"/>
        <v>13514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O32" s="8"/>
    </row>
    <row r="33" spans="1:15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>
        <v>4319</v>
      </c>
      <c r="L33" s="9"/>
      <c r="M33" s="9"/>
      <c r="N33" s="21"/>
      <c r="O33" s="8"/>
    </row>
    <row r="34" spans="1:15" s="19" customFormat="1" ht="10.5" customHeight="1">
      <c r="A34" s="4" t="s">
        <v>10</v>
      </c>
      <c r="B34" s="3" t="s">
        <v>167</v>
      </c>
      <c r="C34" s="10">
        <v>110004</v>
      </c>
      <c r="D34" s="10">
        <v>128182</v>
      </c>
      <c r="E34" s="10">
        <f>130818+11102</f>
        <v>141920</v>
      </c>
      <c r="F34" s="10">
        <v>300000</v>
      </c>
      <c r="G34" s="10">
        <v>373751</v>
      </c>
      <c r="H34" s="10">
        <v>373751</v>
      </c>
      <c r="I34" s="10">
        <v>57046</v>
      </c>
      <c r="J34" s="10">
        <v>57046</v>
      </c>
      <c r="K34" s="10">
        <f>58501+226051</f>
        <v>284552</v>
      </c>
      <c r="L34" s="9"/>
      <c r="M34" s="9"/>
      <c r="N34" s="21"/>
      <c r="O34" s="9"/>
    </row>
    <row r="35" spans="1:15" s="19" customFormat="1" ht="10.5" customHeight="1" thickBot="1">
      <c r="A35" s="4" t="s">
        <v>11</v>
      </c>
      <c r="B35" s="3" t="s">
        <v>37</v>
      </c>
      <c r="C35" s="10"/>
      <c r="D35" s="10">
        <v>40</v>
      </c>
      <c r="E35" s="10">
        <v>40</v>
      </c>
      <c r="F35" s="10"/>
      <c r="G35" s="10"/>
      <c r="H35" s="10"/>
      <c r="I35" s="8"/>
      <c r="J35" s="10"/>
      <c r="K35" s="8"/>
      <c r="L35" s="9"/>
      <c r="M35" s="9"/>
      <c r="N35" s="21"/>
      <c r="O35" s="9"/>
    </row>
    <row r="36" spans="1:15" ht="10.5" customHeight="1" thickBot="1">
      <c r="A36" s="14" t="s">
        <v>16</v>
      </c>
      <c r="B36" s="15" t="s">
        <v>169</v>
      </c>
      <c r="C36" s="16">
        <f>SUM(C32:C35)</f>
        <v>844840</v>
      </c>
      <c r="D36" s="16">
        <f aca="true" t="shared" si="7" ref="D36:N36">SUM(D32:D35)</f>
        <v>863058</v>
      </c>
      <c r="E36" s="16">
        <f t="shared" si="7"/>
        <v>904402</v>
      </c>
      <c r="F36" s="16">
        <f t="shared" si="7"/>
        <v>300000</v>
      </c>
      <c r="G36" s="16">
        <f t="shared" si="7"/>
        <v>373751</v>
      </c>
      <c r="H36" s="16">
        <f t="shared" si="7"/>
        <v>373751</v>
      </c>
      <c r="I36" s="16">
        <f t="shared" si="7"/>
        <v>57046</v>
      </c>
      <c r="J36" s="16">
        <f t="shared" si="7"/>
        <v>69441</v>
      </c>
      <c r="K36" s="16">
        <f t="shared" si="7"/>
        <v>302385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O36" s="8"/>
    </row>
    <row r="37" spans="1:15" ht="10.5" customHeight="1">
      <c r="A37" s="4" t="s">
        <v>17</v>
      </c>
      <c r="B37" s="3" t="s">
        <v>39</v>
      </c>
      <c r="C37" s="8"/>
      <c r="D37" s="8"/>
      <c r="E37" s="8"/>
      <c r="F37" s="8"/>
      <c r="G37" s="8"/>
      <c r="H37" s="8"/>
      <c r="I37" s="8"/>
      <c r="J37" s="10"/>
      <c r="K37" s="8"/>
      <c r="L37" s="9"/>
      <c r="M37" s="9"/>
      <c r="N37" s="21"/>
      <c r="O37" s="8"/>
    </row>
    <row r="38" spans="1:15" ht="10.5" customHeight="1">
      <c r="A38" s="4" t="s">
        <v>18</v>
      </c>
      <c r="B38" s="3" t="s">
        <v>168</v>
      </c>
      <c r="C38" s="8"/>
      <c r="D38" s="8">
        <v>19</v>
      </c>
      <c r="E38" s="8">
        <v>19</v>
      </c>
      <c r="F38" s="8"/>
      <c r="G38" s="8"/>
      <c r="H38" s="8"/>
      <c r="I38" s="8"/>
      <c r="J38" s="10"/>
      <c r="K38" s="10">
        <v>7</v>
      </c>
      <c r="L38" s="9"/>
      <c r="M38" s="9"/>
      <c r="N38" s="21"/>
      <c r="O38" s="8"/>
    </row>
    <row r="39" spans="1:15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O39" s="9"/>
    </row>
    <row r="40" spans="1:15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19</v>
      </c>
      <c r="E40" s="16">
        <f t="shared" si="8"/>
        <v>19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7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</row>
    <row r="41" spans="1:15" ht="10.5" customHeight="1" thickBot="1">
      <c r="A41" s="30" t="s">
        <v>23</v>
      </c>
      <c r="B41" s="15" t="s">
        <v>29</v>
      </c>
      <c r="C41" s="96">
        <v>377145</v>
      </c>
      <c r="D41" s="96">
        <v>375046</v>
      </c>
      <c r="E41" s="96">
        <v>344975</v>
      </c>
      <c r="F41" s="96">
        <v>514550</v>
      </c>
      <c r="G41" s="107">
        <v>516641</v>
      </c>
      <c r="H41" s="96">
        <v>482477</v>
      </c>
      <c r="I41" s="96">
        <v>2373301</v>
      </c>
      <c r="J41" s="96">
        <v>2403428</v>
      </c>
      <c r="K41" s="96">
        <f>2481260-35846-193835-2550</f>
        <v>2249029</v>
      </c>
      <c r="L41" s="96">
        <v>193835</v>
      </c>
      <c r="M41" s="96">
        <v>193835</v>
      </c>
      <c r="N41" s="96">
        <v>193835</v>
      </c>
      <c r="O41" s="8"/>
    </row>
    <row r="42" spans="1:15" ht="10.5" customHeight="1" thickBot="1">
      <c r="A42" s="30" t="s">
        <v>25</v>
      </c>
      <c r="B42" s="15" t="s">
        <v>171</v>
      </c>
      <c r="C42" s="96">
        <v>0</v>
      </c>
      <c r="D42" s="96">
        <v>97113</v>
      </c>
      <c r="E42" s="96">
        <f>88032-2021</f>
        <v>86011</v>
      </c>
      <c r="F42" s="96">
        <v>0</v>
      </c>
      <c r="G42" s="96">
        <v>11043</v>
      </c>
      <c r="H42" s="96">
        <v>11043</v>
      </c>
      <c r="I42" s="96">
        <v>61364</v>
      </c>
      <c r="J42" s="96">
        <v>316048</v>
      </c>
      <c r="K42" s="96">
        <v>89997</v>
      </c>
      <c r="L42" s="96"/>
      <c r="M42" s="96"/>
      <c r="N42" s="96"/>
      <c r="O42" s="8"/>
    </row>
    <row r="43" spans="1:15" ht="10.5" customHeight="1" thickBot="1">
      <c r="A43" s="30" t="s">
        <v>196</v>
      </c>
      <c r="B43" s="15" t="s">
        <v>197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8"/>
    </row>
    <row r="44" spans="1:14" ht="13.5" thickBot="1">
      <c r="A44" s="14" t="s">
        <v>26</v>
      </c>
      <c r="B44" s="15" t="s">
        <v>41</v>
      </c>
      <c r="C44" s="16">
        <f>SUM(C41:C42)</f>
        <v>377145</v>
      </c>
      <c r="D44" s="16">
        <f aca="true" t="shared" si="9" ref="D44:N44">SUM(D41:D42)</f>
        <v>472159</v>
      </c>
      <c r="E44" s="16">
        <f t="shared" si="9"/>
        <v>430986</v>
      </c>
      <c r="F44" s="16">
        <f t="shared" si="9"/>
        <v>514550</v>
      </c>
      <c r="G44" s="16">
        <f t="shared" si="9"/>
        <v>527684</v>
      </c>
      <c r="H44" s="16">
        <f t="shared" si="9"/>
        <v>493520</v>
      </c>
      <c r="I44" s="16">
        <f t="shared" si="9"/>
        <v>2434665</v>
      </c>
      <c r="J44" s="16">
        <f t="shared" si="9"/>
        <v>2719476</v>
      </c>
      <c r="K44" s="16">
        <f t="shared" si="9"/>
        <v>2339026</v>
      </c>
      <c r="L44" s="16">
        <f t="shared" si="9"/>
        <v>193835</v>
      </c>
      <c r="M44" s="16">
        <f t="shared" si="9"/>
        <v>193835</v>
      </c>
      <c r="N44" s="16">
        <f t="shared" si="9"/>
        <v>193835</v>
      </c>
    </row>
    <row r="45" spans="1:14" ht="12.75">
      <c r="A45" s="89" t="s">
        <v>28</v>
      </c>
      <c r="B45" s="20" t="s">
        <v>32</v>
      </c>
      <c r="C45" s="98">
        <v>29900</v>
      </c>
      <c r="D45" s="98">
        <v>44323</v>
      </c>
      <c r="E45" s="98">
        <v>32171</v>
      </c>
      <c r="F45" s="98">
        <v>30000</v>
      </c>
      <c r="G45" s="98">
        <v>30000</v>
      </c>
      <c r="H45" s="98">
        <v>27919</v>
      </c>
      <c r="I45" s="98">
        <v>10000</v>
      </c>
      <c r="J45" s="98">
        <v>69242</v>
      </c>
      <c r="K45" s="98">
        <v>35846</v>
      </c>
      <c r="L45" s="98"/>
      <c r="M45" s="98"/>
      <c r="N45" s="98"/>
    </row>
    <row r="46" spans="1:14" ht="13.5" thickBot="1">
      <c r="A46" s="89" t="s">
        <v>159</v>
      </c>
      <c r="B46" s="20" t="s">
        <v>172</v>
      </c>
      <c r="C46" s="98">
        <v>0</v>
      </c>
      <c r="D46" s="98">
        <v>2021</v>
      </c>
      <c r="E46" s="98">
        <v>2021</v>
      </c>
      <c r="F46" s="98"/>
      <c r="G46" s="98"/>
      <c r="H46" s="98"/>
      <c r="I46" s="98"/>
      <c r="J46" s="98"/>
      <c r="K46" s="98"/>
      <c r="L46" s="98"/>
      <c r="M46" s="98"/>
      <c r="N46" s="98"/>
    </row>
    <row r="47" spans="1:14" ht="13.5" thickBot="1">
      <c r="A47" s="91" t="s">
        <v>30</v>
      </c>
      <c r="B47" s="92" t="s">
        <v>42</v>
      </c>
      <c r="C47" s="77">
        <f>SUM(C45:C46)</f>
        <v>29900</v>
      </c>
      <c r="D47" s="77">
        <f aca="true" t="shared" si="10" ref="D47:N47">SUM(D45:D46)</f>
        <v>46344</v>
      </c>
      <c r="E47" s="77">
        <f t="shared" si="10"/>
        <v>34192</v>
      </c>
      <c r="F47" s="77">
        <f t="shared" si="10"/>
        <v>30000</v>
      </c>
      <c r="G47" s="77">
        <f t="shared" si="10"/>
        <v>30000</v>
      </c>
      <c r="H47" s="77">
        <f t="shared" si="10"/>
        <v>27919</v>
      </c>
      <c r="I47" s="77">
        <f t="shared" si="10"/>
        <v>10000</v>
      </c>
      <c r="J47" s="77">
        <f t="shared" si="10"/>
        <v>69242</v>
      </c>
      <c r="K47" s="77">
        <f t="shared" si="10"/>
        <v>35846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407045</v>
      </c>
      <c r="D49" s="77">
        <f aca="true" t="shared" si="11" ref="D49:N49">SUM(D47,D44,D48)</f>
        <v>518503</v>
      </c>
      <c r="E49" s="77">
        <f t="shared" si="11"/>
        <v>465178</v>
      </c>
      <c r="F49" s="77">
        <f t="shared" si="11"/>
        <v>544550</v>
      </c>
      <c r="G49" s="77">
        <f t="shared" si="11"/>
        <v>557684</v>
      </c>
      <c r="H49" s="77">
        <f t="shared" si="11"/>
        <v>521439</v>
      </c>
      <c r="I49" s="77">
        <f t="shared" si="11"/>
        <v>2444665</v>
      </c>
      <c r="J49" s="77">
        <f t="shared" si="11"/>
        <v>2788718</v>
      </c>
      <c r="K49" s="77">
        <f t="shared" si="11"/>
        <v>2374872</v>
      </c>
      <c r="L49" s="77">
        <f t="shared" si="11"/>
        <v>193835</v>
      </c>
      <c r="M49" s="77">
        <f t="shared" si="11"/>
        <v>193835</v>
      </c>
      <c r="N49" s="77">
        <f t="shared" si="11"/>
        <v>193835</v>
      </c>
    </row>
    <row r="50" spans="1:14" s="84" customFormat="1" ht="13.5" thickBot="1">
      <c r="A50" s="25"/>
      <c r="B50" s="19" t="s">
        <v>185</v>
      </c>
      <c r="C50" s="9">
        <f>SUM(C49,C40,C36)</f>
        <v>1251885</v>
      </c>
      <c r="D50" s="9">
        <f aca="true" t="shared" si="12" ref="D50:N50">SUM(D49,D40,D36)</f>
        <v>1381580</v>
      </c>
      <c r="E50" s="9">
        <f t="shared" si="12"/>
        <v>1369599</v>
      </c>
      <c r="F50" s="9">
        <f t="shared" si="12"/>
        <v>844550</v>
      </c>
      <c r="G50" s="9">
        <f t="shared" si="12"/>
        <v>931435</v>
      </c>
      <c r="H50" s="9">
        <f t="shared" si="12"/>
        <v>895190</v>
      </c>
      <c r="I50" s="9">
        <f t="shared" si="12"/>
        <v>2501711</v>
      </c>
      <c r="J50" s="9">
        <f t="shared" si="12"/>
        <v>2858159</v>
      </c>
      <c r="K50" s="9">
        <f t="shared" si="12"/>
        <v>2677264</v>
      </c>
      <c r="L50" s="9">
        <f t="shared" si="12"/>
        <v>193835</v>
      </c>
      <c r="M50" s="9">
        <f t="shared" si="12"/>
        <v>193835</v>
      </c>
      <c r="N50" s="9">
        <f t="shared" si="12"/>
        <v>193835</v>
      </c>
    </row>
    <row r="51" spans="1:14" ht="13.5" thickBot="1">
      <c r="A51" s="32"/>
      <c r="B51" s="33" t="s">
        <v>43</v>
      </c>
      <c r="C51" s="51">
        <v>175</v>
      </c>
      <c r="D51" s="51">
        <v>175</v>
      </c>
      <c r="E51" s="51">
        <v>175</v>
      </c>
      <c r="F51" s="51">
        <v>85</v>
      </c>
      <c r="G51" s="51">
        <v>85</v>
      </c>
      <c r="H51" s="51">
        <v>85</v>
      </c>
      <c r="I51" s="51">
        <v>162</v>
      </c>
      <c r="J51" s="51">
        <v>150</v>
      </c>
      <c r="K51" s="51">
        <v>150</v>
      </c>
      <c r="L51" s="35"/>
      <c r="M51" s="35"/>
      <c r="N51" s="36"/>
    </row>
    <row r="52" spans="1:14" ht="13.5" thickBot="1">
      <c r="A52" s="37"/>
      <c r="B52" s="33" t="s">
        <v>44</v>
      </c>
      <c r="C52" s="42"/>
      <c r="D52" s="42"/>
      <c r="E52" s="54"/>
      <c r="F52" s="42"/>
      <c r="G52" s="42"/>
      <c r="H52" s="42"/>
      <c r="I52" s="42"/>
      <c r="J52" s="42"/>
      <c r="K52" s="42"/>
      <c r="L52" s="42"/>
      <c r="M52" s="42"/>
      <c r="N52" s="43"/>
    </row>
    <row r="53" ht="12.75">
      <c r="E53" s="13"/>
    </row>
    <row r="54" spans="5:12" ht="12.75">
      <c r="E54" s="8"/>
      <c r="I54"/>
      <c r="J54" s="55"/>
      <c r="L54" s="49"/>
    </row>
    <row r="55" spans="5:11" ht="12.75">
      <c r="E55" s="8"/>
      <c r="H55" s="8"/>
      <c r="I55" s="8"/>
      <c r="J55" s="8"/>
      <c r="K55" s="8"/>
    </row>
    <row r="56" ht="12.75">
      <c r="J5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92" zoomScaleNormal="92" zoomScalePageLayoutView="0" workbookViewId="0" topLeftCell="A1">
      <pane ySplit="7" topLeftCell="A20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5" width="9.375" style="1" customWidth="1"/>
    <col min="6" max="6" width="10.125" style="1" customWidth="1"/>
    <col min="7" max="8" width="9.375" style="1" customWidth="1"/>
    <col min="9" max="9" width="9.625" style="1" customWidth="1"/>
    <col min="10" max="10" width="9.875" style="1" customWidth="1"/>
    <col min="11" max="11" width="10.125" style="1" customWidth="1"/>
    <col min="12" max="12" width="9.875" style="1" customWidth="1"/>
    <col min="13" max="13" width="10.00390625" style="1" customWidth="1"/>
    <col min="14" max="14" width="9.875" style="1" customWidth="1"/>
    <col min="15" max="15" width="11.875" style="1" customWidth="1"/>
    <col min="16" max="17" width="9.125" style="1" customWidth="1"/>
    <col min="18" max="16384" width="9.125" style="1" customWidth="1"/>
  </cols>
  <sheetData>
    <row r="1" spans="2:14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8.25" customHeight="1" thickBot="1">
      <c r="N2" s="3" t="s">
        <v>0</v>
      </c>
    </row>
    <row r="3" spans="1:14" ht="12.75" customHeight="1" thickBot="1">
      <c r="A3" s="161" t="s">
        <v>1</v>
      </c>
      <c r="B3" s="161"/>
      <c r="C3" s="201">
        <v>4003</v>
      </c>
      <c r="D3" s="201"/>
      <c r="E3" s="201"/>
      <c r="F3" s="208">
        <v>4</v>
      </c>
      <c r="G3" s="208"/>
      <c r="H3" s="208"/>
      <c r="I3" s="209"/>
      <c r="J3" s="209"/>
      <c r="K3" s="209"/>
      <c r="L3" s="208" t="s">
        <v>187</v>
      </c>
      <c r="M3" s="208"/>
      <c r="N3" s="208"/>
    </row>
    <row r="4" spans="1:14" s="4" customFormat="1" ht="35.25" customHeight="1" thickBot="1">
      <c r="A4" s="161"/>
      <c r="B4" s="161"/>
      <c r="C4" s="164" t="s">
        <v>136</v>
      </c>
      <c r="D4" s="164"/>
      <c r="E4" s="164"/>
      <c r="F4" s="196" t="s">
        <v>137</v>
      </c>
      <c r="G4" s="196"/>
      <c r="H4" s="196"/>
      <c r="I4" s="207"/>
      <c r="J4" s="207"/>
      <c r="K4" s="207"/>
      <c r="L4" s="208"/>
      <c r="M4" s="208"/>
      <c r="N4" s="208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6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49"/>
    </row>
    <row r="9" spans="1:16" ht="10.5" customHeight="1">
      <c r="A9" s="4" t="s">
        <v>7</v>
      </c>
      <c r="B9" s="3" t="s">
        <v>8</v>
      </c>
      <c r="C9" s="10"/>
      <c r="D9" s="10"/>
      <c r="E9" s="10"/>
      <c r="F9" s="125">
        <f>'31'!I9+'31'!L9+'32'!C9</f>
        <v>1152387</v>
      </c>
      <c r="G9" s="125">
        <f>'31'!J9+'31'!M9+'32'!D9</f>
        <v>1166928</v>
      </c>
      <c r="H9" s="125">
        <f>'31'!K9+'31'!N9+'32'!E9</f>
        <v>1122236</v>
      </c>
      <c r="I9" s="8"/>
      <c r="J9" s="8"/>
      <c r="K9" s="8"/>
      <c r="L9" s="9">
        <f>'31'!C9+'31'!F9+'32'!F9+I9</f>
        <v>2116428</v>
      </c>
      <c r="M9" s="9">
        <f>'31'!D9+'31'!G9+'32'!G9+J9</f>
        <v>2154972</v>
      </c>
      <c r="N9" s="9">
        <f>'31'!E9+'31'!H9+'32'!H9+K9</f>
        <v>2019047</v>
      </c>
      <c r="P9" s="13"/>
    </row>
    <row r="10" spans="1:16" ht="10.5" customHeight="1">
      <c r="A10" s="4" t="s">
        <v>9</v>
      </c>
      <c r="B10" s="3" t="s">
        <v>153</v>
      </c>
      <c r="C10" s="10"/>
      <c r="D10" s="10"/>
      <c r="E10" s="10"/>
      <c r="F10" s="125">
        <f>'31'!I10+'31'!L10+'32'!C10</f>
        <v>323387</v>
      </c>
      <c r="G10" s="125">
        <f>'31'!J10+'31'!M10+'32'!D10</f>
        <v>327063</v>
      </c>
      <c r="H10" s="125">
        <f>'31'!K10+'31'!N10+'32'!E10</f>
        <v>301016</v>
      </c>
      <c r="I10" s="8"/>
      <c r="J10" s="8"/>
      <c r="K10" s="8"/>
      <c r="L10" s="9">
        <f>'31'!C10+'31'!F10+'32'!F10+I10</f>
        <v>590226</v>
      </c>
      <c r="M10" s="9">
        <f>'31'!D10+'31'!G10+'32'!G10+J10</f>
        <v>604384</v>
      </c>
      <c r="N10" s="9">
        <f>'31'!E10+'31'!H10+'32'!H10+K10</f>
        <v>547401</v>
      </c>
      <c r="P10" s="49"/>
    </row>
    <row r="11" spans="1:16" ht="10.5" customHeight="1">
      <c r="A11" s="4" t="s">
        <v>10</v>
      </c>
      <c r="B11" s="3" t="s">
        <v>12</v>
      </c>
      <c r="C11" s="10"/>
      <c r="D11" s="10"/>
      <c r="E11" s="10"/>
      <c r="F11" s="125">
        <f>'31'!I11+'31'!L11+'32'!C11</f>
        <v>1209772</v>
      </c>
      <c r="G11" s="125">
        <f>'31'!J11+'31'!M11+'32'!D11</f>
        <v>1235366</v>
      </c>
      <c r="H11" s="125">
        <f>'31'!K11+'31'!N11+'32'!E11</f>
        <v>1093090</v>
      </c>
      <c r="I11" s="8"/>
      <c r="J11" s="8"/>
      <c r="K11" s="8"/>
      <c r="L11" s="9">
        <f>'31'!C11+'31'!F11+'32'!F11+I11</f>
        <v>2015427</v>
      </c>
      <c r="M11" s="9">
        <f>'31'!D11+'31'!G11+'32'!G11+J11</f>
        <v>2186529</v>
      </c>
      <c r="N11" s="9">
        <f>'31'!E11+'31'!H11+'32'!H11+K11</f>
        <v>1959386</v>
      </c>
      <c r="O11" s="8"/>
      <c r="P11" s="49"/>
    </row>
    <row r="12" spans="1:16" ht="10.5" customHeight="1">
      <c r="A12" s="4" t="s">
        <v>11</v>
      </c>
      <c r="B12" s="3" t="s">
        <v>14</v>
      </c>
      <c r="C12" s="10"/>
      <c r="D12" s="10"/>
      <c r="E12" s="10"/>
      <c r="F12" s="125">
        <f>'31'!I12+'31'!L12+'32'!C12</f>
        <v>0</v>
      </c>
      <c r="G12" s="125">
        <f>'31'!J12+'31'!M12+'32'!D12</f>
        <v>0</v>
      </c>
      <c r="H12" s="125">
        <f>'31'!K12+'31'!N12+'32'!E12</f>
        <v>0</v>
      </c>
      <c r="I12" s="8"/>
      <c r="J12" s="8"/>
      <c r="K12" s="8"/>
      <c r="L12" s="9">
        <f>'31'!C12+'31'!F12+'32'!F12+I12</f>
        <v>0</v>
      </c>
      <c r="M12" s="9">
        <f>'31'!D12+'31'!G12+'32'!G12+J12</f>
        <v>0</v>
      </c>
      <c r="N12" s="9">
        <f>'31'!E12+'31'!H12+'32'!H12+K12</f>
        <v>0</v>
      </c>
      <c r="O12" s="8"/>
      <c r="P12" s="8"/>
    </row>
    <row r="13" spans="1:15" ht="10.5" customHeight="1" thickBot="1">
      <c r="A13" s="4" t="s">
        <v>13</v>
      </c>
      <c r="B13" s="3" t="s">
        <v>15</v>
      </c>
      <c r="C13" s="10">
        <v>2550</v>
      </c>
      <c r="D13" s="12">
        <v>2550</v>
      </c>
      <c r="E13" s="8">
        <v>2550</v>
      </c>
      <c r="F13" s="125">
        <f>'31'!I13+'31'!L13+'32'!C13</f>
        <v>2550</v>
      </c>
      <c r="G13" s="125">
        <f>'31'!J13+'31'!M13+'32'!D13</f>
        <v>255945</v>
      </c>
      <c r="H13" s="125">
        <f>'31'!K13+'31'!N13+'32'!E13</f>
        <v>255945</v>
      </c>
      <c r="I13" s="8"/>
      <c r="J13" s="8"/>
      <c r="K13" s="8"/>
      <c r="L13" s="9">
        <f>'31'!C13+'31'!F13+'32'!F13+I13</f>
        <v>2550</v>
      </c>
      <c r="M13" s="9">
        <f>'31'!D13+'31'!G13+'32'!G13+J13</f>
        <v>278090</v>
      </c>
      <c r="N13" s="9">
        <f>'31'!E13+'31'!H13+'32'!H13+K13</f>
        <v>278090</v>
      </c>
      <c r="O13" s="8"/>
    </row>
    <row r="14" spans="1:15" s="19" customFormat="1" ht="10.5" customHeight="1" thickBot="1">
      <c r="A14" s="14" t="s">
        <v>16</v>
      </c>
      <c r="B14" s="15" t="s">
        <v>155</v>
      </c>
      <c r="C14" s="16">
        <f>SUM(C9:C13)</f>
        <v>2550</v>
      </c>
      <c r="D14" s="16">
        <f aca="true" t="shared" si="0" ref="D14:M14">SUM(D9:D13)</f>
        <v>2550</v>
      </c>
      <c r="E14" s="16">
        <f t="shared" si="0"/>
        <v>2550</v>
      </c>
      <c r="F14" s="94">
        <f t="shared" si="0"/>
        <v>2688096</v>
      </c>
      <c r="G14" s="94">
        <f t="shared" si="0"/>
        <v>2985302</v>
      </c>
      <c r="H14" s="94">
        <f>SUM(H9:H13)</f>
        <v>2772287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4724631</v>
      </c>
      <c r="M14" s="16">
        <f t="shared" si="0"/>
        <v>5223975</v>
      </c>
      <c r="N14" s="16">
        <f>SUM(N9:N13)</f>
        <v>4803924</v>
      </c>
      <c r="O14" s="9"/>
    </row>
    <row r="15" spans="1:15" s="19" customFormat="1" ht="10.5" customHeight="1">
      <c r="A15" s="4" t="s">
        <v>17</v>
      </c>
      <c r="B15" s="3" t="s">
        <v>154</v>
      </c>
      <c r="C15" s="8"/>
      <c r="D15" s="17"/>
      <c r="E15" s="8"/>
      <c r="F15" s="125">
        <f>'31'!I15+'31'!L15+'32'!C15</f>
        <v>10000</v>
      </c>
      <c r="G15" s="125">
        <f>'31'!J15+'31'!M15+'32'!D15</f>
        <v>69242</v>
      </c>
      <c r="H15" s="125">
        <f>'31'!K15+'31'!N15+'32'!E15</f>
        <v>35846</v>
      </c>
      <c r="I15" s="8"/>
      <c r="J15" s="8"/>
      <c r="K15" s="8"/>
      <c r="L15" s="9">
        <f>'31'!C15+'31'!F15+'32'!F15+I15</f>
        <v>69900</v>
      </c>
      <c r="M15" s="9">
        <f>'31'!D15+'31'!G15+'32'!G15+J15</f>
        <v>143584</v>
      </c>
      <c r="N15" s="9">
        <f>'31'!E15+'31'!H15+'32'!H15+K15</f>
        <v>95936</v>
      </c>
      <c r="O15" s="8"/>
    </row>
    <row r="16" spans="1:15" ht="10.5" customHeight="1">
      <c r="A16" s="4" t="s">
        <v>18</v>
      </c>
      <c r="B16" s="3" t="s">
        <v>19</v>
      </c>
      <c r="C16" s="8"/>
      <c r="D16" s="8"/>
      <c r="E16" s="8"/>
      <c r="F16" s="125">
        <f>'31'!I16+'31'!L16+'32'!C16</f>
        <v>0</v>
      </c>
      <c r="G16" s="125">
        <f>'31'!J16+'31'!M16+'32'!D16</f>
        <v>0</v>
      </c>
      <c r="H16" s="125">
        <f>'31'!K16+'31'!N16+'32'!E16</f>
        <v>0</v>
      </c>
      <c r="I16" s="8"/>
      <c r="J16" s="8"/>
      <c r="K16" s="8"/>
      <c r="L16" s="9">
        <f>'31'!C16+'31'!F16+'32'!F16+I16</f>
        <v>0</v>
      </c>
      <c r="M16" s="9">
        <f>'31'!D16+'31'!G16+'32'!G16+J16</f>
        <v>0</v>
      </c>
      <c r="N16" s="9">
        <f>'31'!E16+'31'!H16+'32'!H16+K16</f>
        <v>0</v>
      </c>
      <c r="O16" s="8"/>
    </row>
    <row r="17" spans="1:15" ht="10.5" customHeight="1" thickBot="1">
      <c r="A17" s="4" t="s">
        <v>20</v>
      </c>
      <c r="B17" s="3" t="s">
        <v>21</v>
      </c>
      <c r="C17" s="8"/>
      <c r="D17" s="8"/>
      <c r="E17" s="8"/>
      <c r="F17" s="125">
        <f>'31'!I17+'31'!L17+'32'!C17</f>
        <v>0</v>
      </c>
      <c r="G17" s="125">
        <f>'31'!J17+'31'!M17+'32'!D17</f>
        <v>0</v>
      </c>
      <c r="H17" s="125">
        <f>'31'!K17+'31'!N17+'32'!E17</f>
        <v>0</v>
      </c>
      <c r="I17" s="8"/>
      <c r="J17" s="8"/>
      <c r="K17" s="8"/>
      <c r="L17" s="9">
        <f>'31'!C17+'31'!F17+'32'!F17+I17</f>
        <v>0</v>
      </c>
      <c r="M17" s="9">
        <f>'31'!D17+'31'!G17+'32'!G17+J17</f>
        <v>0</v>
      </c>
      <c r="N17" s="9">
        <f>'31'!E17+'31'!H17+'32'!H17+K17</f>
        <v>0</v>
      </c>
      <c r="O17" s="8"/>
    </row>
    <row r="18" spans="1:15" s="19" customFormat="1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M18">SUM(D15:D17)</f>
        <v>0</v>
      </c>
      <c r="E18" s="16">
        <f t="shared" si="1"/>
        <v>0</v>
      </c>
      <c r="F18" s="94">
        <f t="shared" si="1"/>
        <v>10000</v>
      </c>
      <c r="G18" s="94">
        <f t="shared" si="1"/>
        <v>69242</v>
      </c>
      <c r="H18" s="94">
        <f>SUM(H15:H17)</f>
        <v>35846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69900</v>
      </c>
      <c r="M18" s="16">
        <f t="shared" si="1"/>
        <v>143584</v>
      </c>
      <c r="N18" s="16">
        <f>SUM(N15:N17)</f>
        <v>95936</v>
      </c>
      <c r="O18" s="9"/>
    </row>
    <row r="19" spans="1:15" ht="10.5" customHeight="1" thickBot="1">
      <c r="A19" s="86" t="s">
        <v>23</v>
      </c>
      <c r="B19" s="15" t="s">
        <v>157</v>
      </c>
      <c r="C19" s="16"/>
      <c r="D19" s="16"/>
      <c r="E19" s="16"/>
      <c r="F19" s="94"/>
      <c r="G19" s="94"/>
      <c r="H19" s="94"/>
      <c r="I19" s="16"/>
      <c r="J19" s="16"/>
      <c r="K19" s="16"/>
      <c r="L19" s="9">
        <f>'31'!C19+'31'!F19+'32'!F19+I19</f>
        <v>0</v>
      </c>
      <c r="M19" s="9">
        <f>'31'!D19+'31'!G19+'32'!G19+J19</f>
        <v>0</v>
      </c>
      <c r="N19" s="9">
        <f>'31'!E19+'31'!H19+'32'!H19+K19</f>
        <v>0</v>
      </c>
      <c r="O19" s="8"/>
    </row>
    <row r="20" spans="1:15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K20">SUM(D19)</f>
        <v>0</v>
      </c>
      <c r="E20" s="16">
        <f t="shared" si="2"/>
        <v>0</v>
      </c>
      <c r="F20" s="94">
        <f t="shared" si="2"/>
        <v>0</v>
      </c>
      <c r="G20" s="94">
        <f t="shared" si="2"/>
        <v>0</v>
      </c>
      <c r="H20" s="94">
        <f>SUM(H19)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77">
        <f>SUM(L19)</f>
        <v>0</v>
      </c>
      <c r="M20" s="77">
        <f>SUM(M19)</f>
        <v>0</v>
      </c>
      <c r="N20" s="77">
        <f>SUM(N19)</f>
        <v>0</v>
      </c>
      <c r="O20" s="8"/>
    </row>
    <row r="21" spans="1:15" ht="10.5" customHeight="1">
      <c r="A21" s="23" t="s">
        <v>28</v>
      </c>
      <c r="B21" s="3" t="s">
        <v>31</v>
      </c>
      <c r="C21" s="21"/>
      <c r="D21" s="21"/>
      <c r="E21" s="21"/>
      <c r="F21" s="100"/>
      <c r="G21" s="100"/>
      <c r="H21" s="100"/>
      <c r="I21" s="21"/>
      <c r="J21" s="21"/>
      <c r="K21" s="21"/>
      <c r="L21" s="9">
        <f>'31'!C21+'31'!F21+'32'!F21+I21</f>
        <v>0</v>
      </c>
      <c r="M21" s="9">
        <f>'31'!D21+'31'!G21+'32'!G21+J21</f>
        <v>0</v>
      </c>
      <c r="N21" s="9">
        <f>'31'!E21+'31'!H21+'32'!H21+K21</f>
        <v>0</v>
      </c>
      <c r="O21" s="8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100"/>
      <c r="G22" s="100"/>
      <c r="H22" s="100"/>
      <c r="I22" s="21"/>
      <c r="J22" s="21"/>
      <c r="K22" s="21"/>
      <c r="L22" s="9">
        <f>'31'!C22+'31'!F22+'32'!F22+I22</f>
        <v>0</v>
      </c>
      <c r="M22" s="9">
        <f>'31'!D22+'31'!G22+'32'!G22+J22</f>
        <v>0</v>
      </c>
      <c r="N22" s="9">
        <f>'31'!E22+'31'!H22+'32'!H22+K22</f>
        <v>0</v>
      </c>
    </row>
    <row r="23" spans="1:15" ht="10.5" customHeight="1" thickBot="1">
      <c r="A23" s="4" t="s">
        <v>160</v>
      </c>
      <c r="B23" s="3" t="s">
        <v>32</v>
      </c>
      <c r="C23" s="8"/>
      <c r="D23" s="8"/>
      <c r="E23" s="8"/>
      <c r="F23" s="125">
        <f>'31'!I23+'31'!L23+'32'!C23</f>
        <v>0</v>
      </c>
      <c r="G23" s="125">
        <f>'31'!J23+'31'!M23+'32'!D23</f>
        <v>0</v>
      </c>
      <c r="H23" s="125">
        <f>'31'!K23+'31'!N23+'32'!E23</f>
        <v>0</v>
      </c>
      <c r="I23" s="8"/>
      <c r="J23" s="8"/>
      <c r="K23" s="8"/>
      <c r="L23" s="9">
        <f>'31'!C23+'31'!F23+'32'!F23+I23</f>
        <v>0</v>
      </c>
      <c r="M23" s="9">
        <f>'31'!D23+'31'!G23+'32'!G23+J23</f>
        <v>0</v>
      </c>
      <c r="N23" s="9">
        <f>'31'!E23+'31'!H23+'32'!H23+K23</f>
        <v>0</v>
      </c>
      <c r="O23" s="8"/>
    </row>
    <row r="24" spans="1:17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M24">SUM(D21:D23)</f>
        <v>0</v>
      </c>
      <c r="E24" s="16">
        <f t="shared" si="3"/>
        <v>0</v>
      </c>
      <c r="F24" s="94">
        <f t="shared" si="3"/>
        <v>0</v>
      </c>
      <c r="G24" s="94">
        <f t="shared" si="3"/>
        <v>0</v>
      </c>
      <c r="H24" s="94">
        <f>SUM(H21:H23)</f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>SUM(N21:N23)</f>
        <v>0</v>
      </c>
      <c r="O24" s="8"/>
      <c r="P24" s="8"/>
      <c r="Q24" s="49"/>
    </row>
    <row r="25" spans="1:17" ht="10.5" customHeight="1" thickBot="1">
      <c r="A25" s="118" t="s">
        <v>184</v>
      </c>
      <c r="B25" s="119" t="s">
        <v>182</v>
      </c>
      <c r="C25" s="50"/>
      <c r="D25" s="50"/>
      <c r="E25" s="50"/>
      <c r="F25" s="126"/>
      <c r="G25" s="126"/>
      <c r="H25" s="126"/>
      <c r="I25" s="50"/>
      <c r="J25" s="50"/>
      <c r="K25" s="50"/>
      <c r="L25" s="50"/>
      <c r="M25" s="50"/>
      <c r="N25" s="50"/>
      <c r="O25" s="8"/>
      <c r="P25" s="8"/>
      <c r="Q25" s="49"/>
    </row>
    <row r="26" spans="1:17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M26">SUM(D20,D24,D25)</f>
        <v>0</v>
      </c>
      <c r="E26" s="77">
        <f t="shared" si="4"/>
        <v>0</v>
      </c>
      <c r="F26" s="102">
        <f t="shared" si="4"/>
        <v>0</v>
      </c>
      <c r="G26" s="102">
        <f t="shared" si="4"/>
        <v>0</v>
      </c>
      <c r="H26" s="102">
        <f>SUM(H20,H24,H25)</f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>SUM(N20,N24,N25)</f>
        <v>0</v>
      </c>
      <c r="O26" s="8"/>
      <c r="P26" s="8"/>
      <c r="Q26" s="49"/>
    </row>
    <row r="27" spans="1:15" s="19" customFormat="1" ht="10.5" customHeight="1" thickBot="1">
      <c r="A27" s="120"/>
      <c r="B27" s="121" t="s">
        <v>183</v>
      </c>
      <c r="C27" s="76">
        <f>SUM(C26,C18,C14)</f>
        <v>2550</v>
      </c>
      <c r="D27" s="76">
        <f aca="true" t="shared" si="5" ref="D27:M27">SUM(D26,D18,D14)</f>
        <v>2550</v>
      </c>
      <c r="E27" s="76">
        <f t="shared" si="5"/>
        <v>2550</v>
      </c>
      <c r="F27" s="127">
        <f t="shared" si="5"/>
        <v>2698096</v>
      </c>
      <c r="G27" s="127">
        <f t="shared" si="5"/>
        <v>3054544</v>
      </c>
      <c r="H27" s="127">
        <f>SUM(H26,H18,H14)</f>
        <v>2808133</v>
      </c>
      <c r="I27" s="76">
        <f t="shared" si="5"/>
        <v>0</v>
      </c>
      <c r="J27" s="76">
        <f t="shared" si="5"/>
        <v>0</v>
      </c>
      <c r="K27" s="76">
        <f t="shared" si="5"/>
        <v>0</v>
      </c>
      <c r="L27" s="76">
        <f t="shared" si="5"/>
        <v>4794531</v>
      </c>
      <c r="M27" s="76">
        <f t="shared" si="5"/>
        <v>5367559</v>
      </c>
      <c r="N27" s="76">
        <f>SUM(N26,N18,N14)</f>
        <v>4899860</v>
      </c>
      <c r="O27" s="9"/>
    </row>
    <row r="28" spans="1:15" ht="10.5" customHeight="1">
      <c r="A28" s="156" t="s">
        <v>33</v>
      </c>
      <c r="B28" s="156"/>
      <c r="C28" s="8"/>
      <c r="D28" s="8"/>
      <c r="E28" s="8"/>
      <c r="F28" s="125"/>
      <c r="G28" s="99"/>
      <c r="H28" s="99"/>
      <c r="I28" s="8"/>
      <c r="J28" s="8"/>
      <c r="K28" s="8"/>
      <c r="L28" s="9">
        <f>'31'!C28+'31'!F28+'32'!F28+I28</f>
        <v>0</v>
      </c>
      <c r="M28" s="9">
        <f>'31'!D28+'31'!G28+'32'!G28+J28</f>
        <v>0</v>
      </c>
      <c r="N28" s="9">
        <f>'31'!E28+'31'!H28+'32'!H28+K28</f>
        <v>0</v>
      </c>
      <c r="O28" s="8"/>
    </row>
    <row r="29" spans="1:15" ht="10.5" customHeight="1">
      <c r="A29" s="4" t="s">
        <v>34</v>
      </c>
      <c r="B29" s="3" t="s">
        <v>162</v>
      </c>
      <c r="C29" s="10"/>
      <c r="D29" s="10"/>
      <c r="E29" s="10"/>
      <c r="F29" s="125">
        <f>'31'!I29+'31'!L29+'32'!C29</f>
        <v>0</v>
      </c>
      <c r="G29" s="125">
        <f>'31'!J29+'31'!M29+'32'!D29</f>
        <v>0</v>
      </c>
      <c r="H29" s="125">
        <f>'31'!K29+'31'!N29+'32'!E29</f>
        <v>0</v>
      </c>
      <c r="I29" s="10"/>
      <c r="J29" s="10"/>
      <c r="K29" s="10"/>
      <c r="L29" s="9">
        <f>'31'!C29+'31'!F29+'32'!F29+I29</f>
        <v>0</v>
      </c>
      <c r="M29" s="9">
        <f>'31'!D29+'31'!G29+'32'!G29+J29</f>
        <v>0</v>
      </c>
      <c r="N29" s="9">
        <f>'31'!E29+'31'!H29+'32'!H29+K29</f>
        <v>0</v>
      </c>
      <c r="O29" s="8"/>
    </row>
    <row r="30" spans="1:15" ht="10.5" customHeight="1">
      <c r="A30" s="4" t="s">
        <v>35</v>
      </c>
      <c r="B30" s="3" t="s">
        <v>163</v>
      </c>
      <c r="C30" s="10"/>
      <c r="D30" s="10"/>
      <c r="E30" s="10"/>
      <c r="F30" s="125">
        <f>'31'!I30+'31'!L30+'32'!C30</f>
        <v>0</v>
      </c>
      <c r="G30" s="125">
        <f>'31'!J30+'31'!M30+'32'!D30</f>
        <v>0</v>
      </c>
      <c r="H30" s="125">
        <f>'31'!K30+'31'!N30+'32'!E30</f>
        <v>0</v>
      </c>
      <c r="I30" s="10"/>
      <c r="J30" s="10"/>
      <c r="K30" s="10"/>
      <c r="L30" s="9">
        <f>'31'!C30+'31'!F30+'32'!F30+I30</f>
        <v>0</v>
      </c>
      <c r="M30" s="9">
        <f>'31'!D30+'31'!G30+'32'!G30+J30</f>
        <v>0</v>
      </c>
      <c r="N30" s="9">
        <f>'31'!E30+'31'!H30+'32'!H30+K30</f>
        <v>0</v>
      </c>
      <c r="O30" s="8"/>
    </row>
    <row r="31" spans="1:15" ht="10.5" customHeight="1">
      <c r="A31" s="4" t="s">
        <v>164</v>
      </c>
      <c r="B31" s="3" t="s">
        <v>165</v>
      </c>
      <c r="C31" s="10"/>
      <c r="D31" s="10"/>
      <c r="E31" s="10"/>
      <c r="F31" s="125">
        <f>'31'!I31+'31'!L31+'32'!C31</f>
        <v>0</v>
      </c>
      <c r="G31" s="125">
        <f>'31'!J31+'31'!M31+'32'!D31</f>
        <v>12395</v>
      </c>
      <c r="H31" s="125">
        <f>'31'!K31+'31'!N31+'32'!E31</f>
        <v>13514</v>
      </c>
      <c r="I31" s="10"/>
      <c r="J31" s="10"/>
      <c r="K31" s="10"/>
      <c r="L31" s="9">
        <f>'31'!C31+'31'!F31+'32'!F31+I31</f>
        <v>734836</v>
      </c>
      <c r="M31" s="9">
        <f>'31'!D31+'31'!G31+'32'!G31+J31</f>
        <v>747231</v>
      </c>
      <c r="N31" s="9">
        <f>'31'!E31+'31'!H31+'32'!H31+K31</f>
        <v>775956</v>
      </c>
      <c r="O31" s="8"/>
    </row>
    <row r="32" spans="1:22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M32">SUM(D29:D31)</f>
        <v>0</v>
      </c>
      <c r="E32" s="29">
        <f t="shared" si="6"/>
        <v>0</v>
      </c>
      <c r="F32" s="101">
        <f t="shared" si="6"/>
        <v>0</v>
      </c>
      <c r="G32" s="101">
        <f t="shared" si="6"/>
        <v>12395</v>
      </c>
      <c r="H32" s="101">
        <f>SUM(H29:H31)</f>
        <v>13514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734836</v>
      </c>
      <c r="M32" s="29">
        <f t="shared" si="6"/>
        <v>747231</v>
      </c>
      <c r="N32" s="29">
        <f>SUM(N29:N31)</f>
        <v>775956</v>
      </c>
      <c r="O32" s="8"/>
      <c r="P32" s="8"/>
      <c r="Q32" s="8"/>
      <c r="R32" s="8"/>
      <c r="S32" s="8"/>
      <c r="T32" s="8"/>
      <c r="U32" s="8"/>
      <c r="V32" s="8"/>
    </row>
    <row r="33" spans="1:22" ht="10.5" customHeight="1">
      <c r="A33" s="4" t="s">
        <v>9</v>
      </c>
      <c r="B33" s="3" t="s">
        <v>36</v>
      </c>
      <c r="C33" s="10"/>
      <c r="D33" s="10"/>
      <c r="E33" s="10"/>
      <c r="F33" s="125">
        <f>'31'!I33+'31'!L33+'32'!C33</f>
        <v>0</v>
      </c>
      <c r="G33" s="125">
        <f>'31'!J33+'31'!M33+'32'!D33</f>
        <v>0</v>
      </c>
      <c r="H33" s="125">
        <f>'31'!K33+'31'!N33+'32'!E33</f>
        <v>4319</v>
      </c>
      <c r="I33" s="8"/>
      <c r="J33" s="10"/>
      <c r="K33" s="8"/>
      <c r="L33" s="9">
        <f>'31'!C33+'31'!F33+'32'!F33+I33</f>
        <v>0</v>
      </c>
      <c r="M33" s="9">
        <f>'31'!D33+'31'!G33+'32'!G33+J33</f>
        <v>0</v>
      </c>
      <c r="N33" s="9">
        <f>'31'!E33+'31'!H33+'32'!H33+K33</f>
        <v>4319</v>
      </c>
      <c r="O33" s="8"/>
      <c r="P33" s="8"/>
      <c r="Q33" s="8"/>
      <c r="R33" s="8"/>
      <c r="S33" s="8"/>
      <c r="T33" s="8"/>
      <c r="U33" s="8"/>
      <c r="V33" s="8"/>
    </row>
    <row r="34" spans="1:22" s="19" customFormat="1" ht="10.5" customHeight="1">
      <c r="A34" s="4" t="s">
        <v>10</v>
      </c>
      <c r="B34" s="3" t="s">
        <v>167</v>
      </c>
      <c r="C34" s="10"/>
      <c r="D34" s="10"/>
      <c r="E34" s="10"/>
      <c r="F34" s="125">
        <f>'31'!I34+'31'!L34+'32'!C34</f>
        <v>57046</v>
      </c>
      <c r="G34" s="125">
        <f>'31'!J34+'31'!M34+'32'!D34</f>
        <v>57046</v>
      </c>
      <c r="H34" s="125">
        <f>'31'!K34+'31'!N34+'32'!E34</f>
        <v>284552</v>
      </c>
      <c r="I34" s="10"/>
      <c r="J34" s="10"/>
      <c r="K34" s="10"/>
      <c r="L34" s="9">
        <f>'31'!C34+'31'!F34+'32'!F34+I34</f>
        <v>467050</v>
      </c>
      <c r="M34" s="9">
        <f>'31'!D34+'31'!G34+'32'!G34+J34</f>
        <v>558979</v>
      </c>
      <c r="N34" s="9">
        <f>'31'!E34+'31'!H34+'32'!H34+K34</f>
        <v>800223</v>
      </c>
      <c r="O34" s="9"/>
      <c r="P34" s="9"/>
      <c r="Q34" s="9"/>
      <c r="R34" s="9"/>
      <c r="S34" s="9"/>
      <c r="T34" s="9"/>
      <c r="U34" s="9"/>
      <c r="V34" s="9"/>
    </row>
    <row r="35" spans="1:22" s="19" customFormat="1" ht="10.5" customHeight="1" thickBot="1">
      <c r="A35" s="4" t="s">
        <v>11</v>
      </c>
      <c r="B35" s="3" t="s">
        <v>37</v>
      </c>
      <c r="C35" s="10"/>
      <c r="D35" s="10"/>
      <c r="E35" s="10"/>
      <c r="F35" s="125">
        <f>'31'!I35+'31'!L35+'32'!C35</f>
        <v>0</v>
      </c>
      <c r="G35" s="125">
        <f>'31'!J35+'31'!M35+'32'!D35</f>
        <v>0</v>
      </c>
      <c r="H35" s="125">
        <f>'31'!K35+'31'!N35+'32'!E35</f>
        <v>0</v>
      </c>
      <c r="I35" s="8"/>
      <c r="J35" s="10"/>
      <c r="K35" s="8"/>
      <c r="L35" s="9">
        <f>'31'!C35+'31'!F35+'32'!F35+I35</f>
        <v>0</v>
      </c>
      <c r="M35" s="9">
        <f>'31'!D35+'31'!G35+'32'!G35+J35</f>
        <v>40</v>
      </c>
      <c r="N35" s="9">
        <f>'31'!E35+'31'!H35+'32'!H35+K35</f>
        <v>40</v>
      </c>
      <c r="O35" s="8"/>
      <c r="P35" s="9"/>
      <c r="Q35" s="9"/>
      <c r="R35" s="9"/>
      <c r="S35" s="9"/>
      <c r="T35" s="9"/>
      <c r="U35" s="9"/>
      <c r="V35" s="9"/>
    </row>
    <row r="36" spans="1:22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M36">SUM(D32:D35)</f>
        <v>0</v>
      </c>
      <c r="E36" s="16">
        <f t="shared" si="7"/>
        <v>0</v>
      </c>
      <c r="F36" s="94">
        <f t="shared" si="7"/>
        <v>57046</v>
      </c>
      <c r="G36" s="94">
        <f t="shared" si="7"/>
        <v>69441</v>
      </c>
      <c r="H36" s="94">
        <f>SUM(H32:H35)</f>
        <v>302385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1201886</v>
      </c>
      <c r="M36" s="16">
        <f t="shared" si="7"/>
        <v>1306250</v>
      </c>
      <c r="N36" s="16">
        <f>SUM(N32:N35)</f>
        <v>1580538</v>
      </c>
      <c r="O36" s="8"/>
      <c r="Q36" s="8"/>
      <c r="R36" s="8"/>
      <c r="S36" s="8"/>
      <c r="T36" s="8"/>
      <c r="U36" s="8"/>
      <c r="V36" s="8"/>
    </row>
    <row r="37" spans="1:22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125">
        <f>'31'!I37+'31'!L37+'32'!C37</f>
        <v>0</v>
      </c>
      <c r="G37" s="125">
        <f>'31'!J37+'31'!M37+'32'!D37</f>
        <v>0</v>
      </c>
      <c r="H37" s="125">
        <f>'31'!K37+'31'!N37+'32'!E37</f>
        <v>0</v>
      </c>
      <c r="I37" s="8"/>
      <c r="J37" s="10"/>
      <c r="K37" s="8"/>
      <c r="L37" s="9">
        <f>'31'!C37+'31'!F37+'32'!F37+I37</f>
        <v>0</v>
      </c>
      <c r="M37" s="9">
        <f>'31'!D37+'31'!G37+'32'!G37+J37</f>
        <v>0</v>
      </c>
      <c r="N37" s="9">
        <f>'31'!E37+'31'!H37+'32'!H37+K37</f>
        <v>0</v>
      </c>
      <c r="O37" s="8"/>
      <c r="P37" s="8"/>
      <c r="Q37" s="8"/>
      <c r="R37" s="8"/>
      <c r="S37" s="8"/>
      <c r="T37" s="8"/>
      <c r="U37" s="8"/>
      <c r="V37" s="8"/>
    </row>
    <row r="38" spans="1:22" ht="10.5" customHeight="1">
      <c r="A38" s="4" t="s">
        <v>18</v>
      </c>
      <c r="B38" s="3" t="s">
        <v>168</v>
      </c>
      <c r="C38" s="8"/>
      <c r="D38" s="8"/>
      <c r="E38" s="8"/>
      <c r="F38" s="125">
        <f>'31'!I38+'31'!L38+'32'!C38</f>
        <v>0</v>
      </c>
      <c r="G38" s="125">
        <f>'31'!J38+'31'!M38+'32'!D38</f>
        <v>0</v>
      </c>
      <c r="H38" s="125">
        <f>'31'!K38+'31'!N38+'32'!E38</f>
        <v>7</v>
      </c>
      <c r="I38" s="8"/>
      <c r="J38" s="10"/>
      <c r="K38" s="10"/>
      <c r="L38" s="9">
        <f>'31'!C38+'31'!F38+'32'!F38+I38</f>
        <v>0</v>
      </c>
      <c r="M38" s="9">
        <f>'31'!D38+'31'!G38+'32'!G38+J38</f>
        <v>19</v>
      </c>
      <c r="N38" s="9">
        <f>'31'!E38+'31'!H38+'32'!H38+K38</f>
        <v>26</v>
      </c>
      <c r="O38" s="8"/>
      <c r="P38" s="8"/>
      <c r="Q38" s="8"/>
      <c r="R38" s="8"/>
      <c r="S38" s="8"/>
      <c r="T38" s="8"/>
      <c r="U38" s="8"/>
      <c r="V38" s="8"/>
    </row>
    <row r="39" spans="1:22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125">
        <f>'31'!I39+'31'!L39+'32'!C39</f>
        <v>0</v>
      </c>
      <c r="G39" s="125">
        <f>'31'!J39+'31'!M39+'32'!D39</f>
        <v>0</v>
      </c>
      <c r="H39" s="125">
        <f>'31'!K39+'31'!N39+'32'!E39</f>
        <v>0</v>
      </c>
      <c r="I39" s="8"/>
      <c r="J39" s="8"/>
      <c r="K39" s="8"/>
      <c r="L39" s="9">
        <f>'31'!C39+'31'!F39+'32'!F39+I39</f>
        <v>0</v>
      </c>
      <c r="M39" s="9">
        <f>'31'!D39+'31'!G39+'32'!G39+J39</f>
        <v>0</v>
      </c>
      <c r="N39" s="9">
        <f>'31'!E39+'31'!H39+'32'!H39+K39</f>
        <v>0</v>
      </c>
      <c r="O39" s="9"/>
      <c r="P39" s="9"/>
      <c r="Q39" s="9"/>
      <c r="R39" s="9"/>
      <c r="S39" s="9"/>
      <c r="T39" s="9"/>
      <c r="U39" s="9"/>
      <c r="V39" s="9"/>
    </row>
    <row r="40" spans="1:22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M40">SUM(D37:D39)</f>
        <v>0</v>
      </c>
      <c r="E40" s="16">
        <f t="shared" si="8"/>
        <v>0</v>
      </c>
      <c r="F40" s="94">
        <f t="shared" si="8"/>
        <v>0</v>
      </c>
      <c r="G40" s="94">
        <f t="shared" si="8"/>
        <v>0</v>
      </c>
      <c r="H40" s="94">
        <f>SUM(H37:H39)</f>
        <v>7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19</v>
      </c>
      <c r="N40" s="16">
        <f>SUM(N37:N39)</f>
        <v>26</v>
      </c>
      <c r="O40" s="8"/>
      <c r="P40" s="8"/>
      <c r="Q40" s="8"/>
      <c r="R40" s="8"/>
      <c r="S40" s="8"/>
      <c r="T40" s="8"/>
      <c r="U40" s="8"/>
      <c r="V40" s="8"/>
    </row>
    <row r="41" spans="1:22" ht="10.5" customHeight="1" thickBot="1">
      <c r="A41" s="30" t="s">
        <v>23</v>
      </c>
      <c r="B41" s="15" t="s">
        <v>29</v>
      </c>
      <c r="C41" s="107">
        <v>2550</v>
      </c>
      <c r="D41" s="96">
        <v>2550</v>
      </c>
      <c r="E41" s="96">
        <v>2550</v>
      </c>
      <c r="F41" s="100">
        <f>'31'!I41+'31'!L41+'32'!C41</f>
        <v>2569686</v>
      </c>
      <c r="G41" s="125">
        <f>'31'!J41+'31'!M41+'32'!D41</f>
        <v>2599813</v>
      </c>
      <c r="H41" s="125">
        <f>'31'!K41+'31'!N41+'32'!E41</f>
        <v>2445414</v>
      </c>
      <c r="I41" s="50"/>
      <c r="J41" s="50"/>
      <c r="K41" s="50"/>
      <c r="L41" s="9">
        <f>'31'!C41+'31'!F41+'32'!F41+I41</f>
        <v>3461381</v>
      </c>
      <c r="M41" s="9">
        <f>'31'!D41+'31'!G41+'32'!G41+J41</f>
        <v>3491500</v>
      </c>
      <c r="N41" s="9">
        <f>'31'!E41+'31'!H41+'32'!H41+K41</f>
        <v>3272866</v>
      </c>
      <c r="O41" s="8"/>
      <c r="P41" s="8"/>
      <c r="Q41" s="8"/>
      <c r="R41" s="8"/>
      <c r="S41" s="8"/>
      <c r="T41" s="8"/>
      <c r="U41" s="8"/>
      <c r="V41" s="8"/>
    </row>
    <row r="42" spans="1:22" ht="10.5" customHeight="1" thickBot="1">
      <c r="A42" s="30" t="s">
        <v>25</v>
      </c>
      <c r="B42" s="15" t="s">
        <v>171</v>
      </c>
      <c r="C42" s="16"/>
      <c r="D42" s="16"/>
      <c r="E42" s="16"/>
      <c r="F42" s="94">
        <f>'31'!I42+'31'!L42+'32'!C42</f>
        <v>61364</v>
      </c>
      <c r="G42" s="112">
        <f>'31'!J42+'31'!M42+'32'!D42</f>
        <v>316048</v>
      </c>
      <c r="H42" s="112">
        <f>'31'!K42+'31'!N42+'32'!E42</f>
        <v>89997</v>
      </c>
      <c r="I42" s="16"/>
      <c r="J42" s="16"/>
      <c r="K42" s="16"/>
      <c r="L42" s="77">
        <f>'31'!C42+'31'!F42+'32'!F42+I42</f>
        <v>61364</v>
      </c>
      <c r="M42" s="77">
        <f>'31'!D42+'31'!G42+'32'!G42+J42</f>
        <v>424204</v>
      </c>
      <c r="N42" s="77">
        <f>'31'!E42+'31'!H42+'32'!H42+K42</f>
        <v>187051</v>
      </c>
      <c r="O42" s="8"/>
      <c r="P42" s="8"/>
      <c r="Q42" s="8"/>
      <c r="R42" s="8"/>
      <c r="S42" s="8"/>
      <c r="T42" s="8"/>
      <c r="U42" s="8"/>
      <c r="V42" s="8"/>
    </row>
    <row r="43" spans="1:22" ht="10.5" customHeight="1" thickBot="1">
      <c r="A43" s="30" t="s">
        <v>196</v>
      </c>
      <c r="B43" s="15" t="s">
        <v>197</v>
      </c>
      <c r="C43" s="16"/>
      <c r="D43" s="16"/>
      <c r="E43" s="16"/>
      <c r="F43" s="94"/>
      <c r="G43" s="112"/>
      <c r="H43" s="112"/>
      <c r="I43" s="16"/>
      <c r="J43" s="16"/>
      <c r="K43" s="16"/>
      <c r="L43" s="21"/>
      <c r="M43" s="21"/>
      <c r="N43" s="21"/>
      <c r="O43" s="8"/>
      <c r="P43" s="8"/>
      <c r="Q43" s="8"/>
      <c r="R43" s="8"/>
      <c r="S43" s="8"/>
      <c r="T43" s="8"/>
      <c r="U43" s="8"/>
      <c r="V43" s="8"/>
    </row>
    <row r="44" spans="1:17" ht="13.5" thickBot="1">
      <c r="A44" s="14" t="s">
        <v>26</v>
      </c>
      <c r="B44" s="15" t="s">
        <v>41</v>
      </c>
      <c r="C44" s="16">
        <f>SUM(C41:C42)</f>
        <v>2550</v>
      </c>
      <c r="D44" s="16">
        <f aca="true" t="shared" si="9" ref="D44:M44">SUM(D41:D42)</f>
        <v>2550</v>
      </c>
      <c r="E44" s="16">
        <f t="shared" si="9"/>
        <v>2550</v>
      </c>
      <c r="F44" s="94">
        <f t="shared" si="9"/>
        <v>2631050</v>
      </c>
      <c r="G44" s="94">
        <f t="shared" si="9"/>
        <v>2915861</v>
      </c>
      <c r="H44" s="94">
        <f>SUM(H41:H42)</f>
        <v>2535411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3522745</v>
      </c>
      <c r="M44" s="16">
        <f t="shared" si="9"/>
        <v>3915704</v>
      </c>
      <c r="N44" s="16">
        <f>SUM(N41:N42)</f>
        <v>3459917</v>
      </c>
      <c r="Q44" s="8"/>
    </row>
    <row r="45" spans="1:14" ht="13.5" thickBot="1">
      <c r="A45" s="106" t="s">
        <v>28</v>
      </c>
      <c r="B45" s="15" t="s">
        <v>32</v>
      </c>
      <c r="C45" s="16"/>
      <c r="D45" s="16"/>
      <c r="E45" s="16"/>
      <c r="F45" s="112">
        <f>'31'!I45+'31'!L45+'32'!C45</f>
        <v>10000</v>
      </c>
      <c r="G45" s="112">
        <f>'31'!J45+'31'!M45+'32'!D45</f>
        <v>69242</v>
      </c>
      <c r="H45" s="112">
        <f>'31'!K45+'31'!N45+'32'!E45</f>
        <v>35846</v>
      </c>
      <c r="I45" s="16"/>
      <c r="J45" s="16"/>
      <c r="K45" s="16"/>
      <c r="L45" s="77">
        <f>'31'!C45+'31'!F45+'32'!F45+I45</f>
        <v>69900</v>
      </c>
      <c r="M45" s="77">
        <f>'31'!D45+'31'!G45+'32'!G45+J45</f>
        <v>143565</v>
      </c>
      <c r="N45" s="77">
        <f>'31'!E45+'31'!H45+'32'!H45+K45</f>
        <v>95936</v>
      </c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100"/>
      <c r="G46" s="125"/>
      <c r="H46" s="125"/>
      <c r="I46" s="21"/>
      <c r="J46" s="21"/>
      <c r="K46" s="21"/>
      <c r="L46" s="90">
        <f>'31'!C46+'31'!F46+'32'!F46+I46</f>
        <v>0</v>
      </c>
      <c r="M46" s="77">
        <f>'31'!D46+'31'!G46+'32'!G46+J46</f>
        <v>2021</v>
      </c>
      <c r="N46" s="77">
        <f>'31'!E46+'31'!H46+'32'!H46+K46</f>
        <v>2021</v>
      </c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M47">SUM(D45:D46)</f>
        <v>0</v>
      </c>
      <c r="E47" s="77">
        <f t="shared" si="10"/>
        <v>0</v>
      </c>
      <c r="F47" s="102">
        <f t="shared" si="10"/>
        <v>10000</v>
      </c>
      <c r="G47" s="102">
        <f t="shared" si="10"/>
        <v>69242</v>
      </c>
      <c r="H47" s="102">
        <f>SUM(H45:H46)</f>
        <v>35846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69900</v>
      </c>
      <c r="M47" s="77">
        <f t="shared" si="10"/>
        <v>145586</v>
      </c>
      <c r="N47" s="77">
        <f>SUM(N45:N46)</f>
        <v>97957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100"/>
      <c r="G48" s="100"/>
      <c r="H48" s="100"/>
      <c r="I48" s="21"/>
      <c r="J48" s="21"/>
      <c r="K48" s="21"/>
      <c r="L48" s="90"/>
      <c r="M48" s="90"/>
      <c r="N48" s="90"/>
    </row>
    <row r="49" spans="1:14" ht="13.5" thickBot="1">
      <c r="A49" s="91" t="s">
        <v>178</v>
      </c>
      <c r="B49" s="92" t="s">
        <v>180</v>
      </c>
      <c r="C49" s="77">
        <f>SUM(C47,C44,C48)</f>
        <v>2550</v>
      </c>
      <c r="D49" s="77">
        <f aca="true" t="shared" si="11" ref="D49:M49">SUM(D47,D44,D48)</f>
        <v>2550</v>
      </c>
      <c r="E49" s="77">
        <f t="shared" si="11"/>
        <v>2550</v>
      </c>
      <c r="F49" s="102">
        <f t="shared" si="11"/>
        <v>2641050</v>
      </c>
      <c r="G49" s="102">
        <f t="shared" si="11"/>
        <v>2985103</v>
      </c>
      <c r="H49" s="102">
        <f>SUM(H47,H44,H48)</f>
        <v>2571257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3592645</v>
      </c>
      <c r="M49" s="77">
        <f t="shared" si="11"/>
        <v>4061290</v>
      </c>
      <c r="N49" s="77">
        <f>SUM(N47,N44,N48)</f>
        <v>3557874</v>
      </c>
    </row>
    <row r="50" spans="1:15" s="84" customFormat="1" ht="13.5" thickBot="1">
      <c r="A50" s="25"/>
      <c r="B50" s="19" t="s">
        <v>185</v>
      </c>
      <c r="C50" s="9">
        <f>SUM(C49,C40,C36)</f>
        <v>2550</v>
      </c>
      <c r="D50" s="9">
        <f aca="true" t="shared" si="12" ref="D50:M50">SUM(D49,D40,D36)</f>
        <v>2550</v>
      </c>
      <c r="E50" s="9">
        <f t="shared" si="12"/>
        <v>2550</v>
      </c>
      <c r="F50" s="99">
        <f t="shared" si="12"/>
        <v>2698096</v>
      </c>
      <c r="G50" s="99">
        <f t="shared" si="12"/>
        <v>3054544</v>
      </c>
      <c r="H50" s="99">
        <f>SUM(H49,H40,H36)</f>
        <v>2873649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4794531</v>
      </c>
      <c r="M50" s="9">
        <f t="shared" si="12"/>
        <v>5367559</v>
      </c>
      <c r="N50" s="9">
        <f>SUM(N49,N40,N36)</f>
        <v>5138438</v>
      </c>
      <c r="O50" s="82"/>
    </row>
    <row r="51" spans="1:14" ht="13.5" thickBot="1">
      <c r="A51" s="32"/>
      <c r="B51" s="33" t="s">
        <v>43</v>
      </c>
      <c r="C51" s="34"/>
      <c r="D51" s="34"/>
      <c r="E51" s="34"/>
      <c r="F51" s="128">
        <f>'31'!I51+'31'!L51+'32'!C51</f>
        <v>162</v>
      </c>
      <c r="G51" s="128">
        <f>'31'!J51+'31'!M51+'32'!D51</f>
        <v>150</v>
      </c>
      <c r="H51" s="128">
        <f>'31'!K51+'31'!N51+'32'!E51</f>
        <v>150</v>
      </c>
      <c r="I51" s="34"/>
      <c r="J51" s="34"/>
      <c r="K51" s="34"/>
      <c r="L51" s="35">
        <f>'31'!C51+'31'!F51+'32'!F51</f>
        <v>422</v>
      </c>
      <c r="M51" s="35">
        <f>'31'!D51+'31'!G51+'32'!G51</f>
        <v>410</v>
      </c>
      <c r="N51" s="35">
        <f>'31'!E51+'31'!H51+'32'!H51</f>
        <v>410</v>
      </c>
    </row>
    <row r="52" spans="1:14" ht="13.5" thickBot="1">
      <c r="A52" s="37"/>
      <c r="B52" s="33" t="s">
        <v>44</v>
      </c>
      <c r="C52" s="42"/>
      <c r="D52" s="42"/>
      <c r="E52" s="42"/>
      <c r="F52" s="104"/>
      <c r="G52" s="104"/>
      <c r="H52" s="104"/>
      <c r="I52" s="42"/>
      <c r="J52" s="42"/>
      <c r="K52" s="42"/>
      <c r="L52" s="42"/>
      <c r="M52" s="42"/>
      <c r="N52" s="42"/>
    </row>
    <row r="54" spans="8:13" ht="12.75">
      <c r="H54" s="8"/>
      <c r="I54"/>
      <c r="J54" s="55"/>
      <c r="M54" s="8"/>
    </row>
    <row r="55" spans="3:13" ht="12.75">
      <c r="C55" s="53"/>
      <c r="F55" s="8"/>
      <c r="G55" s="8"/>
      <c r="H55" s="8"/>
      <c r="I55"/>
      <c r="J55" s="55"/>
      <c r="L55" s="8"/>
      <c r="M55" s="8"/>
    </row>
    <row r="56" ht="12.75">
      <c r="J56" s="8"/>
    </row>
  </sheetData>
  <sheetProtection selectLockedCells="1" selectUnlockedCells="1"/>
  <mergeCells count="24">
    <mergeCell ref="F4:H4"/>
    <mergeCell ref="I4:K4"/>
    <mergeCell ref="F5:F6"/>
    <mergeCell ref="G5:G6"/>
    <mergeCell ref="I5:I6"/>
    <mergeCell ref="J5:J6"/>
    <mergeCell ref="B1:N1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8:B28"/>
    <mergeCell ref="L5:L6"/>
    <mergeCell ref="M5:M6"/>
    <mergeCell ref="A7:B7"/>
    <mergeCell ref="H5:H6"/>
    <mergeCell ref="D5:D6"/>
    <mergeCell ref="E5:E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P56"/>
  <sheetViews>
    <sheetView tabSelected="1" zoomScale="92" zoomScaleNormal="92" zoomScalePageLayoutView="0" workbookViewId="0" topLeftCell="A1">
      <pane ySplit="7" topLeftCell="A8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0" width="9.875" style="1" customWidth="1"/>
    <col min="11" max="11" width="10.125" style="1" customWidth="1"/>
    <col min="12" max="12" width="9.875" style="1" customWidth="1"/>
    <col min="13" max="13" width="10.00390625" style="1" customWidth="1"/>
    <col min="14" max="14" width="9.875" style="1" customWidth="1"/>
    <col min="15" max="15" width="11.875" style="1" customWidth="1"/>
    <col min="16" max="16" width="0" style="1" hidden="1" customWidth="1"/>
    <col min="17" max="16384" width="9.125" style="1" customWidth="1"/>
  </cols>
  <sheetData>
    <row r="1" spans="2:14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8.25" customHeight="1" thickBot="1">
      <c r="N2" s="3" t="s">
        <v>0</v>
      </c>
    </row>
    <row r="3" spans="1:14" ht="9" customHeight="1" thickBot="1">
      <c r="A3" s="161" t="s">
        <v>1</v>
      </c>
      <c r="B3" s="161"/>
      <c r="C3" s="201">
        <v>5001</v>
      </c>
      <c r="D3" s="201"/>
      <c r="E3" s="201"/>
      <c r="F3" s="205">
        <v>5002</v>
      </c>
      <c r="G3" s="206"/>
      <c r="H3" s="201"/>
      <c r="I3" s="201">
        <v>5003</v>
      </c>
      <c r="J3" s="201"/>
      <c r="K3" s="201"/>
      <c r="L3" s="210">
        <v>5004</v>
      </c>
      <c r="M3" s="211"/>
      <c r="N3" s="212"/>
    </row>
    <row r="4" spans="1:14" s="4" customFormat="1" ht="31.5" customHeight="1" thickBot="1">
      <c r="A4" s="161"/>
      <c r="B4" s="161"/>
      <c r="C4" s="164" t="s">
        <v>138</v>
      </c>
      <c r="D4" s="164"/>
      <c r="E4" s="164"/>
      <c r="F4" s="197" t="s">
        <v>139</v>
      </c>
      <c r="G4" s="197"/>
      <c r="H4" s="197"/>
      <c r="I4" s="195" t="s">
        <v>140</v>
      </c>
      <c r="J4" s="195"/>
      <c r="K4" s="195"/>
      <c r="L4" s="197" t="s">
        <v>141</v>
      </c>
      <c r="M4" s="197"/>
      <c r="N4" s="197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6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49"/>
    </row>
    <row r="9" spans="1:16" ht="10.5" customHeight="1">
      <c r="A9" s="4" t="s">
        <v>7</v>
      </c>
      <c r="B9" s="3" t="s">
        <v>8</v>
      </c>
      <c r="C9" s="10">
        <v>89339</v>
      </c>
      <c r="D9" s="10">
        <v>96978</v>
      </c>
      <c r="E9" s="10">
        <v>94243</v>
      </c>
      <c r="F9" s="10">
        <v>283281</v>
      </c>
      <c r="G9" s="10">
        <v>339130</v>
      </c>
      <c r="H9" s="10">
        <v>317993</v>
      </c>
      <c r="I9" s="10">
        <v>74876</v>
      </c>
      <c r="J9" s="10">
        <v>76498</v>
      </c>
      <c r="K9" s="10">
        <v>76439</v>
      </c>
      <c r="L9" s="10">
        <v>46449</v>
      </c>
      <c r="M9" s="10">
        <v>48045</v>
      </c>
      <c r="N9" s="10">
        <v>47381</v>
      </c>
      <c r="O9" s="8"/>
      <c r="P9" s="13"/>
    </row>
    <row r="10" spans="1:16" ht="10.5" customHeight="1">
      <c r="A10" s="4" t="s">
        <v>9</v>
      </c>
      <c r="B10" s="3" t="s">
        <v>153</v>
      </c>
      <c r="C10" s="10">
        <v>26231</v>
      </c>
      <c r="D10" s="10">
        <v>28183</v>
      </c>
      <c r="E10" s="10">
        <v>26783</v>
      </c>
      <c r="F10" s="10">
        <v>83116</v>
      </c>
      <c r="G10" s="10">
        <v>95039</v>
      </c>
      <c r="H10" s="10">
        <v>85549</v>
      </c>
      <c r="I10" s="10">
        <v>16325</v>
      </c>
      <c r="J10" s="10">
        <v>21328</v>
      </c>
      <c r="K10" s="10">
        <v>21225</v>
      </c>
      <c r="L10" s="10">
        <v>13410</v>
      </c>
      <c r="M10" s="10">
        <v>13801</v>
      </c>
      <c r="N10" s="10">
        <v>12795</v>
      </c>
      <c r="O10" s="8"/>
      <c r="P10" s="49"/>
    </row>
    <row r="11" spans="1:16" ht="10.5" customHeight="1">
      <c r="A11" s="4" t="s">
        <v>10</v>
      </c>
      <c r="B11" s="3" t="s">
        <v>12</v>
      </c>
      <c r="C11" s="10">
        <v>38930</v>
      </c>
      <c r="D11" s="10">
        <v>54332</v>
      </c>
      <c r="E11" s="10">
        <f>34005+1</f>
        <v>34006</v>
      </c>
      <c r="F11" s="10">
        <v>194570</v>
      </c>
      <c r="G11" s="10">
        <v>209079</v>
      </c>
      <c r="H11" s="10">
        <v>205706</v>
      </c>
      <c r="I11" s="10">
        <v>23450</v>
      </c>
      <c r="J11" s="10">
        <v>25494</v>
      </c>
      <c r="K11" s="10">
        <v>21765</v>
      </c>
      <c r="L11" s="10">
        <v>18260</v>
      </c>
      <c r="M11" s="8">
        <v>19436</v>
      </c>
      <c r="N11" s="10">
        <v>16866</v>
      </c>
      <c r="O11" s="8"/>
      <c r="P11" s="49"/>
    </row>
    <row r="12" spans="1:16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10"/>
      <c r="O12" s="8"/>
      <c r="P12" s="8"/>
    </row>
    <row r="13" spans="1:15" ht="10.5" customHeight="1" thickBot="1">
      <c r="A13" s="4" t="s">
        <v>13</v>
      </c>
      <c r="B13" s="3" t="s">
        <v>15</v>
      </c>
      <c r="C13" s="8">
        <v>0</v>
      </c>
      <c r="D13" s="12">
        <v>16050</v>
      </c>
      <c r="E13" s="8">
        <v>16050</v>
      </c>
      <c r="F13" s="8">
        <v>0</v>
      </c>
      <c r="G13" s="8">
        <v>11289</v>
      </c>
      <c r="H13" s="8">
        <v>11289</v>
      </c>
      <c r="I13" s="8">
        <v>0</v>
      </c>
      <c r="J13" s="8">
        <v>2507</v>
      </c>
      <c r="K13" s="8">
        <v>2507</v>
      </c>
      <c r="L13" s="8">
        <v>0</v>
      </c>
      <c r="M13" s="8">
        <v>6046</v>
      </c>
      <c r="N13" s="8">
        <v>6046</v>
      </c>
      <c r="O13" s="8"/>
    </row>
    <row r="14" spans="1:15" s="19" customFormat="1" ht="10.5" customHeight="1" thickBot="1">
      <c r="A14" s="14" t="s">
        <v>16</v>
      </c>
      <c r="B14" s="15" t="s">
        <v>155</v>
      </c>
      <c r="C14" s="16">
        <f>SUM(C9:C13)</f>
        <v>154500</v>
      </c>
      <c r="D14" s="16">
        <f aca="true" t="shared" si="0" ref="D14:N14">SUM(D9:D13)</f>
        <v>195543</v>
      </c>
      <c r="E14" s="16">
        <f t="shared" si="0"/>
        <v>171082</v>
      </c>
      <c r="F14" s="16">
        <f t="shared" si="0"/>
        <v>560967</v>
      </c>
      <c r="G14" s="16">
        <f t="shared" si="0"/>
        <v>654537</v>
      </c>
      <c r="H14" s="16">
        <f t="shared" si="0"/>
        <v>620537</v>
      </c>
      <c r="I14" s="16">
        <f t="shared" si="0"/>
        <v>114651</v>
      </c>
      <c r="J14" s="16">
        <f t="shared" si="0"/>
        <v>125827</v>
      </c>
      <c r="K14" s="16">
        <f t="shared" si="0"/>
        <v>121936</v>
      </c>
      <c r="L14" s="16">
        <f t="shared" si="0"/>
        <v>78119</v>
      </c>
      <c r="M14" s="16">
        <f t="shared" si="0"/>
        <v>87328</v>
      </c>
      <c r="N14" s="16">
        <f t="shared" si="0"/>
        <v>83088</v>
      </c>
      <c r="O14" s="9"/>
    </row>
    <row r="15" spans="1:15" s="19" customFormat="1" ht="10.5" customHeight="1">
      <c r="A15" s="4" t="s">
        <v>17</v>
      </c>
      <c r="B15" s="3" t="s">
        <v>154</v>
      </c>
      <c r="C15" s="8">
        <v>150</v>
      </c>
      <c r="D15" s="8">
        <v>2316</v>
      </c>
      <c r="E15" s="8">
        <v>2316</v>
      </c>
      <c r="F15" s="8">
        <v>1000</v>
      </c>
      <c r="G15" s="8">
        <v>1000</v>
      </c>
      <c r="H15" s="8">
        <v>805</v>
      </c>
      <c r="I15" s="8">
        <v>400</v>
      </c>
      <c r="J15" s="8">
        <v>491</v>
      </c>
      <c r="K15" s="8">
        <v>491</v>
      </c>
      <c r="L15" s="8">
        <v>150</v>
      </c>
      <c r="M15" s="8">
        <v>753</v>
      </c>
      <c r="N15" s="18">
        <v>753</v>
      </c>
      <c r="O15" s="8"/>
    </row>
    <row r="16" spans="1:15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  <c r="O16" s="8"/>
    </row>
    <row r="17" spans="1:15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  <c r="O17" s="8"/>
    </row>
    <row r="18" spans="1:15" s="19" customFormat="1" ht="10.5" customHeight="1" thickBot="1">
      <c r="A18" s="14" t="s">
        <v>22</v>
      </c>
      <c r="B18" s="15" t="s">
        <v>156</v>
      </c>
      <c r="C18" s="16">
        <f>SUM(C15:C17)</f>
        <v>150</v>
      </c>
      <c r="D18" s="16">
        <f aca="true" t="shared" si="1" ref="D18:N18">SUM(D15:D17)</f>
        <v>2316</v>
      </c>
      <c r="E18" s="16">
        <f t="shared" si="1"/>
        <v>2316</v>
      </c>
      <c r="F18" s="16">
        <f t="shared" si="1"/>
        <v>1000</v>
      </c>
      <c r="G18" s="16">
        <f t="shared" si="1"/>
        <v>1000</v>
      </c>
      <c r="H18" s="16">
        <f t="shared" si="1"/>
        <v>805</v>
      </c>
      <c r="I18" s="16">
        <f t="shared" si="1"/>
        <v>400</v>
      </c>
      <c r="J18" s="16">
        <f t="shared" si="1"/>
        <v>491</v>
      </c>
      <c r="K18" s="16">
        <f t="shared" si="1"/>
        <v>491</v>
      </c>
      <c r="L18" s="16">
        <f t="shared" si="1"/>
        <v>150</v>
      </c>
      <c r="M18" s="16">
        <f t="shared" si="1"/>
        <v>753</v>
      </c>
      <c r="N18" s="16">
        <f t="shared" si="1"/>
        <v>753</v>
      </c>
      <c r="O18" s="9"/>
    </row>
    <row r="19" spans="1:15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8"/>
    </row>
    <row r="20" spans="1:15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O20" s="8"/>
    </row>
    <row r="21" spans="1:15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8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5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  <c r="O23" s="8"/>
    </row>
    <row r="24" spans="1:16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O24" s="8"/>
      <c r="P24" s="8"/>
    </row>
    <row r="25" spans="1:16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8"/>
      <c r="P25" s="8"/>
    </row>
    <row r="26" spans="1:16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  <c r="O26" s="8"/>
      <c r="P26" s="8"/>
    </row>
    <row r="27" spans="1:15" s="19" customFormat="1" ht="10.5" customHeight="1">
      <c r="A27" s="25"/>
      <c r="B27" s="19" t="s">
        <v>183</v>
      </c>
      <c r="C27" s="9">
        <f>SUM(C26,C18,C14)</f>
        <v>154650</v>
      </c>
      <c r="D27" s="9">
        <f aca="true" t="shared" si="5" ref="D27:N27">SUM(D26,D18,D14)</f>
        <v>197859</v>
      </c>
      <c r="E27" s="9">
        <f t="shared" si="5"/>
        <v>173398</v>
      </c>
      <c r="F27" s="9">
        <f t="shared" si="5"/>
        <v>561967</v>
      </c>
      <c r="G27" s="9">
        <f t="shared" si="5"/>
        <v>655537</v>
      </c>
      <c r="H27" s="9">
        <f t="shared" si="5"/>
        <v>621342</v>
      </c>
      <c r="I27" s="9">
        <f t="shared" si="5"/>
        <v>115051</v>
      </c>
      <c r="J27" s="9">
        <f t="shared" si="5"/>
        <v>126318</v>
      </c>
      <c r="K27" s="9">
        <f t="shared" si="5"/>
        <v>122427</v>
      </c>
      <c r="L27" s="9">
        <f t="shared" si="5"/>
        <v>78269</v>
      </c>
      <c r="M27" s="9">
        <f t="shared" si="5"/>
        <v>88081</v>
      </c>
      <c r="N27" s="9">
        <f t="shared" si="5"/>
        <v>83841</v>
      </c>
      <c r="O27" s="9"/>
    </row>
    <row r="28" spans="1:15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O28" s="8"/>
    </row>
    <row r="29" spans="1:15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  <c r="O29" s="8"/>
    </row>
    <row r="30" spans="1:15" ht="10.5" customHeight="1">
      <c r="A30" s="4" t="s">
        <v>35</v>
      </c>
      <c r="B30" s="3" t="s">
        <v>163</v>
      </c>
      <c r="C30" s="10"/>
      <c r="D30" s="10"/>
      <c r="E30" s="10">
        <f>16300-16300</f>
        <v>0</v>
      </c>
      <c r="F30" s="10"/>
      <c r="G30" s="10"/>
      <c r="H30" s="10">
        <f>11833-11833</f>
        <v>0</v>
      </c>
      <c r="I30" s="10"/>
      <c r="J30" s="10"/>
      <c r="K30" s="10">
        <f>2424-2424</f>
        <v>0</v>
      </c>
      <c r="L30" s="10"/>
      <c r="M30" s="10"/>
      <c r="N30" s="26">
        <f>5261-5261</f>
        <v>0</v>
      </c>
      <c r="O30" s="8"/>
    </row>
    <row r="31" spans="1:15" ht="10.5" customHeight="1">
      <c r="A31" s="4" t="s">
        <v>164</v>
      </c>
      <c r="B31" s="3" t="s">
        <v>165</v>
      </c>
      <c r="C31" s="10"/>
      <c r="D31" s="10"/>
      <c r="E31" s="10"/>
      <c r="F31" s="10">
        <v>0</v>
      </c>
      <c r="G31" s="10">
        <v>62580</v>
      </c>
      <c r="H31" s="10">
        <v>42947</v>
      </c>
      <c r="I31" s="10"/>
      <c r="J31" s="10"/>
      <c r="K31" s="10"/>
      <c r="L31" s="10"/>
      <c r="M31" s="10"/>
      <c r="N31" s="26"/>
      <c r="O31" s="8"/>
    </row>
    <row r="32" spans="1:16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62580</v>
      </c>
      <c r="H32" s="29">
        <f t="shared" si="6"/>
        <v>42947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O32" s="8"/>
      <c r="P32" s="8"/>
    </row>
    <row r="33" spans="1:16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  <c r="O33" s="8"/>
      <c r="P33" s="8"/>
    </row>
    <row r="34" spans="1:16" s="19" customFormat="1" ht="10.5" customHeight="1">
      <c r="A34" s="4" t="s">
        <v>10</v>
      </c>
      <c r="B34" s="3" t="s">
        <v>167</v>
      </c>
      <c r="C34" s="10">
        <v>7905</v>
      </c>
      <c r="D34" s="10">
        <v>8075</v>
      </c>
      <c r="E34" s="10">
        <f>7874+1+16300</f>
        <v>24175</v>
      </c>
      <c r="F34" s="10">
        <v>49071</v>
      </c>
      <c r="G34" s="10">
        <v>49213</v>
      </c>
      <c r="H34" s="10">
        <f>56116+1+11833</f>
        <v>67950</v>
      </c>
      <c r="I34" s="10">
        <v>6600</v>
      </c>
      <c r="J34" s="10">
        <v>6600</v>
      </c>
      <c r="K34" s="10">
        <f>6644+2424</f>
        <v>9068</v>
      </c>
      <c r="L34" s="8">
        <v>4300</v>
      </c>
      <c r="M34" s="18">
        <v>4300</v>
      </c>
      <c r="N34" s="18">
        <f>4610+5261</f>
        <v>9871</v>
      </c>
      <c r="O34" s="9"/>
      <c r="P34" s="9"/>
    </row>
    <row r="35" spans="1:16" s="19" customFormat="1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  <c r="O35" s="8"/>
      <c r="P35" s="9"/>
    </row>
    <row r="36" spans="1:15" ht="10.5" customHeight="1" thickBot="1">
      <c r="A36" s="14" t="s">
        <v>16</v>
      </c>
      <c r="B36" s="15" t="s">
        <v>169</v>
      </c>
      <c r="C36" s="16">
        <f>SUM(C32:C35)</f>
        <v>7905</v>
      </c>
      <c r="D36" s="16">
        <f aca="true" t="shared" si="7" ref="D36:N36">SUM(D32:D35)</f>
        <v>8075</v>
      </c>
      <c r="E36" s="16">
        <f t="shared" si="7"/>
        <v>24175</v>
      </c>
      <c r="F36" s="16">
        <f t="shared" si="7"/>
        <v>49071</v>
      </c>
      <c r="G36" s="16">
        <f t="shared" si="7"/>
        <v>111793</v>
      </c>
      <c r="H36" s="16">
        <f t="shared" si="7"/>
        <v>110897</v>
      </c>
      <c r="I36" s="16">
        <f t="shared" si="7"/>
        <v>6600</v>
      </c>
      <c r="J36" s="16">
        <f t="shared" si="7"/>
        <v>6600</v>
      </c>
      <c r="K36" s="16">
        <f t="shared" si="7"/>
        <v>9068</v>
      </c>
      <c r="L36" s="16">
        <f t="shared" si="7"/>
        <v>4300</v>
      </c>
      <c r="M36" s="16">
        <f t="shared" si="7"/>
        <v>4300</v>
      </c>
      <c r="N36" s="16">
        <f t="shared" si="7"/>
        <v>9871</v>
      </c>
      <c r="O36" s="8"/>
    </row>
    <row r="37" spans="1:16" ht="10.5" customHeight="1">
      <c r="A37" s="4" t="s">
        <v>17</v>
      </c>
      <c r="B37" s="3" t="s">
        <v>39</v>
      </c>
      <c r="C37" s="8"/>
      <c r="D37" s="8"/>
      <c r="E37" s="8"/>
      <c r="F37" s="8"/>
      <c r="G37" s="8"/>
      <c r="H37" s="8"/>
      <c r="I37" s="8"/>
      <c r="J37" s="10"/>
      <c r="K37" s="8"/>
      <c r="L37" s="8"/>
      <c r="M37" s="8"/>
      <c r="N37" s="18"/>
      <c r="O37" s="8"/>
      <c r="P37" s="8"/>
    </row>
    <row r="38" spans="1:16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  <c r="O38" s="8"/>
      <c r="P38" s="8"/>
    </row>
    <row r="39" spans="1:16" s="19" customFormat="1" ht="10.5" customHeight="1" thickBot="1">
      <c r="A39" s="4" t="s">
        <v>20</v>
      </c>
      <c r="B39" s="3" t="s">
        <v>40</v>
      </c>
      <c r="C39" s="8">
        <v>0</v>
      </c>
      <c r="D39" s="8">
        <v>400</v>
      </c>
      <c r="E39" s="8">
        <v>0</v>
      </c>
      <c r="F39" s="8"/>
      <c r="G39" s="8"/>
      <c r="H39" s="8"/>
      <c r="I39" s="8"/>
      <c r="J39" s="8"/>
      <c r="K39" s="8"/>
      <c r="L39" s="8"/>
      <c r="M39" s="8"/>
      <c r="N39" s="18"/>
      <c r="O39" s="9"/>
      <c r="P39" s="9"/>
    </row>
    <row r="40" spans="1:16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400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</row>
    <row r="41" spans="1:16" ht="10.5" customHeight="1" thickBot="1">
      <c r="A41" s="30" t="s">
        <v>23</v>
      </c>
      <c r="B41" s="15" t="s">
        <v>29</v>
      </c>
      <c r="C41" s="16">
        <v>146595</v>
      </c>
      <c r="D41" s="16">
        <v>169613</v>
      </c>
      <c r="E41" s="16">
        <f>148911+1</f>
        <v>148912</v>
      </c>
      <c r="F41" s="16">
        <v>511896</v>
      </c>
      <c r="G41" s="16">
        <v>521026</v>
      </c>
      <c r="H41" s="16">
        <v>513485</v>
      </c>
      <c r="I41" s="16">
        <v>108051</v>
      </c>
      <c r="J41" s="56">
        <v>114655</v>
      </c>
      <c r="K41" s="16">
        <v>113187</v>
      </c>
      <c r="L41" s="16">
        <v>73819</v>
      </c>
      <c r="M41" s="16">
        <v>76097</v>
      </c>
      <c r="N41" s="16">
        <v>73756</v>
      </c>
      <c r="O41" s="8"/>
      <c r="P41" s="8"/>
    </row>
    <row r="42" spans="1:16" ht="10.5" customHeight="1" thickBot="1">
      <c r="A42" s="30" t="s">
        <v>25</v>
      </c>
      <c r="B42" s="15" t="s">
        <v>171</v>
      </c>
      <c r="C42" s="16">
        <v>0</v>
      </c>
      <c r="D42" s="16">
        <v>17455</v>
      </c>
      <c r="E42" s="16">
        <v>1405</v>
      </c>
      <c r="F42" s="16">
        <v>0</v>
      </c>
      <c r="G42" s="16">
        <v>21718</v>
      </c>
      <c r="H42" s="16">
        <v>10429</v>
      </c>
      <c r="I42" s="16">
        <v>0</v>
      </c>
      <c r="J42" s="16">
        <v>4572</v>
      </c>
      <c r="K42" s="16">
        <v>2065</v>
      </c>
      <c r="L42" s="16">
        <v>0</v>
      </c>
      <c r="M42" s="16">
        <v>6931</v>
      </c>
      <c r="N42" s="16">
        <v>885</v>
      </c>
      <c r="O42" s="8"/>
      <c r="P42" s="8"/>
    </row>
    <row r="43" spans="1:16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</row>
    <row r="44" spans="1:14" ht="13.5" thickBot="1">
      <c r="A44" s="14" t="s">
        <v>26</v>
      </c>
      <c r="B44" s="15" t="s">
        <v>41</v>
      </c>
      <c r="C44" s="16">
        <f>SUM(C41:C42)</f>
        <v>146595</v>
      </c>
      <c r="D44" s="16">
        <f aca="true" t="shared" si="9" ref="D44:N44">SUM(D41:D42)</f>
        <v>187068</v>
      </c>
      <c r="E44" s="16">
        <f t="shared" si="9"/>
        <v>150317</v>
      </c>
      <c r="F44" s="16">
        <f t="shared" si="9"/>
        <v>511896</v>
      </c>
      <c r="G44" s="16">
        <f t="shared" si="9"/>
        <v>542744</v>
      </c>
      <c r="H44" s="16">
        <f t="shared" si="9"/>
        <v>523914</v>
      </c>
      <c r="I44" s="16">
        <f t="shared" si="9"/>
        <v>108051</v>
      </c>
      <c r="J44" s="16">
        <f t="shared" si="9"/>
        <v>119227</v>
      </c>
      <c r="K44" s="16">
        <f t="shared" si="9"/>
        <v>115252</v>
      </c>
      <c r="L44" s="16">
        <f t="shared" si="9"/>
        <v>73819</v>
      </c>
      <c r="M44" s="16">
        <v>83028</v>
      </c>
      <c r="N44" s="16">
        <f t="shared" si="9"/>
        <v>74641</v>
      </c>
    </row>
    <row r="45" spans="1:14" ht="12.75">
      <c r="A45" s="89" t="s">
        <v>28</v>
      </c>
      <c r="B45" s="20" t="s">
        <v>32</v>
      </c>
      <c r="C45" s="21">
        <v>150</v>
      </c>
      <c r="D45" s="98">
        <v>2316</v>
      </c>
      <c r="E45" s="98">
        <v>2316</v>
      </c>
      <c r="F45" s="21">
        <v>1000</v>
      </c>
      <c r="G45" s="21">
        <v>1000</v>
      </c>
      <c r="H45" s="98">
        <v>805</v>
      </c>
      <c r="I45" s="98">
        <v>400</v>
      </c>
      <c r="J45" s="98">
        <v>491</v>
      </c>
      <c r="K45" s="98">
        <v>491</v>
      </c>
      <c r="L45" s="98">
        <v>150</v>
      </c>
      <c r="M45" s="98">
        <v>753</v>
      </c>
      <c r="N45" s="98">
        <v>753</v>
      </c>
    </row>
    <row r="46" spans="1:14" ht="13.5" thickBot="1">
      <c r="A46" s="89" t="s">
        <v>159</v>
      </c>
      <c r="B46" s="20" t="s">
        <v>172</v>
      </c>
      <c r="C46" s="21"/>
      <c r="D46" s="21"/>
      <c r="E46" s="98"/>
      <c r="F46" s="21"/>
      <c r="G46" s="21"/>
      <c r="H46" s="98"/>
      <c r="I46" s="21"/>
      <c r="J46" s="21"/>
      <c r="K46" s="98"/>
      <c r="L46" s="21"/>
      <c r="M46" s="21"/>
      <c r="N46" s="98"/>
    </row>
    <row r="47" spans="1:14" ht="13.5" thickBot="1">
      <c r="A47" s="91" t="s">
        <v>30</v>
      </c>
      <c r="B47" s="92" t="s">
        <v>42</v>
      </c>
      <c r="C47" s="77">
        <f aca="true" t="shared" si="10" ref="C47:N47">SUM(C45:C46)</f>
        <v>150</v>
      </c>
      <c r="D47" s="77">
        <f t="shared" si="10"/>
        <v>2316</v>
      </c>
      <c r="E47" s="77">
        <f t="shared" si="10"/>
        <v>2316</v>
      </c>
      <c r="F47" s="77">
        <f t="shared" si="10"/>
        <v>1000</v>
      </c>
      <c r="G47" s="77">
        <f t="shared" si="10"/>
        <v>1000</v>
      </c>
      <c r="H47" s="77">
        <f t="shared" si="10"/>
        <v>805</v>
      </c>
      <c r="I47" s="77">
        <f t="shared" si="10"/>
        <v>400</v>
      </c>
      <c r="J47" s="77">
        <f t="shared" si="10"/>
        <v>491</v>
      </c>
      <c r="K47" s="77">
        <f t="shared" si="10"/>
        <v>491</v>
      </c>
      <c r="L47" s="77">
        <f t="shared" si="10"/>
        <v>150</v>
      </c>
      <c r="M47" s="77">
        <f t="shared" si="10"/>
        <v>753</v>
      </c>
      <c r="N47" s="77">
        <f t="shared" si="10"/>
        <v>753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146745</v>
      </c>
      <c r="D49" s="77">
        <f aca="true" t="shared" si="11" ref="D49:N49">SUM(D47,D44,D48)</f>
        <v>189384</v>
      </c>
      <c r="E49" s="77">
        <f t="shared" si="11"/>
        <v>152633</v>
      </c>
      <c r="F49" s="77">
        <f t="shared" si="11"/>
        <v>512896</v>
      </c>
      <c r="G49" s="77">
        <f t="shared" si="11"/>
        <v>543744</v>
      </c>
      <c r="H49" s="77">
        <f t="shared" si="11"/>
        <v>524719</v>
      </c>
      <c r="I49" s="77">
        <f t="shared" si="11"/>
        <v>108451</v>
      </c>
      <c r="J49" s="77">
        <f t="shared" si="11"/>
        <v>119718</v>
      </c>
      <c r="K49" s="77">
        <f t="shared" si="11"/>
        <v>115743</v>
      </c>
      <c r="L49" s="77">
        <f t="shared" si="11"/>
        <v>73969</v>
      </c>
      <c r="M49" s="77">
        <f t="shared" si="11"/>
        <v>83781</v>
      </c>
      <c r="N49" s="77">
        <f t="shared" si="11"/>
        <v>75394</v>
      </c>
    </row>
    <row r="50" spans="1:14" s="84" customFormat="1" ht="13.5" thickBot="1">
      <c r="A50" s="25"/>
      <c r="B50" s="19" t="s">
        <v>185</v>
      </c>
      <c r="C50" s="9">
        <f>SUM(C49,C40,C36)</f>
        <v>154650</v>
      </c>
      <c r="D50" s="9">
        <f aca="true" t="shared" si="12" ref="D50:N50">SUM(D49,D40,D36)</f>
        <v>197859</v>
      </c>
      <c r="E50" s="9">
        <f t="shared" si="12"/>
        <v>176808</v>
      </c>
      <c r="F50" s="9">
        <f t="shared" si="12"/>
        <v>561967</v>
      </c>
      <c r="G50" s="9">
        <f t="shared" si="12"/>
        <v>655537</v>
      </c>
      <c r="H50" s="9">
        <f t="shared" si="12"/>
        <v>635616</v>
      </c>
      <c r="I50" s="9">
        <f t="shared" si="12"/>
        <v>115051</v>
      </c>
      <c r="J50" s="9">
        <f t="shared" si="12"/>
        <v>126318</v>
      </c>
      <c r="K50" s="9">
        <f t="shared" si="12"/>
        <v>124811</v>
      </c>
      <c r="L50" s="9">
        <f t="shared" si="12"/>
        <v>78269</v>
      </c>
      <c r="M50" s="9">
        <f t="shared" si="12"/>
        <v>88081</v>
      </c>
      <c r="N50" s="9">
        <f t="shared" si="12"/>
        <v>85265</v>
      </c>
    </row>
    <row r="51" spans="1:14" ht="13.5" thickBot="1">
      <c r="A51" s="32"/>
      <c r="B51" s="33" t="s">
        <v>43</v>
      </c>
      <c r="C51" s="57">
        <v>40</v>
      </c>
      <c r="D51" s="57">
        <v>40</v>
      </c>
      <c r="E51" s="57">
        <v>40</v>
      </c>
      <c r="F51" s="57">
        <v>83</v>
      </c>
      <c r="G51" s="57">
        <v>85</v>
      </c>
      <c r="H51" s="57">
        <v>85</v>
      </c>
      <c r="I51" s="57">
        <v>26</v>
      </c>
      <c r="J51" s="57">
        <v>26</v>
      </c>
      <c r="K51" s="57">
        <v>26</v>
      </c>
      <c r="L51" s="57">
        <v>17</v>
      </c>
      <c r="M51" s="57">
        <v>17</v>
      </c>
      <c r="N51" s="58">
        <v>17</v>
      </c>
    </row>
    <row r="52" spans="1:14" ht="13.5" thickBot="1">
      <c r="A52" s="37"/>
      <c r="B52" s="33" t="s">
        <v>44</v>
      </c>
      <c r="C52" s="42"/>
      <c r="D52" s="42"/>
      <c r="E52" s="42"/>
      <c r="F52" s="42">
        <v>15</v>
      </c>
      <c r="G52" s="42">
        <v>15</v>
      </c>
      <c r="H52" s="57">
        <v>15</v>
      </c>
      <c r="I52" s="42"/>
      <c r="J52" s="42"/>
      <c r="K52" s="42"/>
      <c r="L52" s="42"/>
      <c r="M52" s="42"/>
      <c r="N52" s="43"/>
    </row>
    <row r="53" ht="12.75">
      <c r="E53" s="8"/>
    </row>
    <row r="54" spans="4:10" ht="12.75">
      <c r="D54" s="8"/>
      <c r="I54" s="55"/>
      <c r="J54" s="55"/>
    </row>
    <row r="55" spans="3:13" ht="12.75">
      <c r="C55" s="8"/>
      <c r="D55" s="8"/>
      <c r="F55" s="8"/>
      <c r="G55" s="8"/>
      <c r="I55" s="55"/>
      <c r="J55" s="55"/>
      <c r="L55" s="8"/>
      <c r="M55" s="8"/>
    </row>
    <row r="56" ht="12.75">
      <c r="J5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tabSelected="1" zoomScale="92" zoomScaleNormal="92" zoomScalePageLayoutView="0" workbookViewId="0" topLeftCell="A1">
      <pane ySplit="7" topLeftCell="A26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0" width="9.875" style="1" customWidth="1"/>
    <col min="11" max="11" width="10.125" style="1" customWidth="1"/>
    <col min="12" max="12" width="9.875" style="1" customWidth="1"/>
    <col min="13" max="13" width="10.00390625" style="1" customWidth="1"/>
    <col min="14" max="14" width="9.875" style="1" customWidth="1"/>
    <col min="15" max="16384" width="9.125" style="1" customWidth="1"/>
  </cols>
  <sheetData>
    <row r="1" spans="2:14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8.25" customHeight="1" thickBot="1">
      <c r="N2" s="3" t="s">
        <v>0</v>
      </c>
    </row>
    <row r="3" spans="1:14" ht="9" customHeight="1" thickBot="1">
      <c r="A3" s="213" t="s">
        <v>1</v>
      </c>
      <c r="B3" s="213"/>
      <c r="C3" s="205">
        <v>5005</v>
      </c>
      <c r="D3" s="206"/>
      <c r="E3" s="201"/>
      <c r="F3" s="205">
        <v>5006</v>
      </c>
      <c r="G3" s="206"/>
      <c r="H3" s="201"/>
      <c r="I3" s="208" t="s">
        <v>142</v>
      </c>
      <c r="J3" s="208"/>
      <c r="K3" s="208"/>
      <c r="L3" s="205">
        <v>5</v>
      </c>
      <c r="M3" s="206"/>
      <c r="N3" s="201"/>
    </row>
    <row r="4" spans="1:14" s="4" customFormat="1" ht="41.25" customHeight="1" thickBot="1">
      <c r="A4" s="213"/>
      <c r="B4" s="213"/>
      <c r="C4" s="207" t="s">
        <v>143</v>
      </c>
      <c r="D4" s="207"/>
      <c r="E4" s="207"/>
      <c r="F4" s="210" t="s">
        <v>144</v>
      </c>
      <c r="G4" s="211"/>
      <c r="H4" s="212"/>
      <c r="I4" s="208"/>
      <c r="J4" s="208"/>
      <c r="K4" s="208"/>
      <c r="L4" s="208" t="s">
        <v>188</v>
      </c>
      <c r="M4" s="208"/>
      <c r="N4" s="208"/>
    </row>
    <row r="5" spans="1:14" ht="11.25" customHeight="1" thickBot="1">
      <c r="A5" s="213"/>
      <c r="B5" s="213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213"/>
      <c r="B6" s="213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>
        <v>81741</v>
      </c>
      <c r="D9" s="10">
        <v>83630</v>
      </c>
      <c r="E9" s="10">
        <v>79425</v>
      </c>
      <c r="F9" s="10">
        <v>68543</v>
      </c>
      <c r="G9" s="10">
        <v>69665</v>
      </c>
      <c r="H9" s="10">
        <v>65752</v>
      </c>
      <c r="I9" s="99">
        <f>'33'!I9+'33'!L9+'34'!C9+'34'!F9</f>
        <v>271609</v>
      </c>
      <c r="J9" s="99">
        <f>'33'!J9+'33'!M9+'34'!D9+'34'!G9</f>
        <v>277838</v>
      </c>
      <c r="K9" s="99">
        <f>'33'!K9+'33'!N9+'34'!E9+'34'!H9</f>
        <v>268997</v>
      </c>
      <c r="L9" s="99">
        <f>SUM('33'!C9+'33'!F9+'34'!I9)</f>
        <v>644229</v>
      </c>
      <c r="M9" s="99">
        <f>SUM('33'!D9+'33'!G9+'34'!J9)</f>
        <v>713946</v>
      </c>
      <c r="N9" s="99">
        <f>SUM('33'!E9+'33'!H9+'34'!K9)</f>
        <v>681233</v>
      </c>
    </row>
    <row r="10" spans="1:14" ht="10.5" customHeight="1">
      <c r="A10" s="4" t="s">
        <v>9</v>
      </c>
      <c r="B10" s="3" t="s">
        <v>153</v>
      </c>
      <c r="C10" s="10">
        <v>24200</v>
      </c>
      <c r="D10" s="10">
        <v>24716</v>
      </c>
      <c r="E10" s="10">
        <f>24615-1</f>
        <v>24614</v>
      </c>
      <c r="F10" s="10">
        <v>20006</v>
      </c>
      <c r="G10" s="10">
        <v>20211</v>
      </c>
      <c r="H10" s="10">
        <v>17823</v>
      </c>
      <c r="I10" s="99">
        <f>'33'!I10+'33'!L10+'34'!C10+'34'!F10</f>
        <v>73941</v>
      </c>
      <c r="J10" s="99">
        <f>'33'!J10+'33'!M10+'34'!D10+'34'!G10</f>
        <v>80056</v>
      </c>
      <c r="K10" s="99">
        <f>'33'!K10+'33'!N10+'34'!E10+'34'!H10</f>
        <v>76457</v>
      </c>
      <c r="L10" s="99">
        <f>SUM('33'!C10+'33'!F10+'34'!I10)</f>
        <v>183288</v>
      </c>
      <c r="M10" s="99">
        <f>SUM('33'!D10+'33'!G10+'34'!J10)</f>
        <v>203278</v>
      </c>
      <c r="N10" s="99">
        <f>SUM('33'!E10+'33'!H10+'34'!K10)</f>
        <v>188789</v>
      </c>
    </row>
    <row r="11" spans="1:14" ht="10.5" customHeight="1">
      <c r="A11" s="4" t="s">
        <v>10</v>
      </c>
      <c r="B11" s="3" t="s">
        <v>12</v>
      </c>
      <c r="C11" s="10">
        <v>27884</v>
      </c>
      <c r="D11" s="10">
        <v>30405</v>
      </c>
      <c r="E11" s="10">
        <v>24534</v>
      </c>
      <c r="F11" s="10">
        <v>21652</v>
      </c>
      <c r="G11" s="10">
        <v>23648</v>
      </c>
      <c r="H11" s="10">
        <v>16833</v>
      </c>
      <c r="I11" s="99">
        <f>'33'!I11+'33'!L11+'34'!C11+'34'!F11</f>
        <v>91246</v>
      </c>
      <c r="J11" s="99">
        <f>'33'!J11+'33'!M11+'34'!D11+'34'!G11</f>
        <v>98983</v>
      </c>
      <c r="K11" s="99">
        <f>'33'!K11+'33'!N11+'34'!E11+'34'!H11</f>
        <v>79998</v>
      </c>
      <c r="L11" s="99">
        <f>SUM('33'!C11+'33'!F11+'34'!I11)</f>
        <v>324746</v>
      </c>
      <c r="M11" s="99">
        <f>SUM('33'!D11+'33'!G11+'34'!J11)</f>
        <v>362394</v>
      </c>
      <c r="N11" s="99">
        <f>SUM('33'!E11+'33'!H11+'34'!K11)</f>
        <v>319710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>
        <v>0</v>
      </c>
      <c r="H12" s="10">
        <v>0</v>
      </c>
      <c r="I12" s="99">
        <f>'33'!I12+'33'!L12+'34'!C12+'34'!F12</f>
        <v>0</v>
      </c>
      <c r="J12" s="99">
        <f>'33'!J12+'33'!M12+'34'!D12+'34'!G12</f>
        <v>0</v>
      </c>
      <c r="K12" s="99">
        <f>'33'!K12+'33'!N12+'34'!E12+'34'!H12</f>
        <v>0</v>
      </c>
      <c r="L12" s="99">
        <f>SUM('33'!C12+'33'!F12+'34'!I12)</f>
        <v>0</v>
      </c>
      <c r="M12" s="99">
        <f>SUM('33'!D12+'33'!G12+'34'!J12)</f>
        <v>0</v>
      </c>
      <c r="N12" s="99">
        <f>SUM('33'!E12+'33'!H12+'34'!K12)</f>
        <v>0</v>
      </c>
    </row>
    <row r="13" spans="1:14" ht="10.5" customHeight="1" thickBot="1">
      <c r="A13" s="4" t="s">
        <v>13</v>
      </c>
      <c r="B13" s="3" t="s">
        <v>15</v>
      </c>
      <c r="C13" s="8">
        <v>0</v>
      </c>
      <c r="D13" s="12">
        <v>7680</v>
      </c>
      <c r="E13" s="8">
        <v>7680</v>
      </c>
      <c r="F13" s="8">
        <v>0</v>
      </c>
      <c r="G13" s="8">
        <v>6962</v>
      </c>
      <c r="H13" s="8">
        <v>6962</v>
      </c>
      <c r="I13" s="99">
        <f>'33'!I13+'33'!L13+'34'!C13+'34'!F13</f>
        <v>0</v>
      </c>
      <c r="J13" s="99">
        <f>'33'!J13+'33'!M13+'34'!D13+'34'!G13</f>
        <v>23195</v>
      </c>
      <c r="K13" s="99">
        <f>'33'!K13+'33'!N13+'34'!E13+'34'!H13</f>
        <v>23195</v>
      </c>
      <c r="L13" s="99">
        <f>SUM('33'!C13+'33'!F13+'34'!I13)</f>
        <v>0</v>
      </c>
      <c r="M13" s="99">
        <f>SUM('33'!D13+'33'!G13+'34'!J13)</f>
        <v>50534</v>
      </c>
      <c r="N13" s="99">
        <f>SUM('33'!E13+'33'!H13+'34'!K13)</f>
        <v>50534</v>
      </c>
    </row>
    <row r="14" spans="1:14" s="19" customFormat="1" ht="10.5" customHeight="1" thickBot="1">
      <c r="A14" s="14" t="s">
        <v>16</v>
      </c>
      <c r="B14" s="15" t="s">
        <v>155</v>
      </c>
      <c r="C14" s="16">
        <f>SUM(C9:C13)</f>
        <v>133825</v>
      </c>
      <c r="D14" s="16">
        <f aca="true" t="shared" si="0" ref="D14:M14">SUM(D9:D13)</f>
        <v>146431</v>
      </c>
      <c r="E14" s="16">
        <f t="shared" si="0"/>
        <v>136253</v>
      </c>
      <c r="F14" s="16">
        <f t="shared" si="0"/>
        <v>110201</v>
      </c>
      <c r="G14" s="16">
        <f t="shared" si="0"/>
        <v>120486</v>
      </c>
      <c r="H14" s="16">
        <f t="shared" si="0"/>
        <v>107370</v>
      </c>
      <c r="I14" s="94">
        <f t="shared" si="0"/>
        <v>436796</v>
      </c>
      <c r="J14" s="94">
        <f t="shared" si="0"/>
        <v>480072</v>
      </c>
      <c r="K14" s="94">
        <f>SUM(K9:K13)</f>
        <v>448647</v>
      </c>
      <c r="L14" s="94">
        <f t="shared" si="0"/>
        <v>1152263</v>
      </c>
      <c r="M14" s="94">
        <f t="shared" si="0"/>
        <v>1330152</v>
      </c>
      <c r="N14" s="94">
        <f>SUM(N9:N13)</f>
        <v>1240266</v>
      </c>
    </row>
    <row r="15" spans="1:14" s="19" customFormat="1" ht="10.5" customHeight="1">
      <c r="A15" s="4" t="s">
        <v>17</v>
      </c>
      <c r="B15" s="3" t="s">
        <v>154</v>
      </c>
      <c r="C15" s="8">
        <v>150</v>
      </c>
      <c r="D15" s="8">
        <v>255</v>
      </c>
      <c r="E15" s="8">
        <v>255</v>
      </c>
      <c r="F15" s="8">
        <v>150</v>
      </c>
      <c r="G15" s="8">
        <v>17615</v>
      </c>
      <c r="H15" s="8">
        <v>17615</v>
      </c>
      <c r="I15" s="99">
        <f>'33'!I15+'33'!L15+'34'!C15+'34'!F15</f>
        <v>850</v>
      </c>
      <c r="J15" s="99">
        <f>'33'!J15+'33'!M15+'34'!D15+'34'!G15</f>
        <v>19114</v>
      </c>
      <c r="K15" s="99">
        <f>'33'!K15+'33'!N15+'34'!E15+'34'!H15</f>
        <v>19114</v>
      </c>
      <c r="L15" s="99">
        <f>SUM('33'!C15+'33'!F15+'34'!I15)</f>
        <v>2000</v>
      </c>
      <c r="M15" s="99">
        <f>SUM('33'!D15+'33'!G15+'34'!J15)</f>
        <v>22430</v>
      </c>
      <c r="N15" s="99">
        <f>SUM('33'!E15+'33'!H15+'34'!K15)</f>
        <v>22235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99">
        <f>'33'!I16+'33'!L16+'34'!C16+'34'!F16</f>
        <v>0</v>
      </c>
      <c r="J16" s="99">
        <f>'33'!J16+'33'!M16+'34'!D16+'34'!G16</f>
        <v>0</v>
      </c>
      <c r="K16" s="99">
        <f>'33'!K16+'33'!N16+'34'!E16+'34'!H16</f>
        <v>0</v>
      </c>
      <c r="L16" s="99">
        <f>SUM('33'!C16+'33'!F16+'34'!I16)</f>
        <v>0</v>
      </c>
      <c r="M16" s="99">
        <f>SUM('33'!D16+'33'!G16+'34'!J16)</f>
        <v>0</v>
      </c>
      <c r="N16" s="99">
        <f>SUM('33'!E16+'33'!H16+'34'!K16)</f>
        <v>0</v>
      </c>
    </row>
    <row r="17" spans="1:14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99">
        <f>'33'!I17+'33'!L17+'34'!C17+'34'!F17</f>
        <v>0</v>
      </c>
      <c r="J17" s="99">
        <f>'33'!J17+'33'!M17+'34'!D17+'34'!G17</f>
        <v>0</v>
      </c>
      <c r="K17" s="99">
        <f>'33'!K17+'33'!N17+'34'!E17+'34'!H17</f>
        <v>0</v>
      </c>
      <c r="L17" s="99">
        <f>SUM('33'!C17+'33'!F17+'34'!I17)</f>
        <v>0</v>
      </c>
      <c r="M17" s="99">
        <f>SUM('33'!D17+'33'!G17+'34'!J17)</f>
        <v>0</v>
      </c>
      <c r="N17" s="99">
        <f>SUM('33'!E17+'33'!H17+'34'!K17)</f>
        <v>0</v>
      </c>
    </row>
    <row r="18" spans="1:14" s="19" customFormat="1" ht="10.5" customHeight="1" thickBot="1">
      <c r="A18" s="14" t="s">
        <v>22</v>
      </c>
      <c r="B18" s="15" t="s">
        <v>156</v>
      </c>
      <c r="C18" s="16">
        <f>SUM(C15:C17)</f>
        <v>150</v>
      </c>
      <c r="D18" s="16">
        <f aca="true" t="shared" si="1" ref="D18:M18">SUM(D15:D17)</f>
        <v>255</v>
      </c>
      <c r="E18" s="16">
        <f t="shared" si="1"/>
        <v>255</v>
      </c>
      <c r="F18" s="16">
        <f t="shared" si="1"/>
        <v>150</v>
      </c>
      <c r="G18" s="16">
        <f t="shared" si="1"/>
        <v>17615</v>
      </c>
      <c r="H18" s="16">
        <f t="shared" si="1"/>
        <v>17615</v>
      </c>
      <c r="I18" s="94">
        <f t="shared" si="1"/>
        <v>850</v>
      </c>
      <c r="J18" s="94">
        <f t="shared" si="1"/>
        <v>19114</v>
      </c>
      <c r="K18" s="94">
        <f>SUM(K15:K17)</f>
        <v>19114</v>
      </c>
      <c r="L18" s="94">
        <f t="shared" si="1"/>
        <v>2000</v>
      </c>
      <c r="M18" s="94">
        <f t="shared" si="1"/>
        <v>22430</v>
      </c>
      <c r="N18" s="94">
        <f>SUM(N15:N17)</f>
        <v>22235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94"/>
      <c r="J19" s="94"/>
      <c r="K19" s="94"/>
      <c r="L19" s="94"/>
      <c r="M19" s="94"/>
      <c r="N19" s="94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M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94">
        <f t="shared" si="2"/>
        <v>0</v>
      </c>
      <c r="J20" s="94">
        <f t="shared" si="2"/>
        <v>0</v>
      </c>
      <c r="K20" s="94">
        <f>SUM(K19)</f>
        <v>0</v>
      </c>
      <c r="L20" s="94">
        <f t="shared" si="2"/>
        <v>0</v>
      </c>
      <c r="M20" s="94">
        <f t="shared" si="2"/>
        <v>0</v>
      </c>
      <c r="N20" s="94">
        <f>SUM(N19)</f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100"/>
      <c r="J21" s="100"/>
      <c r="K21" s="100"/>
      <c r="L21" s="100"/>
      <c r="M21" s="100"/>
      <c r="N21" s="100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100"/>
      <c r="J22" s="100"/>
      <c r="K22" s="100"/>
      <c r="L22" s="100"/>
      <c r="M22" s="100"/>
      <c r="N22" s="100"/>
    </row>
    <row r="23" spans="1:14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99">
        <f>'33'!I23+'33'!L23+'34'!C23+'34'!F23</f>
        <v>0</v>
      </c>
      <c r="J23" s="99">
        <f>'33'!J23+'33'!M23+'34'!D23+'34'!G23</f>
        <v>0</v>
      </c>
      <c r="K23" s="99">
        <f>'33'!K23+'33'!N23+'34'!E23+'34'!H23</f>
        <v>0</v>
      </c>
      <c r="L23" s="99"/>
      <c r="M23" s="99"/>
      <c r="N23" s="99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M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94">
        <f t="shared" si="3"/>
        <v>0</v>
      </c>
      <c r="J24" s="94">
        <f t="shared" si="3"/>
        <v>0</v>
      </c>
      <c r="K24" s="94">
        <f>SUM(K21:K23)</f>
        <v>0</v>
      </c>
      <c r="L24" s="94">
        <f t="shared" si="3"/>
        <v>0</v>
      </c>
      <c r="M24" s="94">
        <f t="shared" si="3"/>
        <v>0</v>
      </c>
      <c r="N24" s="94">
        <f>SUM(N21:N23)</f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100"/>
      <c r="J25" s="100"/>
      <c r="K25" s="100"/>
      <c r="L25" s="100"/>
      <c r="M25" s="100"/>
      <c r="N25" s="100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M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102">
        <f t="shared" si="4"/>
        <v>0</v>
      </c>
      <c r="J26" s="102">
        <f t="shared" si="4"/>
        <v>0</v>
      </c>
      <c r="K26" s="102">
        <f>SUM(K20,K24,K25)</f>
        <v>0</v>
      </c>
      <c r="L26" s="102">
        <f t="shared" si="4"/>
        <v>0</v>
      </c>
      <c r="M26" s="102">
        <f t="shared" si="4"/>
        <v>0</v>
      </c>
      <c r="N26" s="102">
        <f>SUM(N20,N24,N25)</f>
        <v>0</v>
      </c>
    </row>
    <row r="27" spans="1:14" s="19" customFormat="1" ht="10.5" customHeight="1">
      <c r="A27" s="25"/>
      <c r="B27" s="19" t="s">
        <v>183</v>
      </c>
      <c r="C27" s="9">
        <f>SUM(C26,C18,C14)</f>
        <v>133975</v>
      </c>
      <c r="D27" s="9">
        <f aca="true" t="shared" si="5" ref="D27:M27">SUM(D26,D18,D14)</f>
        <v>146686</v>
      </c>
      <c r="E27" s="9">
        <f t="shared" si="5"/>
        <v>136508</v>
      </c>
      <c r="F27" s="9">
        <f t="shared" si="5"/>
        <v>110351</v>
      </c>
      <c r="G27" s="9">
        <f t="shared" si="5"/>
        <v>138101</v>
      </c>
      <c r="H27" s="9">
        <f t="shared" si="5"/>
        <v>124985</v>
      </c>
      <c r="I27" s="99">
        <f t="shared" si="5"/>
        <v>437646</v>
      </c>
      <c r="J27" s="99">
        <f t="shared" si="5"/>
        <v>499186</v>
      </c>
      <c r="K27" s="99">
        <f>SUM(K26,K18,K14)</f>
        <v>467761</v>
      </c>
      <c r="L27" s="99">
        <f t="shared" si="5"/>
        <v>1154263</v>
      </c>
      <c r="M27" s="99">
        <f t="shared" si="5"/>
        <v>1352582</v>
      </c>
      <c r="N27" s="99">
        <f>SUM(N26,N18,N14)</f>
        <v>1262501</v>
      </c>
    </row>
    <row r="28" spans="1:14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99">
        <f>'33'!I28+'33'!L28+'34'!C28+'34'!F28</f>
        <v>0</v>
      </c>
      <c r="J28" s="99">
        <f>'33'!J28+'33'!M28+'34'!D28+'34'!G28</f>
        <v>0</v>
      </c>
      <c r="K28" s="99">
        <f>'33'!K28+'33'!N28+'34'!E28+'34'!H28</f>
        <v>0</v>
      </c>
      <c r="L28" s="99"/>
      <c r="M28" s="99"/>
      <c r="N28" s="99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99">
        <f>'33'!I29+'33'!L29+'34'!C29+'34'!F29</f>
        <v>0</v>
      </c>
      <c r="J29" s="99">
        <f>'33'!J29+'33'!M29+'34'!D29+'34'!G29</f>
        <v>0</v>
      </c>
      <c r="K29" s="99">
        <f>'33'!K29+'33'!N29+'34'!E29+'34'!H29</f>
        <v>0</v>
      </c>
      <c r="L29" s="125">
        <f>SUM('33'!C29+'33'!F29+'34'!I29)</f>
        <v>0</v>
      </c>
      <c r="M29" s="125">
        <f>SUM('33'!D29+'33'!G29+'34'!J29)</f>
        <v>0</v>
      </c>
      <c r="N29" s="125">
        <f>SUM('33'!E29+'33'!H29+'34'!K29)</f>
        <v>0</v>
      </c>
    </row>
    <row r="30" spans="1:14" ht="10.5" customHeight="1">
      <c r="A30" s="4" t="s">
        <v>35</v>
      </c>
      <c r="B30" s="3" t="s">
        <v>163</v>
      </c>
      <c r="C30" s="10"/>
      <c r="D30" s="10"/>
      <c r="E30" s="10">
        <f>7273-7273</f>
        <v>0</v>
      </c>
      <c r="F30" s="10"/>
      <c r="G30" s="10"/>
      <c r="H30" s="10">
        <f>22398-22398</f>
        <v>0</v>
      </c>
      <c r="I30" s="99">
        <f>'33'!I30+'33'!L30+'34'!C30+'34'!F30</f>
        <v>0</v>
      </c>
      <c r="J30" s="99">
        <f>'33'!J30+'33'!M30+'34'!D30+'34'!G30</f>
        <v>0</v>
      </c>
      <c r="K30" s="99">
        <f>'33'!K30+'33'!N30+'34'!E30+'34'!H30</f>
        <v>0</v>
      </c>
      <c r="L30" s="125">
        <f>SUM('33'!C30+'33'!F30+'34'!I30)</f>
        <v>0</v>
      </c>
      <c r="M30" s="125">
        <f>SUM('33'!D30+'33'!G30+'34'!J30)</f>
        <v>0</v>
      </c>
      <c r="N30" s="125">
        <f>SUM('33'!E30+'33'!H30+'34'!K30)</f>
        <v>0</v>
      </c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99">
        <f>'33'!I31+'33'!L31+'34'!C31+'34'!F31</f>
        <v>0</v>
      </c>
      <c r="J31" s="99"/>
      <c r="K31" s="99"/>
      <c r="L31" s="125">
        <f>SUM('33'!C31+'33'!F31+'34'!I31)</f>
        <v>0</v>
      </c>
      <c r="M31" s="125">
        <f>SUM('33'!D31+'33'!G31+'34'!J31)</f>
        <v>62580</v>
      </c>
      <c r="N31" s="125">
        <f>SUM('33'!E31+'33'!H31+'34'!K31)</f>
        <v>42947</v>
      </c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M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101">
        <f t="shared" si="6"/>
        <v>0</v>
      </c>
      <c r="J32" s="101">
        <f t="shared" si="6"/>
        <v>0</v>
      </c>
      <c r="K32" s="101">
        <f>SUM(K29:K31)</f>
        <v>0</v>
      </c>
      <c r="L32" s="101">
        <f t="shared" si="6"/>
        <v>0</v>
      </c>
      <c r="M32" s="101">
        <f t="shared" si="6"/>
        <v>62580</v>
      </c>
      <c r="N32" s="101">
        <f>SUM(N29:N31)</f>
        <v>42947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99">
        <f>'33'!I33+'33'!L33+'34'!C33+'34'!F33</f>
        <v>0</v>
      </c>
      <c r="J33" s="99">
        <f>'33'!J33+'33'!M33+'34'!D33+'34'!G33</f>
        <v>0</v>
      </c>
      <c r="K33" s="99">
        <f>'33'!K33+'33'!N33+'34'!E33+'34'!H33</f>
        <v>0</v>
      </c>
      <c r="L33" s="125">
        <f>SUM('33'!C33+'33'!F33+'34'!I33)</f>
        <v>0</v>
      </c>
      <c r="M33" s="125">
        <f>SUM('33'!D33+'33'!G33+'34'!J33)</f>
        <v>0</v>
      </c>
      <c r="N33" s="125">
        <f>SUM('33'!E33+'33'!H33+'34'!K33)</f>
        <v>0</v>
      </c>
    </row>
    <row r="34" spans="1:14" s="19" customFormat="1" ht="10.5" customHeight="1">
      <c r="A34" s="4" t="s">
        <v>10</v>
      </c>
      <c r="B34" s="3" t="s">
        <v>167</v>
      </c>
      <c r="C34" s="10">
        <v>6100</v>
      </c>
      <c r="D34" s="10">
        <v>6145</v>
      </c>
      <c r="E34" s="10">
        <f>6453-1+7273</f>
        <v>13725</v>
      </c>
      <c r="F34" s="10">
        <v>5130</v>
      </c>
      <c r="G34" s="10">
        <v>5130</v>
      </c>
      <c r="H34" s="10">
        <f>5077+22398</f>
        <v>27475</v>
      </c>
      <c r="I34" s="99">
        <f>'33'!I34+'33'!L34+'34'!C34+'34'!F34</f>
        <v>22130</v>
      </c>
      <c r="J34" s="99">
        <f>'33'!J34+'33'!M34+'34'!D34+'34'!G34</f>
        <v>22175</v>
      </c>
      <c r="K34" s="99">
        <f>'33'!K34+'33'!N34+'34'!E34+'34'!H34</f>
        <v>60139</v>
      </c>
      <c r="L34" s="125">
        <f>SUM('33'!C34+'33'!F34+'34'!I34)</f>
        <v>79106</v>
      </c>
      <c r="M34" s="125">
        <f>SUM('33'!D34+'33'!G34+'34'!J34)</f>
        <v>79463</v>
      </c>
      <c r="N34" s="125">
        <f>SUM('33'!E34+'33'!H34+'34'!K34)</f>
        <v>152264</v>
      </c>
    </row>
    <row r="35" spans="1:14" s="19" customFormat="1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99">
        <f>'33'!I35+'33'!L35+'34'!C35+'34'!F35</f>
        <v>0</v>
      </c>
      <c r="J35" s="99">
        <f>'33'!J35+'33'!M35+'34'!D35+'34'!G35</f>
        <v>0</v>
      </c>
      <c r="K35" s="99">
        <f>'33'!K35+'33'!N35+'34'!E35+'34'!H35</f>
        <v>0</v>
      </c>
      <c r="L35" s="125">
        <f>SUM('33'!C35+'33'!F35+'34'!I35)</f>
        <v>0</v>
      </c>
      <c r="M35" s="125">
        <f>SUM('33'!D35+'33'!G35+'34'!J35)</f>
        <v>0</v>
      </c>
      <c r="N35" s="125">
        <f>SUM('33'!E35+'33'!H35+'34'!K35)</f>
        <v>0</v>
      </c>
    </row>
    <row r="36" spans="1:14" ht="10.5" customHeight="1" thickBot="1">
      <c r="A36" s="14" t="s">
        <v>16</v>
      </c>
      <c r="B36" s="15" t="s">
        <v>169</v>
      </c>
      <c r="C36" s="16">
        <f>SUM(C32:C35)</f>
        <v>6100</v>
      </c>
      <c r="D36" s="16">
        <f aca="true" t="shared" si="7" ref="D36:M36">SUM(D32:D35)</f>
        <v>6145</v>
      </c>
      <c r="E36" s="16">
        <f t="shared" si="7"/>
        <v>13725</v>
      </c>
      <c r="F36" s="16">
        <f t="shared" si="7"/>
        <v>5130</v>
      </c>
      <c r="G36" s="16">
        <f t="shared" si="7"/>
        <v>5130</v>
      </c>
      <c r="H36" s="16">
        <f t="shared" si="7"/>
        <v>27475</v>
      </c>
      <c r="I36" s="94">
        <f t="shared" si="7"/>
        <v>22130</v>
      </c>
      <c r="J36" s="94">
        <f t="shared" si="7"/>
        <v>22175</v>
      </c>
      <c r="K36" s="94">
        <f>SUM(K32:K35)</f>
        <v>60139</v>
      </c>
      <c r="L36" s="94">
        <f t="shared" si="7"/>
        <v>79106</v>
      </c>
      <c r="M36" s="94">
        <f t="shared" si="7"/>
        <v>142043</v>
      </c>
      <c r="N36" s="94">
        <f>SUM(N32:N35)</f>
        <v>195211</v>
      </c>
    </row>
    <row r="37" spans="1:14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99">
        <f>'33'!I37+'33'!L37+'34'!C37+'34'!F37</f>
        <v>0</v>
      </c>
      <c r="J37" s="99">
        <f>'33'!J37+'33'!M37+'34'!D37+'34'!G37</f>
        <v>0</v>
      </c>
      <c r="K37" s="99">
        <f>'33'!K37+'33'!N37+'34'!E37+'34'!H37</f>
        <v>0</v>
      </c>
      <c r="L37" s="99">
        <f>SUM('33'!C37+'33'!F37+'34'!I37)</f>
        <v>0</v>
      </c>
      <c r="M37" s="99">
        <f>SUM('33'!D37+'33'!G37+'34'!J37)</f>
        <v>0</v>
      </c>
      <c r="N37" s="99">
        <f>SUM('33'!E37+'33'!H37+'34'!K37)</f>
        <v>0</v>
      </c>
    </row>
    <row r="38" spans="1:14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99">
        <f>'33'!I38+'33'!L38+'34'!C38+'34'!F38</f>
        <v>0</v>
      </c>
      <c r="J38" s="99">
        <f>'33'!J38+'33'!M38+'34'!D38+'34'!G38</f>
        <v>0</v>
      </c>
      <c r="K38" s="99">
        <f>'33'!K38+'33'!N38+'34'!E38+'34'!H38</f>
        <v>0</v>
      </c>
      <c r="L38" s="99">
        <f>SUM('33'!C38+'33'!F38+'34'!I38)</f>
        <v>0</v>
      </c>
      <c r="M38" s="99">
        <f>SUM('33'!D38+'33'!G38+'34'!J38)</f>
        <v>0</v>
      </c>
      <c r="N38" s="99">
        <f>SUM('33'!E38+'33'!H38+'34'!K38)</f>
        <v>0</v>
      </c>
    </row>
    <row r="39" spans="1:14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>
        <v>0</v>
      </c>
      <c r="G39" s="8">
        <v>400</v>
      </c>
      <c r="H39" s="8">
        <v>0</v>
      </c>
      <c r="I39" s="99">
        <f>'33'!I39+'33'!L39+'34'!C39+'34'!F39</f>
        <v>0</v>
      </c>
      <c r="J39" s="99">
        <f>'33'!J39+'33'!M39+'34'!D39+'34'!G39</f>
        <v>400</v>
      </c>
      <c r="K39" s="99">
        <f>'33'!K39+'33'!N39+'34'!E39+'34'!H39</f>
        <v>0</v>
      </c>
      <c r="L39" s="99">
        <f>SUM('33'!C39+'33'!F39+'34'!I39)</f>
        <v>0</v>
      </c>
      <c r="M39" s="99">
        <f>SUM('33'!D39+'33'!G39+'34'!J39)</f>
        <v>800</v>
      </c>
      <c r="N39" s="99">
        <f>SUM('33'!E39+'33'!H39+'34'!K39)</f>
        <v>0</v>
      </c>
    </row>
    <row r="40" spans="1:14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M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400</v>
      </c>
      <c r="H40" s="16">
        <f t="shared" si="8"/>
        <v>0</v>
      </c>
      <c r="I40" s="94">
        <f t="shared" si="8"/>
        <v>0</v>
      </c>
      <c r="J40" s="94">
        <f t="shared" si="8"/>
        <v>400</v>
      </c>
      <c r="K40" s="94">
        <f>SUM(K37:K39)</f>
        <v>0</v>
      </c>
      <c r="L40" s="94">
        <f t="shared" si="8"/>
        <v>0</v>
      </c>
      <c r="M40" s="94">
        <f t="shared" si="8"/>
        <v>800</v>
      </c>
      <c r="N40" s="94">
        <f>SUM(N37:N39)</f>
        <v>0</v>
      </c>
    </row>
    <row r="41" spans="1:14" ht="10.5" customHeight="1" thickBot="1">
      <c r="A41" s="30" t="s">
        <v>23</v>
      </c>
      <c r="B41" s="15" t="s">
        <v>29</v>
      </c>
      <c r="C41" s="16">
        <v>127725</v>
      </c>
      <c r="D41" s="16">
        <v>131689</v>
      </c>
      <c r="E41" s="16">
        <v>123039</v>
      </c>
      <c r="F41" s="16">
        <v>105071</v>
      </c>
      <c r="G41" s="16">
        <v>91078</v>
      </c>
      <c r="H41" s="16">
        <v>80977</v>
      </c>
      <c r="I41" s="94">
        <f>'33'!I41+'33'!L41+'34'!C41+'34'!F41</f>
        <v>414666</v>
      </c>
      <c r="J41" s="94">
        <f>'33'!J41+'33'!M41+'34'!D41+'34'!G41</f>
        <v>413519</v>
      </c>
      <c r="K41" s="94">
        <f>'33'!K41+'33'!N41+'34'!E41+'34'!H41</f>
        <v>390959</v>
      </c>
      <c r="L41" s="94">
        <f>SUM('33'!C41+'33'!F41+'34'!I41)</f>
        <v>1073157</v>
      </c>
      <c r="M41" s="94">
        <f>SUM('33'!D41+'33'!G41+'34'!J41)</f>
        <v>1104158</v>
      </c>
      <c r="N41" s="94">
        <f>SUM('33'!E41+'33'!H41+'34'!K41)</f>
        <v>1053356</v>
      </c>
    </row>
    <row r="42" spans="1:14" ht="10.5" customHeight="1" thickBot="1">
      <c r="A42" s="30" t="s">
        <v>25</v>
      </c>
      <c r="B42" s="15" t="s">
        <v>171</v>
      </c>
      <c r="C42" s="16">
        <v>0</v>
      </c>
      <c r="D42" s="16">
        <v>8597</v>
      </c>
      <c r="E42" s="16">
        <v>917</v>
      </c>
      <c r="F42" s="16">
        <v>0</v>
      </c>
      <c r="G42" s="16">
        <v>8024</v>
      </c>
      <c r="H42" s="16">
        <f>16916-15854+1</f>
        <v>1063</v>
      </c>
      <c r="I42" s="94">
        <f>'33'!I42+'33'!L42+'34'!C42+'34'!F42</f>
        <v>0</v>
      </c>
      <c r="J42" s="94">
        <f>'33'!J42+'33'!M42+'34'!D42+'34'!G42</f>
        <v>28124</v>
      </c>
      <c r="K42" s="94">
        <f>'33'!K42+'33'!N42+'34'!E42+'34'!H42</f>
        <v>4930</v>
      </c>
      <c r="L42" s="94">
        <f>SUM('33'!C42+'33'!F42+'34'!I42)</f>
        <v>0</v>
      </c>
      <c r="M42" s="94">
        <f>SUM('33'!D42+'33'!G42+'34'!J42)</f>
        <v>67297</v>
      </c>
      <c r="N42" s="94">
        <f>SUM('33'!E42+'33'!H42+'34'!K42)</f>
        <v>16764</v>
      </c>
    </row>
    <row r="43" spans="1:14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94"/>
      <c r="J43" s="94"/>
      <c r="K43" s="94"/>
      <c r="L43" s="94"/>
      <c r="M43" s="94"/>
      <c r="N43" s="94"/>
    </row>
    <row r="44" spans="1:14" ht="13.5" thickBot="1">
      <c r="A44" s="14" t="s">
        <v>26</v>
      </c>
      <c r="B44" s="15" t="s">
        <v>41</v>
      </c>
      <c r="C44" s="16">
        <f>SUM(C41:C42)</f>
        <v>127725</v>
      </c>
      <c r="D44" s="16">
        <f aca="true" t="shared" si="9" ref="D44:M44">SUM(D41:D42)</f>
        <v>140286</v>
      </c>
      <c r="E44" s="16">
        <f t="shared" si="9"/>
        <v>123956</v>
      </c>
      <c r="F44" s="16">
        <f t="shared" si="9"/>
        <v>105071</v>
      </c>
      <c r="G44" s="16">
        <f t="shared" si="9"/>
        <v>99102</v>
      </c>
      <c r="H44" s="16">
        <f t="shared" si="9"/>
        <v>82040</v>
      </c>
      <c r="I44" s="94">
        <f t="shared" si="9"/>
        <v>414666</v>
      </c>
      <c r="J44" s="94">
        <f t="shared" si="9"/>
        <v>441643</v>
      </c>
      <c r="K44" s="94">
        <f>SUM(K41:K42)</f>
        <v>395889</v>
      </c>
      <c r="L44" s="94">
        <f t="shared" si="9"/>
        <v>1073157</v>
      </c>
      <c r="M44" s="94">
        <f t="shared" si="9"/>
        <v>1171455</v>
      </c>
      <c r="N44" s="94">
        <f>SUM(N41:N42)</f>
        <v>1070120</v>
      </c>
    </row>
    <row r="45" spans="1:14" ht="12.75">
      <c r="A45" s="89" t="s">
        <v>28</v>
      </c>
      <c r="B45" s="20" t="s">
        <v>32</v>
      </c>
      <c r="C45" s="98">
        <v>150</v>
      </c>
      <c r="D45" s="98">
        <v>255</v>
      </c>
      <c r="E45" s="98">
        <v>255</v>
      </c>
      <c r="F45" s="98">
        <v>150</v>
      </c>
      <c r="G45" s="98">
        <v>17615</v>
      </c>
      <c r="H45" s="98">
        <v>17615</v>
      </c>
      <c r="I45" s="100">
        <f>'33'!I45+'33'!L45+'34'!C45+'34'!F45</f>
        <v>850</v>
      </c>
      <c r="J45" s="100">
        <f>'33'!J45+'33'!M45+'34'!D45+'34'!G45</f>
        <v>19114</v>
      </c>
      <c r="K45" s="100">
        <f>'33'!K45+'33'!N45+'34'!E45+'34'!H45</f>
        <v>19114</v>
      </c>
      <c r="L45" s="100">
        <f>SUM('33'!C45+'33'!F45+'34'!I45)</f>
        <v>2000</v>
      </c>
      <c r="M45" s="100">
        <f>SUM('33'!D45+'33'!G45+'34'!J45)</f>
        <v>22430</v>
      </c>
      <c r="N45" s="100">
        <f>SUM('33'!E45+'33'!H45+'34'!K45)</f>
        <v>22235</v>
      </c>
    </row>
    <row r="46" spans="1:14" ht="13.5" thickBot="1">
      <c r="A46" s="89" t="s">
        <v>159</v>
      </c>
      <c r="B46" s="20" t="s">
        <v>172</v>
      </c>
      <c r="C46" s="98"/>
      <c r="D46" s="98"/>
      <c r="E46" s="98"/>
      <c r="F46" s="98">
        <v>0</v>
      </c>
      <c r="G46" s="98">
        <v>15854</v>
      </c>
      <c r="H46" s="98">
        <v>15854</v>
      </c>
      <c r="I46" s="100">
        <f>'33'!I46+'33'!L46+'34'!C46+'34'!F46</f>
        <v>0</v>
      </c>
      <c r="J46" s="100">
        <f>'33'!J46+'33'!M46+'34'!D46+'34'!G46</f>
        <v>15854</v>
      </c>
      <c r="K46" s="100">
        <f>'33'!K46+'33'!N46+'34'!E46+'34'!H46</f>
        <v>15854</v>
      </c>
      <c r="L46" s="100">
        <f>SUM('33'!C46+'33'!F46+'34'!I46)</f>
        <v>0</v>
      </c>
      <c r="M46" s="100">
        <f>SUM('33'!D46+'33'!G46+'34'!J46)</f>
        <v>15854</v>
      </c>
      <c r="N46" s="100">
        <f>SUM('33'!E46+'33'!H46+'34'!K46)</f>
        <v>15854</v>
      </c>
    </row>
    <row r="47" spans="1:14" ht="13.5" thickBot="1">
      <c r="A47" s="91" t="s">
        <v>30</v>
      </c>
      <c r="B47" s="92" t="s">
        <v>42</v>
      </c>
      <c r="C47" s="77">
        <f>SUM(C45:C46)</f>
        <v>150</v>
      </c>
      <c r="D47" s="77">
        <f aca="true" t="shared" si="10" ref="D47:M47">SUM(D45:D46)</f>
        <v>255</v>
      </c>
      <c r="E47" s="77">
        <f t="shared" si="10"/>
        <v>255</v>
      </c>
      <c r="F47" s="77">
        <f t="shared" si="10"/>
        <v>150</v>
      </c>
      <c r="G47" s="77">
        <f t="shared" si="10"/>
        <v>33469</v>
      </c>
      <c r="H47" s="77">
        <f t="shared" si="10"/>
        <v>33469</v>
      </c>
      <c r="I47" s="102">
        <f t="shared" si="10"/>
        <v>850</v>
      </c>
      <c r="J47" s="102">
        <f t="shared" si="10"/>
        <v>34968</v>
      </c>
      <c r="K47" s="102">
        <f>SUM(K45:K46)</f>
        <v>34968</v>
      </c>
      <c r="L47" s="102">
        <f t="shared" si="10"/>
        <v>2000</v>
      </c>
      <c r="M47" s="102">
        <f t="shared" si="10"/>
        <v>38284</v>
      </c>
      <c r="N47" s="102">
        <f>SUM(N45:N46)</f>
        <v>38089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100"/>
      <c r="J48" s="100"/>
      <c r="K48" s="100"/>
      <c r="L48" s="100"/>
      <c r="M48" s="100"/>
      <c r="N48" s="100"/>
    </row>
    <row r="49" spans="1:14" ht="13.5" thickBot="1">
      <c r="A49" s="91" t="s">
        <v>178</v>
      </c>
      <c r="B49" s="92" t="s">
        <v>180</v>
      </c>
      <c r="C49" s="77">
        <f>SUM(C47,C44,C48)</f>
        <v>127875</v>
      </c>
      <c r="D49" s="77">
        <f aca="true" t="shared" si="11" ref="D49:M49">SUM(D47,D44,D48)</f>
        <v>140541</v>
      </c>
      <c r="E49" s="77">
        <f t="shared" si="11"/>
        <v>124211</v>
      </c>
      <c r="F49" s="77">
        <f t="shared" si="11"/>
        <v>105221</v>
      </c>
      <c r="G49" s="77">
        <f t="shared" si="11"/>
        <v>132571</v>
      </c>
      <c r="H49" s="77">
        <f t="shared" si="11"/>
        <v>115509</v>
      </c>
      <c r="I49" s="102">
        <f t="shared" si="11"/>
        <v>415516</v>
      </c>
      <c r="J49" s="102">
        <f t="shared" si="11"/>
        <v>476611</v>
      </c>
      <c r="K49" s="102">
        <f>SUM(K47,K44,K48)</f>
        <v>430857</v>
      </c>
      <c r="L49" s="102">
        <f t="shared" si="11"/>
        <v>1075157</v>
      </c>
      <c r="M49" s="102">
        <f t="shared" si="11"/>
        <v>1209739</v>
      </c>
      <c r="N49" s="102">
        <f>SUM(N47,N44,N48)</f>
        <v>1108209</v>
      </c>
    </row>
    <row r="50" spans="1:14" s="84" customFormat="1" ht="13.5" thickBot="1">
      <c r="A50" s="25"/>
      <c r="B50" s="19" t="s">
        <v>185</v>
      </c>
      <c r="C50" s="9">
        <f>SUM(C49,C40,C36)</f>
        <v>133975</v>
      </c>
      <c r="D50" s="9">
        <f aca="true" t="shared" si="12" ref="D50:M50">SUM(D49,D40,D36)</f>
        <v>146686</v>
      </c>
      <c r="E50" s="9">
        <f t="shared" si="12"/>
        <v>137936</v>
      </c>
      <c r="F50" s="9">
        <f t="shared" si="12"/>
        <v>110351</v>
      </c>
      <c r="G50" s="9">
        <f t="shared" si="12"/>
        <v>138101</v>
      </c>
      <c r="H50" s="9">
        <f t="shared" si="12"/>
        <v>142984</v>
      </c>
      <c r="I50" s="99">
        <f t="shared" si="12"/>
        <v>437646</v>
      </c>
      <c r="J50" s="99">
        <f t="shared" si="12"/>
        <v>499186</v>
      </c>
      <c r="K50" s="99">
        <f>SUM(K49,K40,K36)</f>
        <v>490996</v>
      </c>
      <c r="L50" s="99">
        <f t="shared" si="12"/>
        <v>1154263</v>
      </c>
      <c r="M50" s="99">
        <f t="shared" si="12"/>
        <v>1352582</v>
      </c>
      <c r="N50" s="99">
        <f>SUM(N49,N40,N36)</f>
        <v>1303420</v>
      </c>
    </row>
    <row r="51" spans="1:14" ht="13.5" thickBot="1">
      <c r="A51" s="32"/>
      <c r="B51" s="33" t="s">
        <v>43</v>
      </c>
      <c r="C51" s="59">
        <v>29</v>
      </c>
      <c r="D51" s="59">
        <v>29</v>
      </c>
      <c r="E51" s="60">
        <v>29</v>
      </c>
      <c r="F51" s="59">
        <v>24.5</v>
      </c>
      <c r="G51" s="59">
        <v>24.5</v>
      </c>
      <c r="H51" s="59">
        <v>24.5</v>
      </c>
      <c r="I51" s="129">
        <f>'33'!I51+'33'!L51+'34'!C51+'34'!F51</f>
        <v>96.5</v>
      </c>
      <c r="J51" s="129">
        <f>'33'!J51+'33'!M51+'34'!D51+'34'!G51</f>
        <v>96.5</v>
      </c>
      <c r="K51" s="129">
        <f>'33'!K51+'33'!N51+'34'!E51+'34'!H51</f>
        <v>96.5</v>
      </c>
      <c r="L51" s="129">
        <f>SUM('33'!C51+'33'!F51+'34'!I51)</f>
        <v>219.5</v>
      </c>
      <c r="M51" s="129">
        <f>SUM('33'!D51+'33'!G51+'34'!J51)</f>
        <v>221.5</v>
      </c>
      <c r="N51" s="129">
        <f>SUM('33'!E51+'33'!H51+'34'!K51)</f>
        <v>221.5</v>
      </c>
    </row>
    <row r="52" spans="1:14" ht="13.5" thickBot="1">
      <c r="A52" s="37"/>
      <c r="B52" s="33" t="s">
        <v>44</v>
      </c>
      <c r="C52" s="42"/>
      <c r="D52" s="42"/>
      <c r="E52" s="42"/>
      <c r="F52" s="42"/>
      <c r="G52" s="42"/>
      <c r="H52" s="42"/>
      <c r="I52" s="104">
        <f>'33'!I52+'33'!L52+'34'!C52+'34'!F52</f>
        <v>0</v>
      </c>
      <c r="J52" s="104">
        <f>'33'!J52+'33'!M52+'34'!D52+'34'!G52</f>
        <v>0</v>
      </c>
      <c r="K52" s="104">
        <f>'33'!K52+'33'!N52+'34'!E52+'34'!H52</f>
        <v>0</v>
      </c>
      <c r="L52" s="104">
        <f>SUM('33'!C52+'33'!F52+'34'!I52)</f>
        <v>15</v>
      </c>
      <c r="M52" s="104">
        <f>SUM('33'!D52+'33'!G52+'34'!J52)</f>
        <v>15</v>
      </c>
      <c r="N52" s="104">
        <f>SUM('33'!E52+'33'!H52+'34'!K52)</f>
        <v>15</v>
      </c>
    </row>
    <row r="54" spans="3:13" ht="12.75">
      <c r="C54" s="8"/>
      <c r="D54" s="8"/>
      <c r="E54" s="8"/>
      <c r="F54" s="8"/>
      <c r="G54" s="8"/>
      <c r="H54" s="8"/>
      <c r="I54" s="55"/>
      <c r="J54" s="55"/>
      <c r="L54" s="8"/>
      <c r="M54" s="8"/>
    </row>
    <row r="55" spans="4:10" ht="12.75">
      <c r="D55" s="8"/>
      <c r="I55"/>
      <c r="J55" s="55"/>
    </row>
    <row r="56" spans="8:10" ht="12.75">
      <c r="H56" s="8"/>
      <c r="J56" s="8"/>
    </row>
  </sheetData>
  <sheetProtection selectLockedCells="1" selectUnlockedCells="1"/>
  <mergeCells count="24">
    <mergeCell ref="B1:N1"/>
    <mergeCell ref="A3:B6"/>
    <mergeCell ref="C3:E3"/>
    <mergeCell ref="F3:H3"/>
    <mergeCell ref="I3:K4"/>
    <mergeCell ref="L5:L6"/>
    <mergeCell ref="D5:D6"/>
    <mergeCell ref="E5:E6"/>
    <mergeCell ref="A28:B28"/>
    <mergeCell ref="M5:M6"/>
    <mergeCell ref="K5:K6"/>
    <mergeCell ref="C5:C6"/>
    <mergeCell ref="H5:H6"/>
    <mergeCell ref="I5:I6"/>
    <mergeCell ref="L3:N3"/>
    <mergeCell ref="C4:E4"/>
    <mergeCell ref="F4:H4"/>
    <mergeCell ref="L4:N4"/>
    <mergeCell ref="A7:B7"/>
    <mergeCell ref="A8:B8"/>
    <mergeCell ref="F5:F6"/>
    <mergeCell ref="G5:G6"/>
    <mergeCell ref="J5:J6"/>
    <mergeCell ref="N5:N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92" zoomScaleNormal="92" zoomScalePageLayoutView="0" workbookViewId="0" topLeftCell="A1">
      <pane ySplit="7" topLeftCell="A15" activePane="bottomLeft" state="frozen"/>
      <selection pane="topLeft" activeCell="M15" sqref="M15"/>
      <selection pane="bottomLeft" activeCell="M15" sqref="M15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3" width="10.625" style="1" customWidth="1"/>
    <col min="4" max="4" width="10.375" style="1" customWidth="1"/>
    <col min="5" max="6" width="10.75390625" style="1" customWidth="1"/>
    <col min="7" max="7" width="11.625" style="1" customWidth="1"/>
    <col min="8" max="8" width="10.00390625" style="1" customWidth="1"/>
    <col min="9" max="9" width="9.25390625" style="1" customWidth="1"/>
    <col min="10" max="10" width="8.875" style="1" customWidth="1"/>
    <col min="11" max="11" width="9.375" style="1" customWidth="1"/>
    <col min="12" max="12" width="10.875" style="53" customWidth="1"/>
    <col min="13" max="14" width="10.875" style="1" customWidth="1"/>
    <col min="15" max="15" width="13.125" style="1" customWidth="1"/>
    <col min="16" max="16" width="10.75390625" style="1" bestFit="1" customWidth="1"/>
    <col min="17" max="17" width="9.125" style="1" customWidth="1"/>
    <col min="18" max="18" width="10.75390625" style="1" bestFit="1" customWidth="1"/>
    <col min="19" max="16384" width="9.125" style="1" customWidth="1"/>
  </cols>
  <sheetData>
    <row r="1" spans="2:15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"/>
    </row>
    <row r="2" spans="14:15" ht="8.25" customHeight="1" thickBot="1">
      <c r="N2" s="3" t="s">
        <v>0</v>
      </c>
      <c r="O2" s="3"/>
    </row>
    <row r="3" spans="1:15" ht="9" customHeight="1" thickBot="1">
      <c r="A3" s="161" t="s">
        <v>1</v>
      </c>
      <c r="B3" s="161"/>
      <c r="C3" s="208" t="s">
        <v>145</v>
      </c>
      <c r="D3" s="208"/>
      <c r="E3" s="208"/>
      <c r="F3" s="178" t="s">
        <v>146</v>
      </c>
      <c r="G3" s="178"/>
      <c r="H3" s="178"/>
      <c r="I3" s="214" t="s">
        <v>174</v>
      </c>
      <c r="J3" s="215"/>
      <c r="K3" s="216"/>
      <c r="L3" s="208" t="s">
        <v>145</v>
      </c>
      <c r="M3" s="208"/>
      <c r="N3" s="208"/>
      <c r="O3" s="61"/>
    </row>
    <row r="4" spans="1:15" s="4" customFormat="1" ht="31.5" customHeight="1" thickBot="1">
      <c r="A4" s="161"/>
      <c r="B4" s="161"/>
      <c r="C4" s="208"/>
      <c r="D4" s="208"/>
      <c r="E4" s="208"/>
      <c r="F4" s="178"/>
      <c r="G4" s="178"/>
      <c r="H4" s="178"/>
      <c r="I4" s="217"/>
      <c r="J4" s="218"/>
      <c r="K4" s="219"/>
      <c r="L4" s="208"/>
      <c r="M4" s="208"/>
      <c r="N4" s="208"/>
      <c r="O4" s="61"/>
    </row>
    <row r="5" spans="1:15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  <c r="O5" s="62"/>
    </row>
    <row r="6" spans="1:15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62"/>
    </row>
    <row r="7" spans="1:15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75">
        <v>11</v>
      </c>
      <c r="M7" s="5">
        <v>12</v>
      </c>
      <c r="N7" s="5">
        <v>13</v>
      </c>
      <c r="O7" s="63"/>
    </row>
    <row r="8" spans="1:15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10"/>
      <c r="M8" s="8"/>
      <c r="N8" s="8"/>
      <c r="O8" s="8"/>
    </row>
    <row r="9" spans="1:15" ht="10.5" customHeight="1">
      <c r="A9" s="4" t="s">
        <v>7</v>
      </c>
      <c r="B9" s="3" t="s">
        <v>8</v>
      </c>
      <c r="C9" s="125">
        <f>SUM('30'!L9+'32'!L9+'34'!L9)</f>
        <v>2764237</v>
      </c>
      <c r="D9" s="125">
        <f>SUM('30'!M9+'32'!M9+'34'!M9)</f>
        <v>2914202</v>
      </c>
      <c r="E9" s="125">
        <f>SUM('30'!N9+'32'!N9+'34'!N9)</f>
        <v>2744093</v>
      </c>
      <c r="F9" s="10"/>
      <c r="G9" s="10"/>
      <c r="H9" s="10"/>
      <c r="I9" s="8"/>
      <c r="J9" s="8"/>
      <c r="K9" s="8"/>
      <c r="L9" s="125">
        <f>SUM(C9,F9)+I9</f>
        <v>2764237</v>
      </c>
      <c r="M9" s="99">
        <f>SUM(D9,G9)</f>
        <v>2914202</v>
      </c>
      <c r="N9" s="99">
        <f>SUM(E9,H9)</f>
        <v>2744093</v>
      </c>
      <c r="O9" s="9"/>
    </row>
    <row r="10" spans="1:15" ht="10.5" customHeight="1">
      <c r="A10" s="4" t="s">
        <v>9</v>
      </c>
      <c r="B10" s="3" t="s">
        <v>153</v>
      </c>
      <c r="C10" s="125">
        <f>SUM('30'!L10+'32'!L10+'34'!L10)</f>
        <v>784408</v>
      </c>
      <c r="D10" s="125">
        <f>SUM('30'!M10+'32'!M10+'34'!M10)</f>
        <v>842829</v>
      </c>
      <c r="E10" s="125">
        <f>SUM('30'!N10+'32'!N10+'34'!N10)</f>
        <v>761461</v>
      </c>
      <c r="F10" s="10"/>
      <c r="G10" s="10"/>
      <c r="H10" s="10"/>
      <c r="I10" s="8"/>
      <c r="J10" s="8"/>
      <c r="K10" s="8"/>
      <c r="L10" s="125">
        <f aca="true" t="shared" si="0" ref="L10:L42">SUM(C10,F10)+I10</f>
        <v>784408</v>
      </c>
      <c r="M10" s="99">
        <f>SUM(D10,G10)</f>
        <v>842829</v>
      </c>
      <c r="N10" s="99">
        <f>SUM(E10,H10)</f>
        <v>761461</v>
      </c>
      <c r="O10" s="9"/>
    </row>
    <row r="11" spans="1:15" ht="10.5" customHeight="1">
      <c r="A11" s="4" t="s">
        <v>10</v>
      </c>
      <c r="B11" s="3" t="s">
        <v>12</v>
      </c>
      <c r="C11" s="125">
        <f>SUM('30'!L11+'32'!L11+'34'!L11)</f>
        <v>8046915</v>
      </c>
      <c r="D11" s="125">
        <f>SUM('30'!M11+'32'!M11+'34'!M11)</f>
        <v>9279194</v>
      </c>
      <c r="E11" s="125">
        <f>SUM('30'!N11+'32'!N11+'34'!N11)</f>
        <v>8609444</v>
      </c>
      <c r="F11" s="10"/>
      <c r="G11" s="10"/>
      <c r="H11" s="10"/>
      <c r="I11" s="8">
        <v>-194000</v>
      </c>
      <c r="J11" s="8">
        <v>-267751</v>
      </c>
      <c r="K11" s="8">
        <v>-267751</v>
      </c>
      <c r="L11" s="125">
        <f t="shared" si="0"/>
        <v>7852915</v>
      </c>
      <c r="M11" s="99">
        <f>SUM(D11,G11,J11)</f>
        <v>9011443</v>
      </c>
      <c r="N11" s="99">
        <f>SUM(E11,H11,K11)</f>
        <v>8341693</v>
      </c>
      <c r="O11" s="9"/>
    </row>
    <row r="12" spans="1:15" ht="10.5" customHeight="1">
      <c r="A12" s="4" t="s">
        <v>11</v>
      </c>
      <c r="B12" s="3" t="s">
        <v>14</v>
      </c>
      <c r="C12" s="125">
        <f>SUM('30'!L12+'32'!L12+'34'!L12)</f>
        <v>616180</v>
      </c>
      <c r="D12" s="125">
        <f>SUM('30'!M12+'32'!M12+'34'!M12)</f>
        <v>711564</v>
      </c>
      <c r="E12" s="125">
        <f>SUM('30'!N12+'32'!N12+'34'!N12)</f>
        <v>693499</v>
      </c>
      <c r="F12" s="10"/>
      <c r="G12" s="10"/>
      <c r="H12" s="10"/>
      <c r="I12" s="8"/>
      <c r="J12" s="8"/>
      <c r="K12" s="8"/>
      <c r="L12" s="125">
        <f t="shared" si="0"/>
        <v>616180</v>
      </c>
      <c r="M12" s="99">
        <f>SUM(D12,G12)</f>
        <v>711564</v>
      </c>
      <c r="N12" s="99">
        <f>SUM(E12,H12)</f>
        <v>693499</v>
      </c>
      <c r="O12" s="9"/>
    </row>
    <row r="13" spans="1:15" ht="10.5" customHeight="1" thickBot="1">
      <c r="A13" s="4" t="s">
        <v>13</v>
      </c>
      <c r="B13" s="3" t="s">
        <v>15</v>
      </c>
      <c r="C13" s="125">
        <f>SUM('30'!L13+'32'!L13+'34'!L13)</f>
        <v>1687096</v>
      </c>
      <c r="D13" s="125">
        <f>SUM('30'!M13+'32'!M13+'34'!M13)</f>
        <v>1943299</v>
      </c>
      <c r="E13" s="125">
        <f>SUM('30'!N13+'32'!N13+'34'!N13)</f>
        <v>1532850</v>
      </c>
      <c r="F13" s="8"/>
      <c r="G13" s="8"/>
      <c r="H13" s="8"/>
      <c r="I13" s="8"/>
      <c r="J13" s="8"/>
      <c r="K13" s="8"/>
      <c r="L13" s="125">
        <f t="shared" si="0"/>
        <v>1687096</v>
      </c>
      <c r="M13" s="99">
        <f>SUM(D13,G13)</f>
        <v>1943299</v>
      </c>
      <c r="N13" s="99">
        <f>SUM(E13,H13)</f>
        <v>1532850</v>
      </c>
      <c r="O13" s="9"/>
    </row>
    <row r="14" spans="1:15" s="19" customFormat="1" ht="10.5" customHeight="1" thickBot="1">
      <c r="A14" s="14" t="s">
        <v>16</v>
      </c>
      <c r="B14" s="15" t="s">
        <v>155</v>
      </c>
      <c r="C14" s="94">
        <f>SUM(C9:C13)</f>
        <v>13898836</v>
      </c>
      <c r="D14" s="94">
        <f aca="true" t="shared" si="1" ref="D14:M14">SUM(D9:D13)</f>
        <v>15691088</v>
      </c>
      <c r="E14" s="94">
        <f>SUM(E9:E13)</f>
        <v>14341347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-194000</v>
      </c>
      <c r="J14" s="16">
        <f t="shared" si="1"/>
        <v>-267751</v>
      </c>
      <c r="K14" s="16">
        <f t="shared" si="1"/>
        <v>-267751</v>
      </c>
      <c r="L14" s="94">
        <f t="shared" si="1"/>
        <v>13704836</v>
      </c>
      <c r="M14" s="94">
        <f t="shared" si="1"/>
        <v>15423337</v>
      </c>
      <c r="N14" s="94">
        <f>SUM(N9:N13)</f>
        <v>14073596</v>
      </c>
      <c r="O14" s="9"/>
    </row>
    <row r="15" spans="1:16" s="19" customFormat="1" ht="10.5" customHeight="1">
      <c r="A15" s="4" t="s">
        <v>17</v>
      </c>
      <c r="B15" s="3" t="s">
        <v>154</v>
      </c>
      <c r="C15" s="99">
        <f>SUM('30'!L15+'32'!L15+'34'!L15)</f>
        <v>6109902</v>
      </c>
      <c r="D15" s="99">
        <f>SUM('30'!M15+'32'!M15+'34'!M15)</f>
        <v>8683569</v>
      </c>
      <c r="E15" s="99">
        <f>SUM('30'!N15+'32'!N15+'34'!N15)</f>
        <v>7503914</v>
      </c>
      <c r="F15" s="8"/>
      <c r="G15" s="8"/>
      <c r="H15" s="8"/>
      <c r="I15" s="8"/>
      <c r="J15" s="8"/>
      <c r="K15" s="8"/>
      <c r="L15" s="125">
        <f t="shared" si="0"/>
        <v>6109902</v>
      </c>
      <c r="M15" s="99">
        <f aca="true" t="shared" si="2" ref="L15:N19">SUM(D15,G15)</f>
        <v>8683569</v>
      </c>
      <c r="N15" s="99">
        <f t="shared" si="2"/>
        <v>7503914</v>
      </c>
      <c r="O15" s="9"/>
      <c r="P15" s="9"/>
    </row>
    <row r="16" spans="1:15" ht="10.5" customHeight="1">
      <c r="A16" s="4" t="s">
        <v>18</v>
      </c>
      <c r="B16" s="3" t="s">
        <v>19</v>
      </c>
      <c r="C16" s="99">
        <f>SUM('30'!L16+'32'!L16+'34'!L16)</f>
        <v>738033</v>
      </c>
      <c r="D16" s="99">
        <f>SUM('30'!M16+'32'!M16+'34'!M16)</f>
        <v>1099350</v>
      </c>
      <c r="E16" s="99">
        <f>SUM('30'!N16+'32'!N16+'34'!N16)</f>
        <v>853059</v>
      </c>
      <c r="F16" s="8"/>
      <c r="G16" s="8"/>
      <c r="H16" s="8"/>
      <c r="I16" s="8"/>
      <c r="J16" s="8"/>
      <c r="K16" s="8"/>
      <c r="L16" s="125">
        <f t="shared" si="0"/>
        <v>738033</v>
      </c>
      <c r="M16" s="99">
        <f t="shared" si="2"/>
        <v>1099350</v>
      </c>
      <c r="N16" s="99">
        <f t="shared" si="2"/>
        <v>853059</v>
      </c>
      <c r="O16" s="40"/>
    </row>
    <row r="17" spans="1:16" ht="10.5" customHeight="1" thickBot="1">
      <c r="A17" s="4" t="s">
        <v>20</v>
      </c>
      <c r="B17" s="3" t="s">
        <v>21</v>
      </c>
      <c r="C17" s="99">
        <f>SUM('30'!L17+'32'!L17+'34'!L17)</f>
        <v>2558084</v>
      </c>
      <c r="D17" s="99">
        <f>SUM('30'!M17+'32'!M17+'34'!M17)</f>
        <v>2231177</v>
      </c>
      <c r="E17" s="99">
        <f>SUM('30'!N17+'32'!N17+'34'!N17)</f>
        <v>554111</v>
      </c>
      <c r="F17" s="8"/>
      <c r="G17" s="8"/>
      <c r="H17" s="8"/>
      <c r="I17" s="8"/>
      <c r="J17" s="8"/>
      <c r="K17" s="8"/>
      <c r="L17" s="125">
        <f t="shared" si="0"/>
        <v>2558084</v>
      </c>
      <c r="M17" s="99">
        <f t="shared" si="2"/>
        <v>2231177</v>
      </c>
      <c r="N17" s="99">
        <f t="shared" si="2"/>
        <v>554111</v>
      </c>
      <c r="O17" s="9"/>
      <c r="P17" s="8"/>
    </row>
    <row r="18" spans="1:15" s="19" customFormat="1" ht="10.5" customHeight="1" thickBot="1">
      <c r="A18" s="14" t="s">
        <v>22</v>
      </c>
      <c r="B18" s="15" t="s">
        <v>156</v>
      </c>
      <c r="C18" s="94">
        <f>SUM(C15:C17)</f>
        <v>9406019</v>
      </c>
      <c r="D18" s="94">
        <f aca="true" t="shared" si="3" ref="D18:M18">SUM(D15:D17)</f>
        <v>12014096</v>
      </c>
      <c r="E18" s="94">
        <f>SUM(E15:E17)</f>
        <v>8911084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94">
        <f t="shared" si="3"/>
        <v>9406019</v>
      </c>
      <c r="M18" s="94">
        <f t="shared" si="3"/>
        <v>12014096</v>
      </c>
      <c r="N18" s="94">
        <f>SUM(N15:N17)</f>
        <v>8911084</v>
      </c>
      <c r="O18" s="21"/>
    </row>
    <row r="19" spans="1:15" ht="10.5" customHeight="1" thickBot="1">
      <c r="A19" s="86" t="s">
        <v>23</v>
      </c>
      <c r="B19" s="15" t="s">
        <v>157</v>
      </c>
      <c r="C19" s="94">
        <f>SUM('30'!L19+'32'!L19+'34'!L19)</f>
        <v>4534538</v>
      </c>
      <c r="D19" s="94">
        <f>SUM('30'!M19+'32'!M19+'34'!M19)</f>
        <v>4595658</v>
      </c>
      <c r="E19" s="94">
        <f>SUM('30'!N19+'32'!N19+'34'!N19)</f>
        <v>4326222</v>
      </c>
      <c r="F19" s="16">
        <v>-4534538</v>
      </c>
      <c r="G19" s="16">
        <v>-4595658</v>
      </c>
      <c r="H19" s="8">
        <v>-4326222</v>
      </c>
      <c r="I19" s="16"/>
      <c r="J19" s="16"/>
      <c r="K19" s="16"/>
      <c r="L19" s="94">
        <f t="shared" si="2"/>
        <v>0</v>
      </c>
      <c r="M19" s="94">
        <f t="shared" si="2"/>
        <v>0</v>
      </c>
      <c r="N19" s="94">
        <f t="shared" si="2"/>
        <v>0</v>
      </c>
      <c r="O19" s="21"/>
    </row>
    <row r="20" spans="1:15" ht="10.5" customHeight="1" thickBot="1">
      <c r="A20" s="22" t="s">
        <v>26</v>
      </c>
      <c r="B20" s="15" t="s">
        <v>158</v>
      </c>
      <c r="C20" s="94">
        <f>SUM(C19)</f>
        <v>4534538</v>
      </c>
      <c r="D20" s="94">
        <f aca="true" t="shared" si="4" ref="D20:M20">SUM(D19)</f>
        <v>4595658</v>
      </c>
      <c r="E20" s="94">
        <f>SUM(E19)</f>
        <v>4326222</v>
      </c>
      <c r="F20" s="16">
        <f t="shared" si="4"/>
        <v>-4534538</v>
      </c>
      <c r="G20" s="16">
        <f t="shared" si="4"/>
        <v>-4595658</v>
      </c>
      <c r="H20" s="16">
        <f t="shared" si="4"/>
        <v>-4326222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94">
        <f t="shared" si="4"/>
        <v>0</v>
      </c>
      <c r="M20" s="94">
        <f t="shared" si="4"/>
        <v>0</v>
      </c>
      <c r="N20" s="94">
        <f>SUM(N19)</f>
        <v>0</v>
      </c>
      <c r="O20" s="21"/>
    </row>
    <row r="21" spans="1:15" ht="10.5" customHeight="1">
      <c r="A21" s="23" t="s">
        <v>28</v>
      </c>
      <c r="B21" s="3" t="s">
        <v>31</v>
      </c>
      <c r="C21" s="100">
        <f>SUM('30'!L21+'32'!L21+'34'!L21)</f>
        <v>0</v>
      </c>
      <c r="D21" s="100">
        <f>SUM('30'!M21+'32'!M21+'34'!M21)</f>
        <v>0</v>
      </c>
      <c r="E21" s="100">
        <f>SUM('30'!N21+'32'!N21+'34'!N21)</f>
        <v>0</v>
      </c>
      <c r="F21" s="21"/>
      <c r="G21" s="21"/>
      <c r="H21" s="21"/>
      <c r="I21" s="21"/>
      <c r="J21" s="21"/>
      <c r="K21" s="21"/>
      <c r="L21" s="125">
        <f t="shared" si="0"/>
        <v>0</v>
      </c>
      <c r="M21" s="100">
        <f aca="true" t="shared" si="5" ref="L21:N23">SUM(D21,G21)</f>
        <v>0</v>
      </c>
      <c r="N21" s="100">
        <f t="shared" si="5"/>
        <v>0</v>
      </c>
      <c r="O21" s="21"/>
    </row>
    <row r="22" spans="1:14" ht="10.5" customHeight="1">
      <c r="A22" s="88" t="s">
        <v>159</v>
      </c>
      <c r="B22" s="3" t="s">
        <v>173</v>
      </c>
      <c r="C22" s="100">
        <f>SUM('30'!L22+'32'!L22+'34'!L22)</f>
        <v>0</v>
      </c>
      <c r="D22" s="100">
        <f>SUM('30'!M22+'32'!M22+'34'!M22)</f>
        <v>0</v>
      </c>
      <c r="E22" s="100">
        <f>SUM('30'!N22+'32'!N22+'34'!N22)</f>
        <v>0</v>
      </c>
      <c r="F22" s="21"/>
      <c r="G22" s="21"/>
      <c r="H22" s="21"/>
      <c r="I22" s="21"/>
      <c r="J22" s="21"/>
      <c r="K22" s="21"/>
      <c r="L22" s="100">
        <f t="shared" si="5"/>
        <v>0</v>
      </c>
      <c r="M22" s="100">
        <f t="shared" si="5"/>
        <v>0</v>
      </c>
      <c r="N22" s="100">
        <f t="shared" si="5"/>
        <v>0</v>
      </c>
    </row>
    <row r="23" spans="1:15" ht="10.5" customHeight="1" thickBot="1">
      <c r="A23" s="4" t="s">
        <v>160</v>
      </c>
      <c r="B23" s="3" t="s">
        <v>32</v>
      </c>
      <c r="C23" s="100">
        <f>SUM('30'!L23+'32'!L23+'34'!L23)</f>
        <v>71900</v>
      </c>
      <c r="D23" s="100">
        <f>SUM('30'!M23+'32'!M23+'34'!M23)</f>
        <v>165995</v>
      </c>
      <c r="E23" s="100">
        <f>SUM('30'!N23+'32'!N23+'34'!N23)</f>
        <v>118171</v>
      </c>
      <c r="F23" s="8">
        <v>-71900</v>
      </c>
      <c r="G23" s="8">
        <v>-165995</v>
      </c>
      <c r="H23" s="8">
        <v>-118171</v>
      </c>
      <c r="I23" s="8"/>
      <c r="J23" s="8"/>
      <c r="K23" s="8"/>
      <c r="L23" s="125">
        <f t="shared" si="0"/>
        <v>0</v>
      </c>
      <c r="M23" s="100">
        <f t="shared" si="5"/>
        <v>0</v>
      </c>
      <c r="N23" s="100">
        <f t="shared" si="5"/>
        <v>0</v>
      </c>
      <c r="O23" s="21"/>
    </row>
    <row r="24" spans="1:15" ht="10.5" customHeight="1" thickBot="1">
      <c r="A24" s="14" t="s">
        <v>30</v>
      </c>
      <c r="B24" s="24" t="s">
        <v>161</v>
      </c>
      <c r="C24" s="94">
        <f>SUM(C21:C23)</f>
        <v>71900</v>
      </c>
      <c r="D24" s="94">
        <f aca="true" t="shared" si="6" ref="D24:M24">SUM(D21:D23)</f>
        <v>165995</v>
      </c>
      <c r="E24" s="94">
        <f>SUM(E21:E23)</f>
        <v>118171</v>
      </c>
      <c r="F24" s="16">
        <f t="shared" si="6"/>
        <v>-71900</v>
      </c>
      <c r="G24" s="16">
        <f t="shared" si="6"/>
        <v>-165995</v>
      </c>
      <c r="H24" s="16">
        <f t="shared" si="6"/>
        <v>-118171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94">
        <f t="shared" si="6"/>
        <v>0</v>
      </c>
      <c r="M24" s="94">
        <f t="shared" si="6"/>
        <v>0</v>
      </c>
      <c r="N24" s="94">
        <f>SUM(N21:N23)</f>
        <v>0</v>
      </c>
      <c r="O24" s="21"/>
    </row>
    <row r="25" spans="1:15" ht="10.5" customHeight="1" thickBot="1">
      <c r="A25" s="89" t="s">
        <v>184</v>
      </c>
      <c r="B25" s="115" t="s">
        <v>182</v>
      </c>
      <c r="C25" s="100">
        <f>SUM('30'!L25+'32'!L25+'34'!L25)</f>
        <v>0</v>
      </c>
      <c r="D25" s="100">
        <f>SUM('30'!M25+'32'!M25+'34'!M25)</f>
        <v>2500000</v>
      </c>
      <c r="E25" s="100">
        <f>SUM('30'!N25+'32'!N25+'34'!N25)</f>
        <v>0</v>
      </c>
      <c r="F25" s="21"/>
      <c r="G25" s="21"/>
      <c r="H25" s="21"/>
      <c r="I25" s="21"/>
      <c r="J25" s="21"/>
      <c r="K25" s="21"/>
      <c r="L25" s="100">
        <f t="shared" si="0"/>
        <v>0</v>
      </c>
      <c r="M25" s="100">
        <f>SUM(D25,G25)+J25</f>
        <v>2500000</v>
      </c>
      <c r="N25" s="100">
        <f>SUM(E25,H25)+K25</f>
        <v>0</v>
      </c>
      <c r="O25" s="21"/>
    </row>
    <row r="26" spans="1:15" ht="10.5" customHeight="1" thickBot="1">
      <c r="A26" s="91" t="s">
        <v>178</v>
      </c>
      <c r="B26" s="122" t="s">
        <v>179</v>
      </c>
      <c r="C26" s="102">
        <f>SUM(C20,C24,C25)</f>
        <v>4606438</v>
      </c>
      <c r="D26" s="102">
        <f aca="true" t="shared" si="7" ref="D26:M26">SUM(D20,D24,D25)</f>
        <v>7261653</v>
      </c>
      <c r="E26" s="102">
        <f>SUM(E20,E24,E25)</f>
        <v>4444393</v>
      </c>
      <c r="F26" s="77">
        <f t="shared" si="7"/>
        <v>-4606438</v>
      </c>
      <c r="G26" s="77">
        <f t="shared" si="7"/>
        <v>-4761653</v>
      </c>
      <c r="H26" s="77">
        <f t="shared" si="7"/>
        <v>-4444393</v>
      </c>
      <c r="I26" s="77">
        <f t="shared" si="7"/>
        <v>0</v>
      </c>
      <c r="J26" s="77">
        <f t="shared" si="7"/>
        <v>0</v>
      </c>
      <c r="K26" s="77">
        <f t="shared" si="7"/>
        <v>0</v>
      </c>
      <c r="L26" s="102">
        <f t="shared" si="7"/>
        <v>0</v>
      </c>
      <c r="M26" s="102">
        <f t="shared" si="7"/>
        <v>2500000</v>
      </c>
      <c r="N26" s="102">
        <f>SUM(N20,N24,N25)</f>
        <v>0</v>
      </c>
      <c r="O26" s="21"/>
    </row>
    <row r="27" spans="1:20" s="19" customFormat="1" ht="10.5" customHeight="1">
      <c r="A27" s="25"/>
      <c r="B27" s="19" t="s">
        <v>183</v>
      </c>
      <c r="C27" s="99">
        <f>SUM(C26,C18,C14)</f>
        <v>27911293</v>
      </c>
      <c r="D27" s="99">
        <f>SUM(D26,D18,D14)</f>
        <v>34966837</v>
      </c>
      <c r="E27" s="99">
        <f>SUM(E26,E18,E14)</f>
        <v>27696824</v>
      </c>
      <c r="F27" s="9">
        <f aca="true" t="shared" si="8" ref="F27:M27">SUM(F26,F18,F14)</f>
        <v>-4606438</v>
      </c>
      <c r="G27" s="9">
        <f t="shared" si="8"/>
        <v>-4761653</v>
      </c>
      <c r="H27" s="9">
        <f t="shared" si="8"/>
        <v>-4444393</v>
      </c>
      <c r="I27" s="9">
        <f t="shared" si="8"/>
        <v>-194000</v>
      </c>
      <c r="J27" s="9">
        <f t="shared" si="8"/>
        <v>-267751</v>
      </c>
      <c r="K27" s="9">
        <f t="shared" si="8"/>
        <v>-267751</v>
      </c>
      <c r="L27" s="99">
        <f t="shared" si="8"/>
        <v>23110855</v>
      </c>
      <c r="M27" s="99">
        <f t="shared" si="8"/>
        <v>29937433</v>
      </c>
      <c r="N27" s="99">
        <f>SUM(N26,N18,N14)</f>
        <v>22984680</v>
      </c>
      <c r="O27" s="9"/>
      <c r="P27" s="9"/>
      <c r="Q27" s="9"/>
      <c r="R27" s="9"/>
      <c r="T27" s="9"/>
    </row>
    <row r="28" spans="1:21" ht="10.5" customHeight="1">
      <c r="A28" s="156" t="s">
        <v>33</v>
      </c>
      <c r="B28" s="156"/>
      <c r="C28" s="99"/>
      <c r="D28" s="99"/>
      <c r="E28" s="99"/>
      <c r="F28" s="8"/>
      <c r="G28" s="8"/>
      <c r="H28" s="8"/>
      <c r="I28" s="8"/>
      <c r="J28" s="8"/>
      <c r="K28" s="8"/>
      <c r="L28" s="125"/>
      <c r="M28" s="99"/>
      <c r="N28" s="99"/>
      <c r="O28" s="9"/>
      <c r="U28" s="81"/>
    </row>
    <row r="29" spans="1:15" ht="10.5" customHeight="1">
      <c r="A29" s="4" t="s">
        <v>34</v>
      </c>
      <c r="B29" s="3" t="s">
        <v>162</v>
      </c>
      <c r="C29" s="125">
        <f>SUM('30'!L29+'32'!L29+'34'!L29)</f>
        <v>2038846</v>
      </c>
      <c r="D29" s="125">
        <f>SUM('30'!M29+'32'!M29+'34'!M29)</f>
        <v>2145400</v>
      </c>
      <c r="E29" s="125">
        <f>SUM('30'!N29+'32'!N29+'34'!N29)</f>
        <v>2145400</v>
      </c>
      <c r="F29" s="10"/>
      <c r="G29" s="10"/>
      <c r="H29" s="10"/>
      <c r="I29" s="10"/>
      <c r="J29" s="10"/>
      <c r="K29" s="10"/>
      <c r="L29" s="99">
        <f>SUM(C29,F29)</f>
        <v>2038846</v>
      </c>
      <c r="M29" s="99">
        <f>SUM(D29,G29)</f>
        <v>2145400</v>
      </c>
      <c r="N29" s="99">
        <f>SUM(E29,H29)</f>
        <v>2145400</v>
      </c>
      <c r="O29" s="9"/>
    </row>
    <row r="30" spans="1:15" ht="10.5" customHeight="1">
      <c r="A30" s="4" t="s">
        <v>35</v>
      </c>
      <c r="B30" s="3" t="s">
        <v>163</v>
      </c>
      <c r="C30" s="125">
        <f>SUM('30'!L30+'32'!L30+'34'!L30)</f>
        <v>0</v>
      </c>
      <c r="D30" s="125">
        <f>SUM('30'!M30+'32'!M30+'34'!M30)</f>
        <v>0</v>
      </c>
      <c r="E30" s="125">
        <f>SUM('30'!N30+'32'!N30+'34'!N30)</f>
        <v>325330</v>
      </c>
      <c r="F30" s="10"/>
      <c r="G30" s="10"/>
      <c r="H30" s="10"/>
      <c r="I30" s="10"/>
      <c r="J30" s="10"/>
      <c r="K30" s="10"/>
      <c r="L30" s="125">
        <f t="shared" si="0"/>
        <v>0</v>
      </c>
      <c r="M30" s="99">
        <f>SUM(D30,G30)</f>
        <v>0</v>
      </c>
      <c r="N30" s="99">
        <f>SUM(E30,H30)</f>
        <v>325330</v>
      </c>
      <c r="O30" s="9"/>
    </row>
    <row r="31" spans="1:15" ht="10.5" customHeight="1">
      <c r="A31" s="4" t="s">
        <v>164</v>
      </c>
      <c r="B31" s="3" t="s">
        <v>165</v>
      </c>
      <c r="C31" s="125">
        <f>SUM('30'!L31+'32'!L31+'34'!L31)</f>
        <v>1237377</v>
      </c>
      <c r="D31" s="125">
        <f>SUM('30'!M31+'32'!M31+'34'!M31)</f>
        <v>1532432</v>
      </c>
      <c r="E31" s="125">
        <f>SUM('30'!N31+'32'!N31+'34'!N31)</f>
        <v>1511403</v>
      </c>
      <c r="F31" s="10"/>
      <c r="G31" s="10"/>
      <c r="H31" s="10"/>
      <c r="I31" s="10"/>
      <c r="J31" s="10"/>
      <c r="K31" s="10"/>
      <c r="L31" s="125">
        <f t="shared" si="0"/>
        <v>1237377</v>
      </c>
      <c r="M31" s="99">
        <f>SUM(D31,G31)</f>
        <v>1532432</v>
      </c>
      <c r="N31" s="99">
        <f>SUM(E31,H31)</f>
        <v>1511403</v>
      </c>
      <c r="O31" s="9"/>
    </row>
    <row r="32" spans="1:15" ht="10.5" customHeight="1">
      <c r="A32" s="27" t="s">
        <v>7</v>
      </c>
      <c r="B32" s="28" t="s">
        <v>166</v>
      </c>
      <c r="C32" s="101">
        <f>SUM(C29:C31)</f>
        <v>3276223</v>
      </c>
      <c r="D32" s="101">
        <f aca="true" t="shared" si="9" ref="D32:L32">SUM(D29:D31)</f>
        <v>3677832</v>
      </c>
      <c r="E32" s="101">
        <f>SUM(E29:E31)</f>
        <v>3982133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101">
        <f t="shared" si="9"/>
        <v>3276223</v>
      </c>
      <c r="M32" s="101">
        <f>SUM(M29:M31)</f>
        <v>3677832</v>
      </c>
      <c r="N32" s="101">
        <f>SUM(N29:N31)</f>
        <v>3982133</v>
      </c>
      <c r="O32" s="21"/>
    </row>
    <row r="33" spans="1:18" ht="10.5" customHeight="1">
      <c r="A33" s="4" t="s">
        <v>9</v>
      </c>
      <c r="B33" s="3" t="s">
        <v>36</v>
      </c>
      <c r="C33" s="125">
        <f>SUM('30'!L33+'32'!L33+'34'!L33)</f>
        <v>4967848</v>
      </c>
      <c r="D33" s="125">
        <f>SUM('30'!M33+'32'!M33+'34'!M33)</f>
        <v>4967848</v>
      </c>
      <c r="E33" s="125">
        <f>SUM('30'!N33+'32'!N33+'34'!N33)</f>
        <v>5198853</v>
      </c>
      <c r="F33" s="10"/>
      <c r="G33" s="10"/>
      <c r="H33" s="10"/>
      <c r="I33" s="8"/>
      <c r="J33" s="10"/>
      <c r="K33" s="8"/>
      <c r="L33" s="125">
        <f t="shared" si="0"/>
        <v>4967848</v>
      </c>
      <c r="M33" s="99">
        <f>SUM(D33,G33)</f>
        <v>4967848</v>
      </c>
      <c r="N33" s="99">
        <f>SUM(E33,H33)</f>
        <v>5198853</v>
      </c>
      <c r="O33" s="9"/>
      <c r="R33" s="8"/>
    </row>
    <row r="34" spans="1:16" s="19" customFormat="1" ht="10.5" customHeight="1">
      <c r="A34" s="4" t="s">
        <v>10</v>
      </c>
      <c r="B34" s="3" t="s">
        <v>167</v>
      </c>
      <c r="C34" s="125">
        <f>SUM('30'!L34+'32'!L34+'34'!L34)</f>
        <v>5593267</v>
      </c>
      <c r="D34" s="125">
        <f>SUM('30'!M34+'32'!M34+'34'!M34)</f>
        <v>6367328</v>
      </c>
      <c r="E34" s="125">
        <f>SUM('30'!N34+'32'!N34+'34'!N34)</f>
        <v>6893978</v>
      </c>
      <c r="F34" s="10"/>
      <c r="G34" s="10"/>
      <c r="H34" s="10"/>
      <c r="I34" s="10">
        <v>-194000</v>
      </c>
      <c r="J34" s="10">
        <v>-267751</v>
      </c>
      <c r="K34" s="10">
        <v>-267751</v>
      </c>
      <c r="L34" s="125">
        <f t="shared" si="0"/>
        <v>5399267</v>
      </c>
      <c r="M34" s="99">
        <f>SUM(D34,G34,J34)</f>
        <v>6099577</v>
      </c>
      <c r="N34" s="99">
        <f>SUM(E34,H34,K34)</f>
        <v>6626227</v>
      </c>
      <c r="O34" s="9"/>
      <c r="P34" s="9"/>
    </row>
    <row r="35" spans="1:15" s="19" customFormat="1" ht="10.5" customHeight="1" thickBot="1">
      <c r="A35" s="4" t="s">
        <v>11</v>
      </c>
      <c r="B35" s="3" t="s">
        <v>37</v>
      </c>
      <c r="C35" s="125">
        <f>SUM('30'!L35+'32'!L35+'34'!L35)</f>
        <v>134</v>
      </c>
      <c r="D35" s="125">
        <f>SUM('30'!M35+'32'!M35+'34'!M35)</f>
        <v>174</v>
      </c>
      <c r="E35" s="125">
        <f>SUM('30'!N35+'32'!N35+'34'!N35)</f>
        <v>1211</v>
      </c>
      <c r="F35" s="10"/>
      <c r="G35" s="10"/>
      <c r="H35" s="10"/>
      <c r="I35" s="8"/>
      <c r="J35" s="10"/>
      <c r="K35" s="8"/>
      <c r="L35" s="125">
        <f t="shared" si="0"/>
        <v>134</v>
      </c>
      <c r="M35" s="99">
        <f>SUM(D35,G35)</f>
        <v>174</v>
      </c>
      <c r="N35" s="99">
        <f>SUM(E35,H35)</f>
        <v>1211</v>
      </c>
      <c r="O35" s="9"/>
    </row>
    <row r="36" spans="1:15" ht="10.5" customHeight="1" thickBot="1">
      <c r="A36" s="14" t="s">
        <v>16</v>
      </c>
      <c r="B36" s="15" t="s">
        <v>169</v>
      </c>
      <c r="C36" s="94">
        <f>SUM(C32:C35)</f>
        <v>13837472</v>
      </c>
      <c r="D36" s="94">
        <f aca="true" t="shared" si="10" ref="D36:M36">SUM(D32:D35)</f>
        <v>15013182</v>
      </c>
      <c r="E36" s="94">
        <f>SUM(E32:E35)</f>
        <v>16076175</v>
      </c>
      <c r="F36" s="16">
        <f t="shared" si="10"/>
        <v>0</v>
      </c>
      <c r="G36" s="16">
        <f t="shared" si="10"/>
        <v>0</v>
      </c>
      <c r="H36" s="16">
        <f t="shared" si="10"/>
        <v>0</v>
      </c>
      <c r="I36" s="16">
        <f t="shared" si="10"/>
        <v>-194000</v>
      </c>
      <c r="J36" s="16">
        <f t="shared" si="10"/>
        <v>-267751</v>
      </c>
      <c r="K36" s="16">
        <f t="shared" si="10"/>
        <v>-267751</v>
      </c>
      <c r="L36" s="94">
        <f t="shared" si="10"/>
        <v>13643472</v>
      </c>
      <c r="M36" s="94">
        <f t="shared" si="10"/>
        <v>14745431</v>
      </c>
      <c r="N36" s="94">
        <f>SUM(N32:N35)</f>
        <v>15808424</v>
      </c>
      <c r="O36" s="21"/>
    </row>
    <row r="37" spans="1:15" ht="10.5" customHeight="1">
      <c r="A37" s="4" t="s">
        <v>17</v>
      </c>
      <c r="B37" s="3" t="s">
        <v>39</v>
      </c>
      <c r="C37" s="99">
        <f>SUM('30'!L37+'32'!L37+'34'!L37)</f>
        <v>3143753</v>
      </c>
      <c r="D37" s="99">
        <f>SUM('30'!M37+'32'!M37+'34'!M37)</f>
        <v>2310070</v>
      </c>
      <c r="E37" s="99">
        <f>SUM('30'!N37+'32'!N37+'34'!N37)</f>
        <v>1933789</v>
      </c>
      <c r="F37" s="8"/>
      <c r="G37" s="8"/>
      <c r="H37" s="8"/>
      <c r="I37" s="8"/>
      <c r="J37" s="10"/>
      <c r="K37" s="8"/>
      <c r="L37" s="125">
        <f t="shared" si="0"/>
        <v>3143753</v>
      </c>
      <c r="M37" s="99">
        <f aca="true" t="shared" si="11" ref="M37:N39">SUM(D37,G37)</f>
        <v>2310070</v>
      </c>
      <c r="N37" s="99">
        <f t="shared" si="11"/>
        <v>1933789</v>
      </c>
      <c r="O37" s="9"/>
    </row>
    <row r="38" spans="1:15" ht="10.5" customHeight="1">
      <c r="A38" s="4" t="s">
        <v>18</v>
      </c>
      <c r="B38" s="3" t="s">
        <v>168</v>
      </c>
      <c r="C38" s="99">
        <f>SUM('30'!L38+'32'!L38+'34'!L38)</f>
        <v>6150000</v>
      </c>
      <c r="D38" s="99">
        <f>SUM('30'!M38+'32'!M38+'34'!M38)</f>
        <v>7384963</v>
      </c>
      <c r="E38" s="99">
        <f>SUM('30'!N38+'32'!N38+'34'!N38)</f>
        <v>6932356</v>
      </c>
      <c r="F38" s="8"/>
      <c r="G38" s="8"/>
      <c r="H38" s="8"/>
      <c r="I38" s="8"/>
      <c r="J38" s="10"/>
      <c r="K38" s="10"/>
      <c r="L38" s="125">
        <f t="shared" si="0"/>
        <v>6150000</v>
      </c>
      <c r="M38" s="99">
        <f t="shared" si="11"/>
        <v>7384963</v>
      </c>
      <c r="N38" s="99">
        <f t="shared" si="11"/>
        <v>6932356</v>
      </c>
      <c r="O38" s="9"/>
    </row>
    <row r="39" spans="1:15" s="19" customFormat="1" ht="10.5" customHeight="1" thickBot="1">
      <c r="A39" s="4" t="s">
        <v>20</v>
      </c>
      <c r="B39" s="3" t="s">
        <v>40</v>
      </c>
      <c r="C39" s="99">
        <f>SUM('30'!L39+'32'!L39+'34'!L39)</f>
        <v>112266</v>
      </c>
      <c r="D39" s="99">
        <f>SUM('30'!M39+'32'!M39+'34'!M39)</f>
        <v>77066</v>
      </c>
      <c r="E39" s="99">
        <f>SUM('30'!N39+'32'!N39+'34'!N39)</f>
        <v>28800</v>
      </c>
      <c r="F39" s="8"/>
      <c r="G39" s="8"/>
      <c r="H39" s="8"/>
      <c r="I39" s="8"/>
      <c r="J39" s="8"/>
      <c r="K39" s="8"/>
      <c r="L39" s="125">
        <f t="shared" si="0"/>
        <v>112266</v>
      </c>
      <c r="M39" s="99">
        <f t="shared" si="11"/>
        <v>77066</v>
      </c>
      <c r="N39" s="99">
        <f t="shared" si="11"/>
        <v>28800</v>
      </c>
      <c r="O39" s="9"/>
    </row>
    <row r="40" spans="1:15" ht="10.5" customHeight="1" thickBot="1">
      <c r="A40" s="14" t="s">
        <v>22</v>
      </c>
      <c r="B40" s="15" t="s">
        <v>170</v>
      </c>
      <c r="C40" s="94">
        <f>SUM(C37:C39)</f>
        <v>9406019</v>
      </c>
      <c r="D40" s="94">
        <f aca="true" t="shared" si="12" ref="D40:M40">SUM(D37:D39)</f>
        <v>9772099</v>
      </c>
      <c r="E40" s="94">
        <f>SUM(E37:E39)</f>
        <v>8894945</v>
      </c>
      <c r="F40" s="16">
        <f t="shared" si="12"/>
        <v>0</v>
      </c>
      <c r="G40" s="16">
        <f t="shared" si="12"/>
        <v>0</v>
      </c>
      <c r="H40" s="16">
        <f t="shared" si="12"/>
        <v>0</v>
      </c>
      <c r="I40" s="16">
        <f t="shared" si="12"/>
        <v>0</v>
      </c>
      <c r="J40" s="16">
        <f t="shared" si="12"/>
        <v>0</v>
      </c>
      <c r="K40" s="16">
        <f t="shared" si="12"/>
        <v>0</v>
      </c>
      <c r="L40" s="94">
        <f t="shared" si="12"/>
        <v>9406019</v>
      </c>
      <c r="M40" s="94">
        <f t="shared" si="12"/>
        <v>9772099</v>
      </c>
      <c r="N40" s="94">
        <f>SUM(N37:N39)</f>
        <v>8894945</v>
      </c>
      <c r="O40" s="21"/>
    </row>
    <row r="41" spans="1:15" ht="10.5" customHeight="1" thickBot="1">
      <c r="A41" s="30" t="s">
        <v>23</v>
      </c>
      <c r="B41" s="15" t="s">
        <v>29</v>
      </c>
      <c r="C41" s="94">
        <f>SUM('30'!L41+'32'!L41+'34'!L41)</f>
        <v>4534538</v>
      </c>
      <c r="D41" s="94">
        <f>SUM('30'!M41+'32'!M41+'34'!M41)</f>
        <v>4595658</v>
      </c>
      <c r="E41" s="94">
        <f>SUM('30'!N41+'32'!N41+'34'!N41)</f>
        <v>4326222</v>
      </c>
      <c r="F41" s="16">
        <v>-4534538</v>
      </c>
      <c r="G41" s="16">
        <v>-4595658</v>
      </c>
      <c r="H41" s="16">
        <v>-4326222</v>
      </c>
      <c r="I41" s="16"/>
      <c r="J41" s="16"/>
      <c r="K41" s="76"/>
      <c r="L41" s="125">
        <f>SUM(C41,F41)+I41</f>
        <v>0</v>
      </c>
      <c r="M41" s="125">
        <f>SUM(D41,G41)+J41</f>
        <v>0</v>
      </c>
      <c r="N41" s="125">
        <f>SUM(E41,H41)+K41</f>
        <v>0</v>
      </c>
      <c r="O41" s="21"/>
    </row>
    <row r="42" spans="1:16" ht="10.5" customHeight="1" thickBot="1">
      <c r="A42" s="30" t="s">
        <v>25</v>
      </c>
      <c r="B42" s="15" t="s">
        <v>171</v>
      </c>
      <c r="C42" s="94">
        <f>SUM('30'!L42+'32'!L42+'34'!L42)</f>
        <v>61364</v>
      </c>
      <c r="D42" s="94">
        <f>SUM('30'!M42+'32'!M42+'34'!M42)</f>
        <v>1095138</v>
      </c>
      <c r="E42" s="94">
        <f>SUM('30'!N42+'32'!N42+'34'!N42)</f>
        <v>482122</v>
      </c>
      <c r="F42" s="16"/>
      <c r="G42" s="16"/>
      <c r="H42" s="16">
        <f>SUM(F42:G42)</f>
        <v>0</v>
      </c>
      <c r="I42" s="16"/>
      <c r="J42" s="16"/>
      <c r="K42" s="77"/>
      <c r="L42" s="130">
        <f t="shared" si="0"/>
        <v>61364</v>
      </c>
      <c r="M42" s="102">
        <f>SUM(D42,G42)</f>
        <v>1095138</v>
      </c>
      <c r="N42" s="102">
        <f>SUM(E42,H42)</f>
        <v>482122</v>
      </c>
      <c r="O42" s="21"/>
      <c r="P42" s="8"/>
    </row>
    <row r="43" spans="1:16" ht="10.5" customHeight="1" thickBot="1">
      <c r="A43" s="30" t="s">
        <v>196</v>
      </c>
      <c r="B43" s="15" t="s">
        <v>197</v>
      </c>
      <c r="C43" s="94"/>
      <c r="D43" s="94">
        <f>SUM('30'!M43+'32'!M43+'34'!M43)</f>
        <v>83862</v>
      </c>
      <c r="E43" s="94">
        <f>SUM('30'!N43+'32'!N43+'34'!N43)</f>
        <v>83862</v>
      </c>
      <c r="F43" s="16"/>
      <c r="G43" s="16"/>
      <c r="H43" s="16"/>
      <c r="I43" s="16"/>
      <c r="J43" s="16"/>
      <c r="K43" s="21"/>
      <c r="L43" s="134"/>
      <c r="M43" s="102">
        <f>SUM(D43,G43)</f>
        <v>83862</v>
      </c>
      <c r="N43" s="102">
        <f>SUM(E43,H43)</f>
        <v>83862</v>
      </c>
      <c r="O43" s="21"/>
      <c r="P43" s="8"/>
    </row>
    <row r="44" spans="1:16" ht="13.5" thickBot="1">
      <c r="A44" s="14" t="s">
        <v>26</v>
      </c>
      <c r="B44" s="15" t="s">
        <v>41</v>
      </c>
      <c r="C44" s="94">
        <f>SUM(C41:C42)</f>
        <v>4595902</v>
      </c>
      <c r="D44" s="94">
        <f>SUM(D41:D43)</f>
        <v>5774658</v>
      </c>
      <c r="E44" s="94">
        <f>SUM(E41:E43)</f>
        <v>4892206</v>
      </c>
      <c r="F44" s="16">
        <f aca="true" t="shared" si="13" ref="F44:L44">SUM(F41:F42)</f>
        <v>-4534538</v>
      </c>
      <c r="G44" s="16">
        <f t="shared" si="13"/>
        <v>-4595658</v>
      </c>
      <c r="H44" s="16">
        <f t="shared" si="13"/>
        <v>-4326222</v>
      </c>
      <c r="I44" s="16">
        <f t="shared" si="13"/>
        <v>0</v>
      </c>
      <c r="J44" s="16">
        <f t="shared" si="13"/>
        <v>0</v>
      </c>
      <c r="K44" s="16">
        <f t="shared" si="13"/>
        <v>0</v>
      </c>
      <c r="L44" s="94">
        <f t="shared" si="13"/>
        <v>61364</v>
      </c>
      <c r="M44" s="94">
        <f>SUM(M41:M43)</f>
        <v>1179000</v>
      </c>
      <c r="N44" s="94">
        <f>SUM(N41:N43)</f>
        <v>565984</v>
      </c>
      <c r="O44" s="9"/>
      <c r="P44" s="8"/>
    </row>
    <row r="45" spans="1:15" ht="12.75">
      <c r="A45" s="89" t="s">
        <v>28</v>
      </c>
      <c r="B45" s="20" t="s">
        <v>32</v>
      </c>
      <c r="C45" s="100">
        <f>SUM('30'!L45+'32'!L45+'34'!L45)</f>
        <v>71900</v>
      </c>
      <c r="D45" s="100">
        <f>SUM('30'!M45+'32'!M45+'34'!M45)</f>
        <v>165995</v>
      </c>
      <c r="E45" s="100">
        <f>SUM('30'!N45+'32'!N45+'34'!N45)</f>
        <v>118171</v>
      </c>
      <c r="F45" s="21">
        <v>-71900</v>
      </c>
      <c r="G45" s="21">
        <v>-165995</v>
      </c>
      <c r="H45" s="21">
        <v>-118171</v>
      </c>
      <c r="I45" s="21"/>
      <c r="J45" s="21"/>
      <c r="K45" s="21"/>
      <c r="L45" s="100">
        <f aca="true" t="shared" si="14" ref="L45:N46">SUM(C45,F45)</f>
        <v>0</v>
      </c>
      <c r="M45" s="100">
        <f t="shared" si="14"/>
        <v>0</v>
      </c>
      <c r="N45" s="100">
        <f t="shared" si="14"/>
        <v>0</v>
      </c>
      <c r="O45" s="9"/>
    </row>
    <row r="46" spans="1:15" ht="13.5" thickBot="1">
      <c r="A46" s="89" t="s">
        <v>159</v>
      </c>
      <c r="B46" s="20" t="s">
        <v>172</v>
      </c>
      <c r="C46" s="100">
        <f>SUM('30'!L46+'32'!L46+'34'!L46)</f>
        <v>0</v>
      </c>
      <c r="D46" s="100">
        <f>SUM('30'!M46+'32'!M46+'34'!M46)</f>
        <v>1740903</v>
      </c>
      <c r="E46" s="100">
        <f>SUM('30'!N46+'32'!N46+'34'!N46)</f>
        <v>1740903</v>
      </c>
      <c r="F46" s="21"/>
      <c r="G46" s="21"/>
      <c r="H46" s="21"/>
      <c r="I46" s="21"/>
      <c r="J46" s="21"/>
      <c r="K46" s="21"/>
      <c r="L46" s="100">
        <f t="shared" si="14"/>
        <v>0</v>
      </c>
      <c r="M46" s="100">
        <f t="shared" si="14"/>
        <v>1740903</v>
      </c>
      <c r="N46" s="100">
        <f t="shared" si="14"/>
        <v>1740903</v>
      </c>
      <c r="O46" s="9"/>
    </row>
    <row r="47" spans="1:15" ht="13.5" thickBot="1">
      <c r="A47" s="91" t="s">
        <v>30</v>
      </c>
      <c r="B47" s="92" t="s">
        <v>42</v>
      </c>
      <c r="C47" s="102">
        <f>SUM(C45:C46)</f>
        <v>71900</v>
      </c>
      <c r="D47" s="102">
        <f aca="true" t="shared" si="15" ref="D47:M47">SUM(D45:D46)</f>
        <v>1906898</v>
      </c>
      <c r="E47" s="102">
        <f>SUM(E45:E46)</f>
        <v>1859074</v>
      </c>
      <c r="F47" s="77">
        <f t="shared" si="15"/>
        <v>-71900</v>
      </c>
      <c r="G47" s="77">
        <f t="shared" si="15"/>
        <v>-165995</v>
      </c>
      <c r="H47" s="77">
        <f t="shared" si="15"/>
        <v>-118171</v>
      </c>
      <c r="I47" s="77">
        <f t="shared" si="15"/>
        <v>0</v>
      </c>
      <c r="J47" s="77">
        <f t="shared" si="15"/>
        <v>0</v>
      </c>
      <c r="K47" s="77">
        <f t="shared" si="15"/>
        <v>0</v>
      </c>
      <c r="L47" s="102">
        <f t="shared" si="15"/>
        <v>0</v>
      </c>
      <c r="M47" s="102">
        <f t="shared" si="15"/>
        <v>1740903</v>
      </c>
      <c r="N47" s="102">
        <f>SUM(N45:N46)</f>
        <v>1740903</v>
      </c>
      <c r="O47" s="9"/>
    </row>
    <row r="48" spans="1:15" ht="13.5" thickBot="1">
      <c r="A48" s="89" t="s">
        <v>184</v>
      </c>
      <c r="B48" s="20" t="s">
        <v>181</v>
      </c>
      <c r="C48" s="100">
        <f>SUM('30'!L48+'32'!L48+'34'!L48)</f>
        <v>0</v>
      </c>
      <c r="D48" s="100">
        <f>SUM('30'!M48+'32'!M48+'34'!M48)</f>
        <v>2500000</v>
      </c>
      <c r="E48" s="100">
        <f>SUM('30'!N48+'32'!N48+'34'!N48)</f>
        <v>0</v>
      </c>
      <c r="F48" s="21"/>
      <c r="G48" s="21"/>
      <c r="H48" s="21"/>
      <c r="I48" s="21"/>
      <c r="J48" s="21"/>
      <c r="K48" s="21"/>
      <c r="L48" s="100">
        <f>SUM(C48,F48)+I48</f>
        <v>0</v>
      </c>
      <c r="M48" s="100">
        <f>SUM(D48,G48)+J48</f>
        <v>2500000</v>
      </c>
      <c r="N48" s="100">
        <f>SUM(E48,H48)+K48</f>
        <v>0</v>
      </c>
      <c r="O48" s="9"/>
    </row>
    <row r="49" spans="1:20" ht="13.5" thickBot="1">
      <c r="A49" s="91" t="s">
        <v>178</v>
      </c>
      <c r="B49" s="92" t="s">
        <v>180</v>
      </c>
      <c r="C49" s="102">
        <f>SUM(C47,C44,C48)</f>
        <v>4667802</v>
      </c>
      <c r="D49" s="102">
        <f aca="true" t="shared" si="16" ref="D49:M49">SUM(D47,D44,D48)</f>
        <v>10181556</v>
      </c>
      <c r="E49" s="102">
        <f>SUM(E47,E44,E48)</f>
        <v>6751280</v>
      </c>
      <c r="F49" s="77">
        <f t="shared" si="16"/>
        <v>-4606438</v>
      </c>
      <c r="G49" s="77">
        <f t="shared" si="16"/>
        <v>-4761653</v>
      </c>
      <c r="H49" s="77">
        <f t="shared" si="16"/>
        <v>-4444393</v>
      </c>
      <c r="I49" s="77">
        <f t="shared" si="16"/>
        <v>0</v>
      </c>
      <c r="J49" s="77">
        <f t="shared" si="16"/>
        <v>0</v>
      </c>
      <c r="K49" s="77">
        <f t="shared" si="16"/>
        <v>0</v>
      </c>
      <c r="L49" s="102">
        <f t="shared" si="16"/>
        <v>61364</v>
      </c>
      <c r="M49" s="102">
        <f t="shared" si="16"/>
        <v>5419903</v>
      </c>
      <c r="N49" s="102">
        <f>SUM(N47,N44,N48)</f>
        <v>2306887</v>
      </c>
      <c r="O49" s="9"/>
      <c r="P49" s="8"/>
      <c r="R49" s="8"/>
      <c r="T49" s="8"/>
    </row>
    <row r="50" spans="1:17" s="84" customFormat="1" ht="13.5" thickBot="1">
      <c r="A50" s="25"/>
      <c r="B50" s="19" t="s">
        <v>185</v>
      </c>
      <c r="C50" s="99">
        <f>SUM(C49,C40,C36)</f>
        <v>27911293</v>
      </c>
      <c r="D50" s="99">
        <f>SUM(D49,D40,D36)</f>
        <v>34966837</v>
      </c>
      <c r="E50" s="99">
        <f>SUM(E49,E40,E36)</f>
        <v>31722400</v>
      </c>
      <c r="F50" s="9">
        <f aca="true" t="shared" si="17" ref="F50:M50">SUM(F49,F40,F36)</f>
        <v>-4606438</v>
      </c>
      <c r="G50" s="9">
        <f t="shared" si="17"/>
        <v>-4761653</v>
      </c>
      <c r="H50" s="9">
        <f t="shared" si="17"/>
        <v>-4444393</v>
      </c>
      <c r="I50" s="9">
        <f t="shared" si="17"/>
        <v>-194000</v>
      </c>
      <c r="J50" s="9">
        <f t="shared" si="17"/>
        <v>-267751</v>
      </c>
      <c r="K50" s="9">
        <f t="shared" si="17"/>
        <v>-267751</v>
      </c>
      <c r="L50" s="99">
        <f t="shared" si="17"/>
        <v>23110855</v>
      </c>
      <c r="M50" s="99">
        <f t="shared" si="17"/>
        <v>29937433</v>
      </c>
      <c r="N50" s="99">
        <f>SUM(N49,N40,N36)</f>
        <v>27010256</v>
      </c>
      <c r="O50" s="21"/>
      <c r="P50" s="82"/>
      <c r="Q50" s="82"/>
    </row>
    <row r="51" spans="1:15" ht="13.5" thickBot="1">
      <c r="A51" s="32"/>
      <c r="B51" s="33" t="s">
        <v>43</v>
      </c>
      <c r="C51" s="129">
        <f>SUM('30'!L51+'32'!L51+'34'!L51)</f>
        <v>641.5</v>
      </c>
      <c r="D51" s="129">
        <f>SUM('30'!M51+'32'!M51+'34'!M51)</f>
        <v>631.5</v>
      </c>
      <c r="E51" s="129">
        <f>SUM('30'!N51+'32'!N51+'34'!N51)</f>
        <v>631.5</v>
      </c>
      <c r="F51" s="59"/>
      <c r="G51" s="59"/>
      <c r="H51" s="59"/>
      <c r="I51" s="59"/>
      <c r="J51" s="59"/>
      <c r="K51" s="59"/>
      <c r="L51" s="131">
        <f aca="true" t="shared" si="18" ref="L51:N52">SUM(C51,F51)</f>
        <v>641.5</v>
      </c>
      <c r="M51" s="129">
        <f t="shared" si="18"/>
        <v>631.5</v>
      </c>
      <c r="N51" s="129">
        <f t="shared" si="18"/>
        <v>631.5</v>
      </c>
      <c r="O51" s="64"/>
    </row>
    <row r="52" spans="1:15" ht="13.5" thickBot="1">
      <c r="A52" s="37"/>
      <c r="B52" s="33" t="s">
        <v>44</v>
      </c>
      <c r="C52" s="104">
        <f>SUM('30'!L52+'32'!L52+'34'!L52)</f>
        <v>15</v>
      </c>
      <c r="D52" s="104">
        <f>SUM('30'!M52+'32'!M52+'34'!M52)</f>
        <v>15</v>
      </c>
      <c r="E52" s="104">
        <f>SUM('30'!N52+'32'!N52+'34'!N52)</f>
        <v>15</v>
      </c>
      <c r="F52" s="42"/>
      <c r="G52" s="42"/>
      <c r="H52" s="42"/>
      <c r="I52" s="42"/>
      <c r="J52" s="42"/>
      <c r="K52" s="42"/>
      <c r="L52" s="132">
        <f t="shared" si="18"/>
        <v>15</v>
      </c>
      <c r="M52" s="104">
        <f t="shared" si="18"/>
        <v>15</v>
      </c>
      <c r="N52" s="104">
        <f t="shared" si="18"/>
        <v>15</v>
      </c>
      <c r="O52" s="8"/>
    </row>
    <row r="53" ht="12.75">
      <c r="P53" s="8"/>
    </row>
    <row r="54" spans="3:13" ht="12.75">
      <c r="C54" s="8"/>
      <c r="D54" s="8"/>
      <c r="F54" s="8"/>
      <c r="G54" s="8"/>
      <c r="I54" s="55"/>
      <c r="J54" s="55"/>
      <c r="L54" s="8"/>
      <c r="M54" s="8">
        <f>+M50-M27</f>
        <v>0</v>
      </c>
    </row>
    <row r="55" spans="5:14" ht="12.75">
      <c r="E55" s="8"/>
      <c r="I55"/>
      <c r="J55" s="55"/>
      <c r="M55" s="8"/>
      <c r="N55" s="8"/>
    </row>
    <row r="56" spans="10:12" ht="12.75">
      <c r="J56" s="8"/>
      <c r="L56" s="10"/>
    </row>
    <row r="57" ht="12.75">
      <c r="E57" s="8"/>
    </row>
  </sheetData>
  <sheetProtection selectLockedCells="1" selectUnlockedCells="1"/>
  <mergeCells count="21">
    <mergeCell ref="K5:K6"/>
    <mergeCell ref="C5:C6"/>
    <mergeCell ref="I5:I6"/>
    <mergeCell ref="B1:N1"/>
    <mergeCell ref="A3:B6"/>
    <mergeCell ref="C3:E4"/>
    <mergeCell ref="F3:H4"/>
    <mergeCell ref="L3:N4"/>
    <mergeCell ref="N5:N6"/>
    <mergeCell ref="L5:L6"/>
    <mergeCell ref="F5:F6"/>
    <mergeCell ref="I3:K4"/>
    <mergeCell ref="M5:M6"/>
    <mergeCell ref="A28:B28"/>
    <mergeCell ref="J5:J6"/>
    <mergeCell ref="D5:D6"/>
    <mergeCell ref="E5:E6"/>
    <mergeCell ref="H5:H6"/>
    <mergeCell ref="A7:B7"/>
    <mergeCell ref="G5:G6"/>
    <mergeCell ref="A8:B8"/>
  </mergeCells>
  <printOptions horizontalCentered="1"/>
  <pageMargins left="0.11811023622047245" right="0.11811023622047245" top="0.4330708661417323" bottom="0.15748031496062992" header="0.31496062992125984" footer="0.31496062992125984"/>
  <pageSetup horizontalDpi="300" verticalDpi="300" orientation="landscape" paperSize="9" scale="85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5"/>
  <sheetViews>
    <sheetView zoomScale="92" zoomScaleNormal="92" zoomScalePageLayoutView="0" workbookViewId="0" topLeftCell="A1">
      <pane ySplit="7" topLeftCell="A17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5" width="9.375" style="1" customWidth="1"/>
    <col min="6" max="6" width="9.00390625" style="1" customWidth="1"/>
    <col min="7" max="7" width="9.375" style="1" customWidth="1"/>
    <col min="8" max="8" width="10.375" style="1" customWidth="1"/>
    <col min="9" max="9" width="9.625" style="1" customWidth="1"/>
    <col min="10" max="11" width="9.375" style="1" customWidth="1"/>
    <col min="12" max="12" width="10.375" style="1" customWidth="1"/>
    <col min="13" max="13" width="11.625" style="1" customWidth="1"/>
    <col min="14" max="14" width="10.625" style="1" customWidth="1"/>
    <col min="15" max="15" width="10.375" style="8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4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8.25" customHeight="1">
      <c r="N2" s="3" t="s">
        <v>0</v>
      </c>
    </row>
    <row r="3" spans="1:14" ht="9" customHeight="1">
      <c r="A3" s="161" t="s">
        <v>1</v>
      </c>
      <c r="B3" s="161"/>
      <c r="C3" s="163">
        <v>1012</v>
      </c>
      <c r="D3" s="163"/>
      <c r="E3" s="163"/>
      <c r="F3" s="163">
        <v>1013</v>
      </c>
      <c r="G3" s="163"/>
      <c r="H3" s="163"/>
      <c r="I3" s="163">
        <v>1014</v>
      </c>
      <c r="J3" s="163"/>
      <c r="K3" s="163"/>
      <c r="L3" s="163">
        <v>1015</v>
      </c>
      <c r="M3" s="163"/>
      <c r="N3" s="163"/>
    </row>
    <row r="4" spans="1:15" s="4" customFormat="1" ht="22.5" customHeight="1" thickBot="1">
      <c r="A4" s="161"/>
      <c r="B4" s="161"/>
      <c r="C4" s="165" t="s">
        <v>53</v>
      </c>
      <c r="D4" s="165"/>
      <c r="E4" s="165"/>
      <c r="F4" s="165" t="s">
        <v>54</v>
      </c>
      <c r="G4" s="165"/>
      <c r="H4" s="165"/>
      <c r="I4" s="166" t="s">
        <v>55</v>
      </c>
      <c r="J4" s="166"/>
      <c r="K4" s="166"/>
      <c r="L4" s="168" t="s">
        <v>56</v>
      </c>
      <c r="M4" s="168"/>
      <c r="N4" s="168"/>
      <c r="O4" s="44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7</v>
      </c>
      <c r="B9" s="3" t="s">
        <v>8</v>
      </c>
      <c r="C9" s="10">
        <v>3180</v>
      </c>
      <c r="D9" s="10">
        <v>3180</v>
      </c>
      <c r="E9" s="10">
        <f>1438+607+347-1000+617+100</f>
        <v>2109</v>
      </c>
      <c r="F9" s="10"/>
      <c r="G9" s="10"/>
      <c r="H9" s="10"/>
      <c r="I9" s="8">
        <v>0</v>
      </c>
      <c r="J9" s="8">
        <v>1013</v>
      </c>
      <c r="K9" s="8">
        <v>1013</v>
      </c>
      <c r="L9" s="8">
        <v>0</v>
      </c>
      <c r="M9" s="8">
        <v>2000</v>
      </c>
      <c r="N9" s="8">
        <f>1000+1000</f>
        <v>2000</v>
      </c>
      <c r="P9" s="8"/>
    </row>
    <row r="10" spans="1:16" ht="10.5" customHeight="1">
      <c r="A10" s="4" t="s">
        <v>9</v>
      </c>
      <c r="B10" s="3" t="s">
        <v>153</v>
      </c>
      <c r="C10" s="10">
        <f>653+241</f>
        <v>894</v>
      </c>
      <c r="D10" s="10">
        <v>894</v>
      </c>
      <c r="E10" s="10">
        <v>0</v>
      </c>
      <c r="F10" s="10"/>
      <c r="G10" s="10"/>
      <c r="H10" s="10"/>
      <c r="I10" s="8">
        <v>0</v>
      </c>
      <c r="J10" s="8">
        <v>1012</v>
      </c>
      <c r="K10" s="8">
        <v>279</v>
      </c>
      <c r="L10" s="8">
        <v>0</v>
      </c>
      <c r="M10" s="8">
        <v>860</v>
      </c>
      <c r="N10" s="8">
        <v>280</v>
      </c>
      <c r="P10" s="8"/>
    </row>
    <row r="11" spans="1:16" ht="10.5" customHeight="1">
      <c r="A11" s="4" t="s">
        <v>10</v>
      </c>
      <c r="B11" s="3" t="s">
        <v>12</v>
      </c>
      <c r="C11" s="10">
        <v>1926</v>
      </c>
      <c r="D11" s="10">
        <v>1926</v>
      </c>
      <c r="E11" s="10">
        <v>146</v>
      </c>
      <c r="F11" s="10"/>
      <c r="G11" s="10"/>
      <c r="H11" s="8"/>
      <c r="I11" s="8">
        <v>0</v>
      </c>
      <c r="J11" s="8">
        <v>1044</v>
      </c>
      <c r="K11" s="8">
        <v>817</v>
      </c>
      <c r="L11" s="8">
        <v>0</v>
      </c>
      <c r="M11" s="8">
        <v>4665</v>
      </c>
      <c r="N11" s="8">
        <v>3977</v>
      </c>
      <c r="P11" s="8"/>
    </row>
    <row r="12" spans="1:16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  <c r="P12" s="8"/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8"/>
      <c r="M13" s="8"/>
      <c r="N13" s="8"/>
      <c r="P13" s="8"/>
    </row>
    <row r="14" spans="1:16" ht="10.5" customHeight="1">
      <c r="A14" s="14" t="s">
        <v>16</v>
      </c>
      <c r="B14" s="15" t="s">
        <v>155</v>
      </c>
      <c r="C14" s="16">
        <f>SUM(C9:C13)</f>
        <v>6000</v>
      </c>
      <c r="D14" s="16">
        <f aca="true" t="shared" si="0" ref="D14:N14">SUM(D9:D13)</f>
        <v>6000</v>
      </c>
      <c r="E14" s="16">
        <f t="shared" si="0"/>
        <v>2255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3069</v>
      </c>
      <c r="K14" s="16">
        <f t="shared" si="0"/>
        <v>2109</v>
      </c>
      <c r="L14" s="16">
        <f t="shared" si="0"/>
        <v>0</v>
      </c>
      <c r="M14" s="16">
        <f t="shared" si="0"/>
        <v>7525</v>
      </c>
      <c r="N14" s="16">
        <f t="shared" si="0"/>
        <v>6257</v>
      </c>
      <c r="P14" s="8"/>
    </row>
    <row r="15" spans="1:16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  <c r="P15" s="8"/>
    </row>
    <row r="16" spans="1:17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  <c r="P16" s="8"/>
      <c r="Q16" s="8"/>
    </row>
    <row r="17" spans="1:16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  <c r="O17" s="9"/>
      <c r="P17" s="8"/>
    </row>
    <row r="18" spans="1:16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P18" s="8"/>
    </row>
    <row r="19" spans="1:16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P19" s="8"/>
    </row>
    <row r="20" spans="1:16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P20" s="8"/>
    </row>
    <row r="21" spans="1:16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P21" s="8"/>
    </row>
    <row r="22" spans="1:15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"/>
    </row>
    <row r="23" spans="1:16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  <c r="O23" s="9"/>
      <c r="P23" s="8"/>
    </row>
    <row r="24" spans="1:16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P24" s="8"/>
    </row>
    <row r="25" spans="1:16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P25" s="8"/>
    </row>
    <row r="26" spans="1:16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  <c r="P26" s="8"/>
    </row>
    <row r="27" spans="1:16" s="19" customFormat="1" ht="10.5" customHeight="1">
      <c r="A27" s="25"/>
      <c r="B27" s="19" t="s">
        <v>183</v>
      </c>
      <c r="C27" s="9">
        <f>SUM(C26,C18,C14)</f>
        <v>6000</v>
      </c>
      <c r="D27" s="9">
        <f aca="true" t="shared" si="5" ref="D27:N27">SUM(D26,D18,D14)</f>
        <v>6000</v>
      </c>
      <c r="E27" s="9">
        <f t="shared" si="5"/>
        <v>2255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3069</v>
      </c>
      <c r="K27" s="9">
        <f t="shared" si="5"/>
        <v>2109</v>
      </c>
      <c r="L27" s="9">
        <f t="shared" si="5"/>
        <v>0</v>
      </c>
      <c r="M27" s="9">
        <f t="shared" si="5"/>
        <v>7525</v>
      </c>
      <c r="N27" s="9">
        <f t="shared" si="5"/>
        <v>6257</v>
      </c>
      <c r="O27" s="9"/>
      <c r="P27" s="82"/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P28" s="8"/>
      <c r="U28" s="81"/>
    </row>
    <row r="29" spans="1:16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/>
      <c r="M29" s="40"/>
      <c r="N29" s="41"/>
      <c r="P29" s="8"/>
    </row>
    <row r="30" spans="1:16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40"/>
      <c r="M30" s="40"/>
      <c r="N30" s="41"/>
      <c r="P30" s="8"/>
    </row>
    <row r="31" spans="1:16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40"/>
      <c r="M31" s="40"/>
      <c r="N31" s="41"/>
      <c r="P31" s="8"/>
    </row>
    <row r="32" spans="1:16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P32" s="8"/>
    </row>
    <row r="33" spans="1:16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  <c r="P33" s="8"/>
    </row>
    <row r="34" spans="1:16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  <c r="P34" s="8"/>
    </row>
    <row r="35" spans="1:16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  <c r="P35" s="8"/>
    </row>
    <row r="36" spans="1:37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P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P38" s="8"/>
      <c r="Q38" s="81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O39" s="9"/>
      <c r="P39" s="8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1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 customHeight="1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 customHeight="1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 customHeight="1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 customHeight="1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75" customHeight="1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s="84" customFormat="1" ht="12.75" customHeight="1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</row>
    <row r="51" spans="1:14" ht="13.5" customHeight="1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</row>
    <row r="55" spans="8:9" ht="12.75">
      <c r="H55" s="10"/>
      <c r="I55" s="49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2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52"/>
  <sheetViews>
    <sheetView zoomScale="92" zoomScaleNormal="92"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1" width="9.375" style="1" customWidth="1"/>
    <col min="12" max="12" width="10.375" style="1" customWidth="1"/>
    <col min="13" max="13" width="11.625" style="1" customWidth="1"/>
    <col min="14" max="14" width="10.625" style="1" customWidth="1"/>
    <col min="15" max="15" width="10.375" style="8" customWidth="1"/>
    <col min="16" max="16" width="0" style="1" hidden="1" customWidth="1"/>
    <col min="17" max="17" width="12.375" style="1" customWidth="1"/>
    <col min="18" max="20" width="0" style="1" hidden="1" customWidth="1"/>
    <col min="21" max="16384" width="9.125" style="1" customWidth="1"/>
  </cols>
  <sheetData>
    <row r="1" spans="2:14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8.25" customHeight="1" thickBot="1">
      <c r="N2" s="3" t="s">
        <v>0</v>
      </c>
    </row>
    <row r="3" spans="1:14" ht="9" customHeight="1" thickBot="1">
      <c r="A3" s="161" t="s">
        <v>1</v>
      </c>
      <c r="B3" s="161"/>
      <c r="C3" s="163">
        <v>1016</v>
      </c>
      <c r="D3" s="163"/>
      <c r="E3" s="163"/>
      <c r="F3" s="163">
        <v>1017</v>
      </c>
      <c r="G3" s="163"/>
      <c r="H3" s="163"/>
      <c r="I3" s="163">
        <v>1018</v>
      </c>
      <c r="J3" s="163"/>
      <c r="K3" s="175"/>
      <c r="L3" s="169">
        <v>1019</v>
      </c>
      <c r="M3" s="170"/>
      <c r="N3" s="171"/>
    </row>
    <row r="4" spans="1:15" s="4" customFormat="1" ht="22.5" customHeight="1" thickBot="1">
      <c r="A4" s="161"/>
      <c r="B4" s="161"/>
      <c r="C4" s="165" t="s">
        <v>58</v>
      </c>
      <c r="D4" s="165"/>
      <c r="E4" s="165"/>
      <c r="F4" s="165" t="s">
        <v>59</v>
      </c>
      <c r="G4" s="165"/>
      <c r="H4" s="165"/>
      <c r="I4" s="165" t="s">
        <v>60</v>
      </c>
      <c r="J4" s="165"/>
      <c r="K4" s="165"/>
      <c r="L4" s="172" t="s">
        <v>148</v>
      </c>
      <c r="M4" s="173"/>
      <c r="N4" s="174"/>
      <c r="O4" s="44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7</v>
      </c>
      <c r="B9" s="3" t="s">
        <v>8</v>
      </c>
      <c r="C9" s="10">
        <v>0</v>
      </c>
      <c r="D9" s="10">
        <v>2166</v>
      </c>
      <c r="E9" s="10">
        <v>2166</v>
      </c>
      <c r="F9" s="10">
        <v>0</v>
      </c>
      <c r="G9" s="10">
        <v>29286</v>
      </c>
      <c r="H9" s="10">
        <v>29286</v>
      </c>
      <c r="I9" s="8"/>
      <c r="J9" s="8"/>
      <c r="K9" s="10"/>
      <c r="L9" s="83"/>
      <c r="M9" s="83"/>
      <c r="N9" s="83"/>
      <c r="P9" s="8"/>
    </row>
    <row r="10" spans="1:16" ht="10.5" customHeight="1">
      <c r="A10" s="4" t="s">
        <v>9</v>
      </c>
      <c r="B10" s="3" t="s">
        <v>153</v>
      </c>
      <c r="C10" s="10">
        <v>0</v>
      </c>
      <c r="D10" s="10">
        <v>1373</v>
      </c>
      <c r="E10" s="10">
        <v>1170</v>
      </c>
      <c r="F10" s="10">
        <v>0</v>
      </c>
      <c r="G10" s="10">
        <v>16371</v>
      </c>
      <c r="H10" s="10">
        <f>9387+145+1+537+2</f>
        <v>10072</v>
      </c>
      <c r="I10" s="8"/>
      <c r="J10" s="8"/>
      <c r="K10" s="10"/>
      <c r="L10" s="83"/>
      <c r="M10" s="83"/>
      <c r="N10" s="83"/>
      <c r="P10" s="8"/>
    </row>
    <row r="11" spans="1:16" ht="10.5" customHeight="1">
      <c r="A11" s="4" t="s">
        <v>10</v>
      </c>
      <c r="B11" s="3" t="s">
        <v>12</v>
      </c>
      <c r="C11" s="10">
        <v>0</v>
      </c>
      <c r="D11" s="10">
        <v>3837</v>
      </c>
      <c r="E11" s="10">
        <v>1594</v>
      </c>
      <c r="F11" s="10">
        <v>23050</v>
      </c>
      <c r="G11" s="10">
        <v>76639</v>
      </c>
      <c r="H11" s="10">
        <v>76639</v>
      </c>
      <c r="I11" s="8">
        <v>476575</v>
      </c>
      <c r="J11" s="8">
        <v>443922</v>
      </c>
      <c r="K11" s="8">
        <v>440332</v>
      </c>
      <c r="L11" s="83">
        <v>0</v>
      </c>
      <c r="M11" s="83">
        <v>0</v>
      </c>
      <c r="N11" s="83">
        <v>0</v>
      </c>
      <c r="P11" s="8"/>
    </row>
    <row r="12" spans="1:16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10"/>
      <c r="J12" s="8"/>
      <c r="K12" s="8">
        <f>SUM(I12:J12)</f>
        <v>0</v>
      </c>
      <c r="L12" s="83"/>
      <c r="M12" s="83"/>
      <c r="N12" s="83"/>
      <c r="P12" s="8"/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>
        <v>0</v>
      </c>
      <c r="G13" s="8">
        <v>303921</v>
      </c>
      <c r="H13" s="8">
        <v>303921</v>
      </c>
      <c r="I13" s="8"/>
      <c r="J13" s="8"/>
      <c r="K13" s="8"/>
      <c r="L13" s="83"/>
      <c r="M13" s="83"/>
      <c r="N13" s="83"/>
      <c r="P13" s="8"/>
    </row>
    <row r="14" spans="1:17" ht="10.5" customHeigh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N14">SUM(D9:D13)</f>
        <v>7376</v>
      </c>
      <c r="E14" s="16">
        <f t="shared" si="0"/>
        <v>4930</v>
      </c>
      <c r="F14" s="16">
        <f t="shared" si="0"/>
        <v>23050</v>
      </c>
      <c r="G14" s="16">
        <f t="shared" si="0"/>
        <v>426217</v>
      </c>
      <c r="H14" s="16">
        <f t="shared" si="0"/>
        <v>419918</v>
      </c>
      <c r="I14" s="16">
        <f t="shared" si="0"/>
        <v>476575</v>
      </c>
      <c r="J14" s="16">
        <f t="shared" si="0"/>
        <v>443922</v>
      </c>
      <c r="K14" s="16">
        <f t="shared" si="0"/>
        <v>440332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P14" s="8"/>
      <c r="Q14" s="8"/>
    </row>
    <row r="15" spans="1:16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9"/>
      <c r="P15" s="8"/>
    </row>
    <row r="16" spans="1:17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P16" s="8"/>
      <c r="Q16" s="8"/>
    </row>
    <row r="17" spans="1:17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  <c r="O17" s="9"/>
      <c r="P17" s="8"/>
      <c r="Q17" s="9"/>
    </row>
    <row r="18" spans="1:16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P18" s="8"/>
    </row>
    <row r="19" spans="1:16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P19" s="8"/>
    </row>
    <row r="20" spans="1:16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P20" s="8"/>
    </row>
    <row r="21" spans="1:16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P21" s="8"/>
    </row>
    <row r="22" spans="1:15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"/>
    </row>
    <row r="23" spans="1:16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9"/>
      <c r="O23" s="9"/>
      <c r="P23" s="8"/>
    </row>
    <row r="24" spans="1:16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P24" s="8"/>
    </row>
    <row r="25" spans="1:16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P25" s="8"/>
    </row>
    <row r="26" spans="1:16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  <c r="P26" s="8"/>
    </row>
    <row r="27" spans="1:16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5" ref="D27:N27">SUM(D26,D18,D14)</f>
        <v>7376</v>
      </c>
      <c r="E27" s="9">
        <f t="shared" si="5"/>
        <v>4930</v>
      </c>
      <c r="F27" s="9">
        <f t="shared" si="5"/>
        <v>23050</v>
      </c>
      <c r="G27" s="9">
        <f t="shared" si="5"/>
        <v>426217</v>
      </c>
      <c r="H27" s="9">
        <f t="shared" si="5"/>
        <v>419918</v>
      </c>
      <c r="I27" s="9">
        <f t="shared" si="5"/>
        <v>476575</v>
      </c>
      <c r="J27" s="9">
        <f t="shared" si="5"/>
        <v>443922</v>
      </c>
      <c r="K27" s="9">
        <f t="shared" si="5"/>
        <v>440332</v>
      </c>
      <c r="L27" s="9">
        <f t="shared" si="5"/>
        <v>0</v>
      </c>
      <c r="M27" s="9">
        <f t="shared" si="5"/>
        <v>0</v>
      </c>
      <c r="N27" s="9">
        <f t="shared" si="5"/>
        <v>0</v>
      </c>
      <c r="O27" s="9"/>
      <c r="P27" s="82"/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P28" s="8"/>
      <c r="U28" s="81"/>
    </row>
    <row r="29" spans="1:16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/>
      <c r="M29" s="40"/>
      <c r="N29" s="40"/>
      <c r="P29" s="8"/>
    </row>
    <row r="30" spans="1:16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40"/>
      <c r="M30" s="40"/>
      <c r="N30" s="40"/>
      <c r="P30" s="8"/>
    </row>
    <row r="31" spans="1:16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40"/>
      <c r="M31" s="40"/>
      <c r="N31" s="40"/>
      <c r="P31" s="8"/>
    </row>
    <row r="32" spans="1:16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P32" s="8"/>
    </row>
    <row r="33" spans="1:16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40"/>
      <c r="M33" s="40"/>
      <c r="N33" s="40"/>
      <c r="P33" s="8"/>
    </row>
    <row r="34" spans="1:16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40"/>
      <c r="M34" s="40"/>
      <c r="N34" s="40"/>
      <c r="P34" s="8"/>
    </row>
    <row r="35" spans="1:16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40"/>
      <c r="M35" s="40"/>
      <c r="N35" s="40"/>
      <c r="P35" s="8"/>
    </row>
    <row r="36" spans="1:37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P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40"/>
      <c r="M37" s="40"/>
      <c r="N37" s="40"/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40"/>
      <c r="M38" s="40"/>
      <c r="N38" s="40"/>
      <c r="P38" s="8"/>
      <c r="Q38" s="81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40"/>
      <c r="M39" s="40"/>
      <c r="N39" s="40"/>
      <c r="O39" s="9"/>
      <c r="P39" s="8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1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>
        <f>SUM('35'!O13)</f>
        <v>0</v>
      </c>
      <c r="J42" s="16"/>
      <c r="K42" s="16"/>
      <c r="L42" s="16"/>
      <c r="M42" s="16"/>
      <c r="N42" s="1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 customHeight="1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 customHeight="1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 customHeight="1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 customHeight="1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75" customHeight="1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s="84" customFormat="1" ht="12.75" customHeight="1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</row>
    <row r="51" spans="1:14" ht="13.5" customHeight="1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45"/>
      <c r="M51" s="45"/>
      <c r="N51" s="4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42"/>
      <c r="I52" s="42"/>
      <c r="J52" s="42"/>
      <c r="K52" s="42"/>
      <c r="L52" s="33"/>
      <c r="M52" s="33"/>
      <c r="N52" s="47"/>
    </row>
  </sheetData>
  <sheetProtection selectLockedCells="1" selectUnlockedCells="1"/>
  <mergeCells count="25">
    <mergeCell ref="M5:M6"/>
    <mergeCell ref="L3:N3"/>
    <mergeCell ref="L4:N4"/>
    <mergeCell ref="G5:G6"/>
    <mergeCell ref="N5:N6"/>
    <mergeCell ref="B1:N1"/>
    <mergeCell ref="A3:B6"/>
    <mergeCell ref="C3:E3"/>
    <mergeCell ref="F3:H3"/>
    <mergeCell ref="I3:K3"/>
    <mergeCell ref="C4:E4"/>
    <mergeCell ref="F4:H4"/>
    <mergeCell ref="I4:K4"/>
    <mergeCell ref="K5:K6"/>
    <mergeCell ref="D5:D6"/>
    <mergeCell ref="A28:B28"/>
    <mergeCell ref="A8:B8"/>
    <mergeCell ref="L5:L6"/>
    <mergeCell ref="C5:C6"/>
    <mergeCell ref="A7:B7"/>
    <mergeCell ref="H5:H6"/>
    <mergeCell ref="I5:I6"/>
    <mergeCell ref="J5:J6"/>
    <mergeCell ref="E5:E6"/>
    <mergeCell ref="F5:F6"/>
  </mergeCells>
  <printOptions horizontalCentered="1"/>
  <pageMargins left="0.27569444444444446" right="0.27569444444444446" top="0.275" bottom="0.22013888888888888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1" width="9.375" style="1" customWidth="1"/>
    <col min="12" max="12" width="10.375" style="1" customWidth="1"/>
    <col min="13" max="13" width="11.625" style="1" customWidth="1"/>
    <col min="14" max="14" width="10.625" style="1" customWidth="1"/>
    <col min="15" max="15" width="10.375" style="8" customWidth="1"/>
    <col min="16" max="16" width="0" style="1" hidden="1" customWidth="1"/>
    <col min="17" max="16384" width="9.125" style="1" customWidth="1"/>
  </cols>
  <sheetData>
    <row r="1" spans="2:14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8.25" customHeight="1" thickBot="1">
      <c r="N2" s="3" t="s">
        <v>0</v>
      </c>
    </row>
    <row r="3" spans="1:14" ht="9" customHeight="1" thickBot="1">
      <c r="A3" s="161" t="s">
        <v>1</v>
      </c>
      <c r="B3" s="161"/>
      <c r="C3" s="163">
        <v>1020</v>
      </c>
      <c r="D3" s="163"/>
      <c r="E3" s="163"/>
      <c r="F3" s="163"/>
      <c r="G3" s="163"/>
      <c r="H3" s="163"/>
      <c r="I3" s="163"/>
      <c r="J3" s="163"/>
      <c r="K3" s="163"/>
      <c r="L3" s="176" t="s">
        <v>57</v>
      </c>
      <c r="M3" s="176"/>
      <c r="N3" s="176"/>
    </row>
    <row r="4" spans="1:15" s="4" customFormat="1" ht="22.5" customHeight="1" thickBot="1">
      <c r="A4" s="161"/>
      <c r="B4" s="161"/>
      <c r="C4" s="165" t="s">
        <v>149</v>
      </c>
      <c r="D4" s="165"/>
      <c r="E4" s="165"/>
      <c r="F4" s="165"/>
      <c r="G4" s="165"/>
      <c r="H4" s="165"/>
      <c r="I4" s="165"/>
      <c r="J4" s="165"/>
      <c r="K4" s="165"/>
      <c r="L4" s="176"/>
      <c r="M4" s="176"/>
      <c r="N4" s="176"/>
      <c r="O4" s="44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7</v>
      </c>
      <c r="B9" s="3" t="s">
        <v>8</v>
      </c>
      <c r="C9" s="10"/>
      <c r="D9" s="10">
        <v>1039</v>
      </c>
      <c r="E9" s="10">
        <v>1039</v>
      </c>
      <c r="F9" s="10"/>
      <c r="G9" s="10"/>
      <c r="H9" s="10"/>
      <c r="I9" s="8"/>
      <c r="J9" s="8"/>
      <c r="K9" s="8"/>
      <c r="L9" s="9">
        <f>1!C9+1!F9+1!I9+1!L9+2!C9+2!F9+2!I9+2!L9+3!C9+3!F9+3!I9+3!L9+4!C9+4!F9+4!I9+5!C9+5!F9+5!I9+5!L9+4!L9+6!C9+6!F9+6!I9</f>
        <v>3580</v>
      </c>
      <c r="M9" s="9">
        <f>1!D9+1!G9+1!J9+1!M9+2!D9+2!G9+2!J9+2!M9+3!D9+3!G9+3!J9+3!M9+4!D9+4!G9+4!J9+5!D9+5!G9+5!J9+5!M9+4!M9+6!D9+6!G9+6!J9</f>
        <v>45284</v>
      </c>
      <c r="N9" s="9">
        <f>1!E9+1!H9+1!K9+1!N9+2!E9+2!H9+2!K9+2!N9+3!E9+3!H9+3!K9+3!N9+4!E9+4!H9+4!K9+5!E9+5!H9+5!K9+5!N9+4!N9+6!E9+6!H9+6!K9</f>
        <v>43813</v>
      </c>
      <c r="P9" s="8"/>
    </row>
    <row r="10" spans="1:16" ht="10.5" customHeight="1">
      <c r="A10" s="4" t="s">
        <v>9</v>
      </c>
      <c r="B10" s="3" t="s">
        <v>153</v>
      </c>
      <c r="C10" s="10"/>
      <c r="D10" s="10">
        <v>1070</v>
      </c>
      <c r="E10" s="10">
        <v>1070</v>
      </c>
      <c r="F10" s="10"/>
      <c r="G10" s="10"/>
      <c r="H10" s="10"/>
      <c r="I10" s="8"/>
      <c r="J10" s="8"/>
      <c r="K10" s="8"/>
      <c r="L10" s="9">
        <f>1!C10+1!F10+1!I10+1!L10+2!C10+2!F10+2!I10+2!L10+3!C10+3!F10+3!I10+3!L10+4!C10+4!F10+4!I10+5!C10+5!F10+5!I10+5!L10+4!L10+6!C10+6!F10+6!I10</f>
        <v>10894</v>
      </c>
      <c r="M10" s="9">
        <f>1!D10+1!G10+1!J10+1!M10+2!D10+2!G10+2!J10+2!M10+3!D10+3!G10+3!J10+3!M10+4!D10+4!G10+4!J10+5!D10+5!G10+5!J10+5!M10+4!M10+6!D10+6!G10+6!J10</f>
        <v>35167</v>
      </c>
      <c r="N10" s="9">
        <f>1!E10+1!H10+1!K10+1!N10+2!E10+2!H10+2!K10+2!N10+3!E10+3!H10+3!K10+3!N10+4!E10+4!H10+4!K10+5!E10+5!H10+5!K10+5!N10+4!N10+6!E10+6!H10+6!K10</f>
        <v>25271</v>
      </c>
      <c r="P10" s="8"/>
    </row>
    <row r="11" spans="1:16" ht="10.5" customHeight="1">
      <c r="A11" s="4" t="s">
        <v>10</v>
      </c>
      <c r="B11" s="3" t="s">
        <v>12</v>
      </c>
      <c r="C11" s="10">
        <v>757076</v>
      </c>
      <c r="D11" s="10">
        <v>948820</v>
      </c>
      <c r="E11" s="10">
        <v>948820</v>
      </c>
      <c r="F11" s="10"/>
      <c r="G11" s="10">
        <v>0</v>
      </c>
      <c r="H11" s="10"/>
      <c r="I11" s="8"/>
      <c r="J11" s="8"/>
      <c r="K11" s="8"/>
      <c r="L11" s="9">
        <f>1!C11+1!F11+1!I11+1!L11+2!C11+2!F11+2!I11+2!L11+3!C11+3!F11+3!I11+3!L11+4!C11+4!F11+4!I11+5!C11+5!F11+5!I11+5!L11+4!L11+6!C11+6!F11+6!I11</f>
        <v>5706742</v>
      </c>
      <c r="M11" s="9">
        <f>1!D11+1!G11+1!J11+1!M11+2!D11+2!G11+2!J11+2!M11+3!D11+3!G11+3!J11+3!M11+4!D11+4!G11+4!J11+5!D11+5!G11+5!J11+5!M11+4!M11+6!D11+6!G11+6!J11</f>
        <v>6730271</v>
      </c>
      <c r="N11" s="9">
        <f>1!E11+1!H11+1!K11+1!N11+2!E11+2!H11+2!K11+2!N11+3!E11+3!H11+3!K11+3!N11+4!E11+4!H11+4!K11+5!E11+5!H11+5!K11+5!N11+4!N11+6!E11+6!H11+6!K11</f>
        <v>6330348</v>
      </c>
      <c r="P11" s="8"/>
    </row>
    <row r="12" spans="1:16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10"/>
      <c r="J12" s="8"/>
      <c r="K12" s="8"/>
      <c r="L12" s="9">
        <f>1!C12+1!F12+1!I12+1!L12+2!C12+2!F12+2!I12+2!L12+3!C12+3!F12+3!I12+3!L12+4!C12+4!F12+4!I12+5!C12+5!F12+5!I12+5!L12+4!L12+6!C12+6!F12+6!I12</f>
        <v>616180</v>
      </c>
      <c r="M12" s="9">
        <f>1!D12+1!G12+1!J12+1!M12+2!D12+2!G12+2!J12+2!M12+3!D12+3!G12+3!J12+3!M12+4!D12+4!G12+4!J12+5!D12+5!G12+5!J12+5!M12+4!M12+6!D12+6!G12+6!J12</f>
        <v>711564</v>
      </c>
      <c r="N12" s="9">
        <f>1!E12+1!H12+1!K12+1!N12+2!E12+2!H12+2!K12+2!N12+3!E12+3!H12+3!K12+3!N12+4!E12+4!H12+4!K12+5!E12+5!H12+5!K12+5!N12+4!N12+6!E12+6!H12+6!K12</f>
        <v>693499</v>
      </c>
      <c r="P12" s="8"/>
    </row>
    <row r="13" spans="1:16" ht="10.5" customHeight="1" thickBo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>
        <f>1!C13+1!F13+1!I13+1!L13+2!C13+2!F13+2!I13+2!L13+3!C13+3!F13+3!I13+3!L13+4!C13+4!F13+4!I13+5!C13+5!F13+5!I13+5!L13+4!L13+6!C13+6!F13+6!I13</f>
        <v>10000</v>
      </c>
      <c r="M13" s="9">
        <f>1!D13+1!G13+1!J13+1!M13+2!D13+2!G13+2!J13+2!M13+3!D13+3!G13+3!J13+3!M13+4!D13+4!G13+4!J13+5!D13+5!G13+5!J13+5!M13+4!M13+6!D13+6!G13+6!J13</f>
        <v>303921</v>
      </c>
      <c r="N13" s="9">
        <f>1!E13+1!H13+1!K13+1!N13+2!E13+2!H13+2!K13+2!N13+3!E13+3!H13+3!K13+3!N13+4!E13+4!H13+4!K13+5!E13+5!H13+5!K13+5!N13+4!N13+6!E13+6!H13+6!K13</f>
        <v>303921</v>
      </c>
      <c r="P13" s="8"/>
    </row>
    <row r="14" spans="1:16" ht="10.5" customHeight="1" thickBot="1">
      <c r="A14" s="14" t="s">
        <v>16</v>
      </c>
      <c r="B14" s="15" t="s">
        <v>155</v>
      </c>
      <c r="C14" s="16">
        <f>SUM(C9:C13)</f>
        <v>757076</v>
      </c>
      <c r="D14" s="16">
        <f aca="true" t="shared" si="0" ref="D14:M14">SUM(D9:D13)</f>
        <v>950929</v>
      </c>
      <c r="E14" s="16">
        <f t="shared" si="0"/>
        <v>950929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6347396</v>
      </c>
      <c r="M14" s="16">
        <f t="shared" si="0"/>
        <v>7826207</v>
      </c>
      <c r="N14" s="77">
        <f>1!E14+1!H14+1!K14+1!N14+2!E14+2!H14+2!K14+2!N14+3!E14+3!H14+3!K14+3!N14+4!E14+4!H14+4!K14+5!E14+5!H14+5!K14+5!N14+4!N14+6!E14+6!H14+6!K14</f>
        <v>7396852</v>
      </c>
      <c r="P14" s="8"/>
    </row>
    <row r="15" spans="1:16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>
        <v>0</v>
      </c>
      <c r="M15" s="9">
        <f>1!D15+1!G15+1!J15+1!M15+2!D15+2!G15+2!J15+2!M15+3!D15+3!G15+3!J15+3!M15+4!D15+4!G15+4!J15+5!D15+5!G15+5!J15+5!M15+4!M15+6!D15+6!G15+6!J15</f>
        <v>0</v>
      </c>
      <c r="N15" s="9">
        <f>1!E15+1!H15+1!K15+1!N15+2!E15+2!H15+2!K15+2!N15+3!E15+3!H15+3!K15+3!N15+4!E15+4!H15+4!K15+5!E15+5!H15+5!K15+5!N15+4!N15+6!E15+6!H15+6!K15</f>
        <v>0</v>
      </c>
      <c r="P15" s="8"/>
    </row>
    <row r="16" spans="1:16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>1!C16+1!F16+1!I16+1!L16+2!C16+2!F16+2!I16+2!L16+3!C16+3!F16+3!I16+3!L16+4!C16+4!F16+4!I16+5!C16+5!F16+5!I16+5!L16+4!L16+6!C16+6!F16+6!I16</f>
        <v>0</v>
      </c>
      <c r="M16" s="9">
        <f>1!D16+1!G16+1!J16+1!M16+2!D16+2!G16+2!J16+2!M16+3!D16+3!G16+3!J16+3!M16+4!D16+4!G16+4!J16+5!D16+5!G16+5!J16+5!M16+4!M16+6!D16+6!G16+6!J16</f>
        <v>0</v>
      </c>
      <c r="N16" s="9">
        <f>1!E16+1!H16+1!K16+1!N16+2!E16+2!H16+2!K16+2!N16+3!E16+3!H16+3!K16+3!N16+4!E16+4!H16+4!K16+5!E16+5!H16+5!K16+5!N16+4!N16+6!E16+6!H16+6!K16</f>
        <v>0</v>
      </c>
      <c r="P16" s="8"/>
    </row>
    <row r="17" spans="1:16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>1!C17+1!F17+1!I17+1!L17+2!C17+2!F17+2!I17+2!L17+3!C17+3!F17+3!I17+3!L17+4!C17+4!F17+4!I17+5!C17+5!F17+5!I17+5!L17+4!L17+6!C17+6!F17+6!I17</f>
        <v>0</v>
      </c>
      <c r="M17" s="9">
        <f>1!D17+1!G17+1!J17+1!M17+2!D17+2!G17+2!J17+2!M17+3!D17+3!G17+3!J17+3!M17+4!D17+4!G17+4!J17+5!D17+5!G17+5!J17+5!M17+4!M17+6!D17+6!G17+6!J17</f>
        <v>0</v>
      </c>
      <c r="N17" s="9">
        <f>1!E17+1!H17+1!K17+1!N17+2!E17+2!H17+2!K17+2!N17+3!E17+3!H17+3!K17+3!N17+4!E17+4!H17+4!K17+5!E17+5!H17+5!K17+5!N17+4!N17+6!E17+6!H17+6!K17</f>
        <v>0</v>
      </c>
      <c r="O17" s="9"/>
      <c r="P17" s="8"/>
    </row>
    <row r="18" spans="1:16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M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77">
        <f>1!E18+1!H18+1!K18+1!N18+2!E18+2!H18+2!K18+2!N18+3!E18+3!H18+3!K18+3!N18+4!E18+4!H18+4!K18+5!E18+5!H18+5!K18+5!N18+4!N18+6!E18+6!H18+6!K18</f>
        <v>0</v>
      </c>
      <c r="P18" s="8"/>
    </row>
    <row r="19" spans="1:16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9">
        <f>1!E19+1!H19+1!K19+1!N19+2!E19+2!H19+2!K19+2!N19+3!E19+3!H19+3!K19+3!N19+4!E19+4!H19+4!K19+5!E19+5!H19+5!K19+5!N19+4!N19+6!E19+6!H19+6!K19</f>
        <v>0</v>
      </c>
      <c r="P19" s="8"/>
    </row>
    <row r="20" spans="1:16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M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77">
        <f>1!E20+1!H20+1!K20+1!N20+2!E20+2!H20+2!K20+2!N20+3!E20+3!H20+3!K20+3!N20+4!E20+4!H20+4!K20+5!E20+5!H20+5!K20+5!N20+4!N20+6!E20+6!H20+6!K20</f>
        <v>0</v>
      </c>
      <c r="P20" s="8"/>
    </row>
    <row r="21" spans="1:16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>
        <f>1!C21+1!F21+1!I21+1!L21+2!C21+2!F21+2!I21+2!L21+3!C21+3!F21+3!I21+3!L21+4!C21+4!F21+4!I21+5!C21+F21+I21</f>
        <v>0</v>
      </c>
      <c r="M21" s="21">
        <f>1!D21+1!G21+1!J21+1!M21+2!D21+2!G21+2!J21+2!M21+3!D21+3!G21+3!J21+3!M21+4!D21+4!G21+4!J21+5!D21+G21+J21</f>
        <v>0</v>
      </c>
      <c r="N21" s="9">
        <f>1!E21+1!H21+1!K21+1!N21+2!E21+2!H21+2!K21+2!N21+3!E21+3!H21+3!K21+3!N21+4!E21+4!H21+4!K21+5!E21+5!H21+5!K21+5!N21+4!N21+6!E21+6!H21+6!K21</f>
        <v>0</v>
      </c>
      <c r="P21" s="8"/>
    </row>
    <row r="22" spans="1:15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">
        <f>1!E22+1!H22+1!K22+1!N22+2!E22+2!H22+2!K22+2!N22+3!E22+3!H22+3!K22+3!N22+4!E22+4!H22+4!K22+5!E22+5!H22+5!K22+5!N22+4!N22+6!E22+6!H22+6!K22</f>
        <v>0</v>
      </c>
      <c r="O22" s="1"/>
    </row>
    <row r="23" spans="1:16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1!C23+1!F23+1!I23+1!L23+2!C23+2!F23+2!I23+2!L23+3!C23+3!F23+3!I23+3!L23+4!C23+4!F23+4!I23+5!C23+F23+I23</f>
        <v>0</v>
      </c>
      <c r="M23" s="9">
        <f>1!D23+1!G23+1!J23+1!M23+2!D23+2!G23+2!J23+2!M23+3!D23+3!G23+3!J23+3!M23+4!D23+4!G23+4!J23+5!D23+G23+J23</f>
        <v>0</v>
      </c>
      <c r="N23" s="9">
        <f>1!E23+1!H23+1!K23+1!N23+2!E23+2!H23+2!K23+2!N23+3!E23+3!H23+3!K23+3!N23+4!E23+4!H23+4!K23+5!E23+5!H23+5!K23+5!N23+4!N23+6!E23+6!H23+6!K23</f>
        <v>0</v>
      </c>
      <c r="O23" s="9"/>
      <c r="P23" s="8"/>
    </row>
    <row r="24" spans="1:16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M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77">
        <f>1!E24+1!H24+1!K24+1!N24+2!E24+2!H24+2!K24+2!N24+3!E24+3!H24+3!K24+3!N24+4!E24+4!H24+4!K24+5!E24+5!H24+5!K24+5!N24+4!N24+6!E24+6!H24+6!K24</f>
        <v>0</v>
      </c>
      <c r="P24" s="8"/>
    </row>
    <row r="25" spans="1:16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9">
        <f>1!E25+1!H25+1!K25+1!N25+2!E25+2!H25+2!K25+2!N25+3!E25+3!H25+3!K25+3!N25+4!E25+4!H25+4!K25+5!E25+5!H25+5!K25+5!N25+4!N25+6!E25+6!H25+6!K25</f>
        <v>0</v>
      </c>
      <c r="P25" s="8"/>
    </row>
    <row r="26" spans="1:16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M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>1!E26+1!H26+1!K26+1!N26+2!E26+2!H26+2!K26+2!N26+3!E26+3!H26+3!K26+3!N26+4!E26+4!H26+4!K26+5!E26+5!H26+5!K26+5!N26+4!N26+6!E26+6!H26+6!K26</f>
        <v>0</v>
      </c>
      <c r="P26" s="8"/>
    </row>
    <row r="27" spans="1:16" s="19" customFormat="1" ht="10.5" customHeight="1">
      <c r="A27" s="25"/>
      <c r="B27" s="19" t="s">
        <v>183</v>
      </c>
      <c r="C27" s="9">
        <f>SUM(C26,C18,C14)</f>
        <v>757076</v>
      </c>
      <c r="D27" s="9">
        <f aca="true" t="shared" si="5" ref="D27:M27">SUM(D26,D18,D14)</f>
        <v>950929</v>
      </c>
      <c r="E27" s="9">
        <f t="shared" si="5"/>
        <v>950929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6347396</v>
      </c>
      <c r="M27" s="9">
        <f t="shared" si="5"/>
        <v>7826207</v>
      </c>
      <c r="N27" s="9">
        <f>1!E27+1!H27+1!K27+1!N27+2!E27+2!H27+2!K27+2!N27+3!E27+3!H27+3!K27+3!N27+4!E27+4!H27+4!K27+5!E27+5!H27+5!K27+5!N27+4!N27+6!E27+6!H27+6!K27</f>
        <v>7396852</v>
      </c>
      <c r="O27" s="9"/>
      <c r="P27" s="82"/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9">
        <f>1!E28+1!H28+1!K28+1!N28+2!E28+2!H28+2!K28+2!N28+3!E28+3!H28+3!K28+3!N28+4!E28+4!H28+4!K28+5!E28+5!H28+5!K28+5!N28+4!N28+6!E28+6!H28+6!K28</f>
        <v>0</v>
      </c>
      <c r="P28" s="8"/>
      <c r="U28" s="81"/>
    </row>
    <row r="29" spans="1:16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>
        <f>1!C29+1!F29+1!I29+1!L29+2!C29+2!F29+2!I29+2!L29+3!C29+3!F29+3!I29+3!L29+4!C29+4!F29+4!I29+5!C29+F29+I29+5!I29</f>
        <v>0</v>
      </c>
      <c r="M29" s="40">
        <f>1!D29+1!G29+1!J29+1!M29+2!D29+2!G29+2!J29+2!M29+3!D29+3!G29+3!J29+3!M29+4!D29+4!G29+4!J29+5!D29+G29+J29</f>
        <v>0</v>
      </c>
      <c r="N29" s="9">
        <f>1!E29+1!H29+1!K29+1!N29+2!E29+2!H29+2!K29+2!N29+3!E29+3!H29+3!K29+3!N29+4!E29+4!H29+4!K29+5!E29+5!H29+5!K29+5!N29+4!N29+6!E29+6!H29+6!K29</f>
        <v>0</v>
      </c>
      <c r="P29" s="8"/>
    </row>
    <row r="30" spans="1:16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40">
        <f>1!C30+1!F30+1!I30+1!L30+2!C30+2!F30+2!I30+2!L30+3!C30+3!F30+3!I30+3!L30+4!C30+4!F30+4!I30+5!C30+F30+I30+5!I30</f>
        <v>0</v>
      </c>
      <c r="M30" s="40">
        <f>1!D30+1!G30+1!J30+1!M30+2!D30+2!G30+2!J30+2!M30+3!D30+3!G30+3!J30+3!M30+4!D30+4!G30+4!J30+5!D30+G30+J30</f>
        <v>0</v>
      </c>
      <c r="N30" s="9">
        <f>1!E30+1!H30+1!K30+1!N30+2!E30+2!H30+2!K30+2!N30+3!E30+3!H30+3!K30+3!N30+4!E30+4!H30+4!K30+5!E30+5!H30+5!K30+5!N30+4!N30+6!E30+6!H30+6!K30</f>
        <v>0</v>
      </c>
      <c r="P30" s="8"/>
    </row>
    <row r="31" spans="1:16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40">
        <f>1!C31+1!F31+1!I31+1!L31+2!C31+2!F31+2!I31+2!L31+3!C31+3!F31+3!I31+3!L31+4!C31+4!F31+4!I31+5!C31+F31+I31+5!I31</f>
        <v>0</v>
      </c>
      <c r="M31" s="40">
        <f>1!D31+1!G31+1!J31+1!M31+2!D31+2!G31+2!J31+2!M31+3!D31+3!G31+3!J31+3!M31+4!D31+4!G31+4!J31+5!D31+G31+J31+5!J31</f>
        <v>0</v>
      </c>
      <c r="N31" s="9">
        <f>1!E31+1!H31+1!K31+1!N31+2!E31+2!H31+2!K31+2!N31+3!E31+3!H31+3!K31+3!N31+4!E31+4!H31+4!K31+5!E31+5!H31+5!K31+5!N31+4!N31+6!E31+6!H31+6!K31</f>
        <v>0</v>
      </c>
      <c r="P31" s="8"/>
    </row>
    <row r="32" spans="1:16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M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138">
        <f>1!E32+1!H32+1!K32+1!N32+2!E32+2!H32+2!K32+2!N32+3!E32+3!H32+3!K32+3!N32+4!E32+4!H32+4!K32+5!E32+5!H32+5!K32+5!N32+4!N32+6!E32+6!H32+6!K32</f>
        <v>0</v>
      </c>
      <c r="P32" s="8"/>
    </row>
    <row r="33" spans="1:16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40">
        <f>1!C33+1!F33+1!I33+1!L33+2!C33+2!F33+2!I33+2!L33+3!C33+3!F33+3!I33+3!L33+4!C33+4!F33+4!I33+5!C33+F33+I33+5!I33</f>
        <v>0</v>
      </c>
      <c r="M33" s="40">
        <f>1!D33+1!G33+1!J33+1!M33+2!D33+2!G33+2!J33+2!M33+3!D33+3!G33+3!J33+3!M33+4!D33+4!G33+4!J33+5!D33+G33+J33</f>
        <v>0</v>
      </c>
      <c r="N33" s="9">
        <f>1!E33+1!H33+1!K33+1!N33+2!E33+2!H33+2!K33+2!N33+3!E33+3!H33+3!K33+3!N33+4!E33+4!H33+4!K33+5!E33+5!H33+5!K33+5!N33+4!N33+6!E33+6!H33+6!K33</f>
        <v>0</v>
      </c>
      <c r="P33" s="8"/>
    </row>
    <row r="34" spans="1:16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40">
        <f>1!C34+1!F34+1!I34+1!L34+2!C34+2!F34+2!I34+2!L34+3!C34+3!F34+3!I34+3!L34+4!C34+4!F34+4!I34+5!C34+F34+I34+5!I34</f>
        <v>0</v>
      </c>
      <c r="M34" s="40">
        <f>1!D34+1!G34+1!J34+1!M34+2!D34+2!G34+2!J34+2!M34+3!D34+3!G34+3!J34+3!M34+4!D34+4!G34+4!J34+5!D34+G34+J34</f>
        <v>0</v>
      </c>
      <c r="N34" s="9">
        <f>1!E34+1!H34+1!K34+1!N34+2!E34+2!H34+2!K34+2!N34+3!E34+3!H34+3!K34+3!N34+4!E34+4!H34+4!K34+5!E34+5!H34+5!K34+5!N34+4!N34+6!E34+6!H34+6!K34</f>
        <v>0</v>
      </c>
      <c r="P34" s="8"/>
    </row>
    <row r="35" spans="1:16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40">
        <f>1!C35+1!F35+1!I35+1!L35+2!C35+2!F35+2!I35+2!L35+3!C35+3!F35+3!I35+3!L35+4!C35+4!F35+4!I35+5!C35+F35+I35+5!I35</f>
        <v>0</v>
      </c>
      <c r="M35" s="40">
        <f>1!D35+1!G35+1!J35+1!M35+2!D35+2!G35+2!J35+2!M35+3!D35+3!G35+3!J35+3!M35+4!D35+4!G35+4!J35+5!D35+G35+J35</f>
        <v>0</v>
      </c>
      <c r="N35" s="9">
        <f>1!E35+1!H35+1!K35+1!N35+2!E35+2!H35+2!K35+2!N35+3!E35+3!H35+3!K35+3!N35+4!E35+4!H35+4!K35+5!E35+5!H35+5!K35+5!N35+4!N35+6!E35+6!H35+6!K35</f>
        <v>0</v>
      </c>
      <c r="P35" s="8"/>
    </row>
    <row r="36" spans="1:24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M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77">
        <f>1!E36+1!H36+1!K36+1!N36+2!E36+2!H36+2!K36+2!N36+3!E36+3!H36+3!K36+3!N36+4!E36+4!H36+4!K36+5!E36+5!H36+5!K36+5!N36+4!N36+6!E36+6!H36+6!K36</f>
        <v>0</v>
      </c>
      <c r="P36" s="8"/>
      <c r="Q36" s="8"/>
      <c r="R36" s="8"/>
      <c r="S36" s="8"/>
      <c r="T36" s="8"/>
      <c r="U36" s="8"/>
      <c r="V36" s="8"/>
      <c r="W36" s="8"/>
      <c r="X36" s="8"/>
    </row>
    <row r="37" spans="1:24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40">
        <f>1!C37+1!F37+1!I37+1!L37+2!C37+2!F37+2!I37+2!L37+3!C37+3!F37+3!I37+3!L37+4!C37+4!F37+4!I37+5!C37+F37+I37+5!I37</f>
        <v>0</v>
      </c>
      <c r="M37" s="40">
        <f>1!D37+1!G37+1!J37+1!M37+2!D37+2!G37+2!J37+2!M37+3!D37+3!G37+3!J37+3!M37+4!D37+4!G37+4!J37+5!D37+G37+J37</f>
        <v>0</v>
      </c>
      <c r="N37" s="9">
        <f>1!E37+1!H37+1!K37+1!N37+2!E37+2!H37+2!K37+2!N37+3!E37+3!H37+3!K37+3!N37+4!E37+4!H37+4!K37+5!E37+5!H37+5!K37+5!N37+4!N37+6!E37+6!H37+6!K37</f>
        <v>0</v>
      </c>
      <c r="P37" s="8"/>
      <c r="Q37" s="8"/>
      <c r="R37" s="8"/>
      <c r="S37" s="8"/>
      <c r="T37" s="8"/>
      <c r="U37" s="8"/>
      <c r="V37" s="8"/>
      <c r="W37" s="8"/>
      <c r="X37" s="8"/>
    </row>
    <row r="38" spans="1:24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40">
        <f>1!C38+1!F38+1!I38+1!L38+2!C38+2!F38+2!I38+2!L38+3!C38+3!F38+3!I38+3!L38+4!C38+4!F38+4!I38+5!C38+F38+I38+5!I38</f>
        <v>0</v>
      </c>
      <c r="M38" s="40">
        <f>1!D38+1!G38+1!J38+1!M38+2!D38+2!G38+2!J38+2!M38+3!D38+3!G38+3!J38+3!M38+4!D38+4!G38+4!J38+5!D38+G38+J38</f>
        <v>0</v>
      </c>
      <c r="N38" s="9">
        <f>1!E38+1!H38+1!K38+1!N38+2!E38+2!H38+2!K38+2!N38+3!E38+3!H38+3!K38+3!N38+4!E38+4!H38+4!K38+5!E38+5!H38+5!K38+5!N38+4!N38+6!E38+6!H38+6!K38</f>
        <v>0</v>
      </c>
      <c r="P38" s="8"/>
      <c r="Q38" s="8"/>
      <c r="R38" s="8"/>
      <c r="S38" s="8"/>
      <c r="T38" s="8"/>
      <c r="U38" s="8"/>
      <c r="V38" s="8"/>
      <c r="W38" s="8"/>
      <c r="X38" s="8"/>
    </row>
    <row r="39" spans="1:24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40">
        <f>1!C39+1!F39+1!I39+1!L39+2!C39+2!F39+2!I39+2!L39+3!C39+3!F39+3!I39+3!L39+4!C39+4!F39+4!I39+5!C39+F39+I39+5!I39</f>
        <v>0</v>
      </c>
      <c r="M39" s="40">
        <f>1!D39+1!G39+1!J39+1!M39+2!D39+2!G39+2!J39+2!M39+3!D39+3!G39+3!J39+3!M39+4!D39+4!G39+4!J39+5!D39+G39+J39</f>
        <v>0</v>
      </c>
      <c r="N39" s="9">
        <f>1!E39+1!H39+1!K39+1!N39+2!E39+2!H39+2!K39+2!N39+3!E39+3!H39+3!K39+3!N39+4!E39+4!H39+4!K39+5!E39+5!H39+5!K39+5!N39+4!N39+6!E39+6!H39+6!K39</f>
        <v>0</v>
      </c>
      <c r="O39" s="9"/>
      <c r="P39" s="8"/>
      <c r="Q39" s="9"/>
      <c r="R39" s="9"/>
      <c r="S39" s="9"/>
      <c r="T39" s="9"/>
      <c r="U39" s="9"/>
      <c r="V39" s="9"/>
      <c r="W39" s="9"/>
      <c r="X39" s="9"/>
    </row>
    <row r="40" spans="1:18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M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77">
        <f>1!E40+1!H40+1!K40+1!N40+2!E40+2!H40+2!K40+2!N40+3!E40+3!H40+3!K40+3!N40+4!E40+4!H40+4!K40+5!E40+5!H40+5!K40+5!N40+4!N40+6!E40+6!H40+6!K40</f>
        <v>0</v>
      </c>
      <c r="P40" s="8"/>
      <c r="Q40" s="8"/>
      <c r="R40" s="8"/>
    </row>
    <row r="41" spans="1:18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>
        <f>1!C41+1!F41+1!I41+1!L41+2!C41+2!F41+2!I41+2!L41+3!C41+3!F41+3!I41+3!L41+4!C41+4!F41+4!I41+5!C41+F41+I41+5!I41</f>
        <v>0</v>
      </c>
      <c r="M41" s="16">
        <f>1!D41+1!G41+1!J41+1!M41+2!D41+2!G41+2!J41+2!M41+3!D41+3!G41+3!J41+3!M41+4!D41+4!G41+4!J41+5!D41+G41+J41</f>
        <v>0</v>
      </c>
      <c r="N41" s="77">
        <f>1!E41+1!H41+1!K41+1!N41+2!E41+2!H41+2!K41+2!N41+3!E41+3!H41+3!K41+3!N41+4!E41+4!H41+4!K41+5!E41+5!H41+5!K41+5!N41+4!N41+6!E41+6!H41+6!K41</f>
        <v>0</v>
      </c>
      <c r="P41" s="8"/>
      <c r="Q41" s="8"/>
      <c r="R41" s="8"/>
    </row>
    <row r="42" spans="1:18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>
        <f>1!C42+1!F42+1!I42+1!L42+2!C42+2!F42+2!I42+2!L42+3!C42+3!F42+3!I42+3!L42+4!C42+4!F42+4!I42+5!C42+F42+I42</f>
        <v>0</v>
      </c>
      <c r="M42" s="16">
        <f>1!D42+1!G42+1!J42+1!M42+2!D42+2!G42+2!J42+2!M42+3!D42+3!G42+3!J42+3!M42+4!D42+4!G42+4!J42+5!D42+G42+J42</f>
        <v>0</v>
      </c>
      <c r="N42" s="77">
        <f>1!E42+1!H42+1!K42+1!N42+2!E42+2!H42+2!K42+2!N42+3!E42+3!H42+3!K42+3!N42+4!E42+4!H42+4!K42+5!E42+5!H42+5!K42+5!N42+4!N42+6!E42+6!H42+6!K42</f>
        <v>0</v>
      </c>
      <c r="P42" s="8"/>
      <c r="Q42" s="8"/>
      <c r="R42" s="8"/>
    </row>
    <row r="43" spans="1:18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7"/>
      <c r="P43" s="8"/>
      <c r="Q43" s="8"/>
      <c r="R43" s="8"/>
    </row>
    <row r="44" spans="1:18" ht="12.75" customHeight="1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M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77">
        <f>1!E44+1!H44+1!K44+1!N44+2!E44+2!H44+2!K44+2!N44+3!E44+3!H44+3!K44+3!N44+4!E44+4!H44+4!K44+5!E44+5!H44+5!K44+5!N44+4!N44+6!E44+6!H44+6!K44</f>
        <v>0</v>
      </c>
      <c r="P44" s="8"/>
      <c r="Q44" s="8"/>
      <c r="R44" s="8"/>
    </row>
    <row r="45" spans="1:18" ht="12.75" customHeight="1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f>1!C45+1!F45+1!I45+1!L45+2!C45+2!F45+2!I45+2!L45+3!C45+3!F45+3!I45+3!L45+4!C45+4!F45+4!I45+5!C45+F45+I45+5!I45</f>
        <v>0</v>
      </c>
      <c r="M45" s="21">
        <f>1!D45+1!G45+1!J45+1!M45+2!D45+2!G45+2!J45+2!M45+3!D45+3!G45+3!J45+3!M45+4!D45+4!G45+4!J45+5!D45+G45+J45+5!J45</f>
        <v>0</v>
      </c>
      <c r="N45" s="9">
        <f>1!E45+1!H45+1!K45+1!N45+2!E45+2!H45+2!K45+2!N45+3!E45+3!H45+3!K45+3!N45+4!E45+4!H45+4!K45+5!E45+5!H45+5!K45+5!N45+4!N45+6!E45+6!H45+6!K45</f>
        <v>0</v>
      </c>
      <c r="P45" s="8"/>
      <c r="Q45" s="8"/>
      <c r="R45" s="8"/>
    </row>
    <row r="46" spans="1:18" ht="12.75" customHeight="1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>
        <f>1!C46+1!F46+1!I46+1!L46+2!C46+2!F46+2!I46+2!L46+3!C46+3!F46+3!I46+3!L46+4!C46+4!F46+4!I46+5!C46+F46+I46+5!I46</f>
        <v>0</v>
      </c>
      <c r="M46" s="21">
        <f>1!D46+1!G46+1!J46+1!M46+2!D46+2!G46+2!J46+2!M46+3!D46+3!G46+3!J46+3!M46+4!D46+4!G46+4!J46+5!D46+G46+J46+5!J46</f>
        <v>0</v>
      </c>
      <c r="N46" s="9">
        <f>1!E46+1!H46+1!K46+1!N46+2!E46+2!H46+2!K46+2!N46+3!E46+3!H46+3!K46+3!N46+4!E46+4!H46+4!K46+5!E46+5!H46+5!K46+5!N46+4!N46+6!E46+6!H46+6!K46</f>
        <v>0</v>
      </c>
      <c r="P46" s="8"/>
      <c r="Q46" s="8"/>
      <c r="R46" s="8"/>
    </row>
    <row r="47" spans="1:18" ht="12.75" customHeight="1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M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>1!E47+1!H47+1!K47+1!N47+2!E47+2!H47+2!K47+2!N47+3!E47+3!H47+3!K47+3!N47+4!E47+4!H47+4!K47+5!E47+5!H47+5!K47+5!N47+4!N47+6!E47+6!H47+6!K47</f>
        <v>0</v>
      </c>
      <c r="P47" s="8"/>
      <c r="Q47" s="8"/>
      <c r="R47" s="8"/>
    </row>
    <row r="48" spans="1:18" ht="12.75" customHeight="1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9">
        <f>1!E48+1!H48+1!K48+1!N48+2!E48+2!H48+2!K48+2!N48+3!E48+3!H48+3!K48+3!N48+4!E48+4!H48+4!K48+5!E48+5!H48+5!K48+5!N48+4!N48+6!E48+6!H48+6!K48</f>
        <v>0</v>
      </c>
      <c r="P48" s="8"/>
      <c r="Q48" s="8"/>
      <c r="R48" s="8"/>
    </row>
    <row r="49" spans="1:18" ht="12.75" customHeight="1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M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>1!E49+1!H49+1!K49+1!N49+2!E49+2!H49+2!K49+2!N49+3!E49+3!H49+3!K49+3!N49+4!E49+4!H49+4!K49+5!E49+5!H49+5!K49+5!N49+4!N49+6!E49+6!H49+6!K49</f>
        <v>0</v>
      </c>
      <c r="P49" s="8"/>
      <c r="Q49" s="8"/>
      <c r="R49" s="8"/>
    </row>
    <row r="50" spans="1:18" s="84" customFormat="1" ht="12.75" customHeight="1" thickBot="1">
      <c r="A50" s="25"/>
      <c r="B50" s="19" t="s">
        <v>185</v>
      </c>
      <c r="C50" s="9">
        <f>SUM(C49,C40,C36)</f>
        <v>0</v>
      </c>
      <c r="D50" s="9">
        <f aca="true" t="shared" si="12" ref="D50:M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77">
        <f>1!E50+1!H50+1!K50+1!N50+2!E50+2!H50+2!K50+2!N50+3!E50+3!H50+3!K50+3!N50+4!E50+4!H50+4!K50+5!E50+5!H50+5!K50+5!N50+4!N50+6!E50+6!H50+6!K50</f>
        <v>0</v>
      </c>
      <c r="O50" s="82"/>
      <c r="P50" s="82"/>
      <c r="Q50" s="82"/>
      <c r="R50" s="82"/>
    </row>
    <row r="51" spans="1:14" ht="13.5" customHeight="1" thickBot="1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45">
        <f>1!C51+1!F51+1!I51+1!L51+2!C51+2!F51+2!I51+2!L51+3!C51+3!F51+3!I51+3!L51+4!C51+4!F51+4!I51+5!C51+F51+I51</f>
        <v>0</v>
      </c>
      <c r="M51" s="45">
        <f>1!D51+1!G51+1!J51+1!M51+2!D51+2!G51+2!J51+2!M51+3!D51+3!G51+3!J51+3!M51+4!D51+4!G51+4!J51+5!D51+G51+J51</f>
        <v>0</v>
      </c>
      <c r="N51" s="77">
        <f>1!E51+1!H51+1!K51+1!N51+2!E51+2!H51+2!K51+2!N51+3!E51+3!H51+3!K51+3!N51+4!E51+4!H51+4!K51+5!E51+5!H51+5!K51+5!N51+4!N51+6!E51+6!H51+6!K51</f>
        <v>0</v>
      </c>
    </row>
    <row r="52" spans="1:14" ht="13.5" thickBot="1">
      <c r="A52" s="37"/>
      <c r="B52" s="33" t="s">
        <v>44</v>
      </c>
      <c r="C52" s="42"/>
      <c r="D52" s="42"/>
      <c r="E52" s="42"/>
      <c r="F52" s="42"/>
      <c r="G52" s="42"/>
      <c r="H52" s="42"/>
      <c r="I52" s="42"/>
      <c r="J52" s="42"/>
      <c r="K52" s="42"/>
      <c r="L52" s="33">
        <f>1!C52+1!F52+1!I52+1!L52+2!C52+2!F52+2!I52+2!L52+3!C52+3!F52+3!I52+3!L52+4!C52+4!F52+4!I52+5!C52+F52+I52</f>
        <v>0</v>
      </c>
      <c r="M52" s="33">
        <f>1!D52+1!G52+1!J52+1!M52+2!D52+2!G52+2!J52+2!M52+3!D52+3!G52+3!J52+3!M52+4!D52+4!G52+4!J52+5!D52+G52+J52</f>
        <v>0</v>
      </c>
      <c r="N52" s="77">
        <f>1!E52+1!H52+1!K52+1!N52+2!E52+2!H52+2!K52+2!N52+3!E52+3!H52+3!K52+3!N52+4!E52+4!H52+4!K52+5!E52+5!H52+5!K52+5!N52+4!N52+6!E52+6!H52+6!K52</f>
        <v>0</v>
      </c>
    </row>
  </sheetData>
  <sheetProtection/>
  <mergeCells count="24">
    <mergeCell ref="A8:B8"/>
    <mergeCell ref="A28:B28"/>
    <mergeCell ref="L5:L6"/>
    <mergeCell ref="M5:M6"/>
    <mergeCell ref="A7:B7"/>
    <mergeCell ref="H5:H6"/>
    <mergeCell ref="B1:N1"/>
    <mergeCell ref="A3:B6"/>
    <mergeCell ref="C3:E3"/>
    <mergeCell ref="F3:H3"/>
    <mergeCell ref="I3:K3"/>
    <mergeCell ref="L3:N4"/>
    <mergeCell ref="N5:N6"/>
    <mergeCell ref="C4:E4"/>
    <mergeCell ref="F4:H4"/>
    <mergeCell ref="I4:K4"/>
    <mergeCell ref="I5:I6"/>
    <mergeCell ref="J5:J6"/>
    <mergeCell ref="K5:K6"/>
    <mergeCell ref="C5:C6"/>
    <mergeCell ref="D5:D6"/>
    <mergeCell ref="E5:E6"/>
    <mergeCell ref="F5:F6"/>
    <mergeCell ref="G5:G6"/>
  </mergeCells>
  <printOptions/>
  <pageMargins left="0.2362204724409449" right="0.1968503937007874" top="0.35433070866141736" bottom="0.7480314960629921" header="0.15748031496062992" footer="0.5118110236220472"/>
  <pageSetup horizontalDpi="600" verticalDpi="600" orientation="landscape" paperSize="9" scale="8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58"/>
  <sheetViews>
    <sheetView zoomScale="92" zoomScaleNormal="92" zoomScalePageLayoutView="0" workbookViewId="0" topLeftCell="A1">
      <pane ySplit="7" topLeftCell="A1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1" width="9.375" style="1" customWidth="1"/>
    <col min="12" max="12" width="10.375" style="1" customWidth="1"/>
    <col min="13" max="13" width="11.625" style="1" customWidth="1"/>
    <col min="14" max="14" width="10.625" style="1" customWidth="1"/>
    <col min="15" max="15" width="10.375" style="8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4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8.25" customHeight="1" thickBot="1">
      <c r="N2" s="3" t="s">
        <v>0</v>
      </c>
    </row>
    <row r="3" spans="1:14" ht="9" customHeight="1" thickBot="1">
      <c r="A3" s="161" t="s">
        <v>1</v>
      </c>
      <c r="B3" s="161"/>
      <c r="C3" s="163">
        <v>1051</v>
      </c>
      <c r="D3" s="163"/>
      <c r="E3" s="163"/>
      <c r="F3" s="163">
        <v>1052</v>
      </c>
      <c r="G3" s="163"/>
      <c r="H3" s="163"/>
      <c r="I3" s="175">
        <v>1053</v>
      </c>
      <c r="J3" s="175"/>
      <c r="K3" s="175"/>
      <c r="L3" s="175">
        <v>1054</v>
      </c>
      <c r="M3" s="177"/>
      <c r="N3" s="162"/>
    </row>
    <row r="4" spans="1:15" s="4" customFormat="1" ht="22.5" customHeight="1" thickBot="1">
      <c r="A4" s="161"/>
      <c r="B4" s="161"/>
      <c r="C4" s="165" t="s">
        <v>61</v>
      </c>
      <c r="D4" s="165"/>
      <c r="E4" s="165"/>
      <c r="F4" s="165" t="s">
        <v>62</v>
      </c>
      <c r="G4" s="165"/>
      <c r="H4" s="165"/>
      <c r="I4" s="165" t="s">
        <v>63</v>
      </c>
      <c r="J4" s="165"/>
      <c r="K4" s="165"/>
      <c r="L4" s="178" t="s">
        <v>64</v>
      </c>
      <c r="M4" s="178"/>
      <c r="N4" s="178"/>
      <c r="O4" s="44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  <c r="P9" s="8"/>
    </row>
    <row r="10" spans="1:16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  <c r="P10" s="8"/>
    </row>
    <row r="11" spans="1:16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  <c r="P11" s="8"/>
    </row>
    <row r="12" spans="1:16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  <c r="P12" s="8"/>
    </row>
    <row r="13" spans="1:16" ht="10.5" customHeight="1">
      <c r="A13" s="4" t="s">
        <v>13</v>
      </c>
      <c r="B13" s="3" t="s">
        <v>15</v>
      </c>
      <c r="C13" s="8">
        <v>82113</v>
      </c>
      <c r="D13" s="12">
        <v>82113</v>
      </c>
      <c r="E13" s="8">
        <v>75270</v>
      </c>
      <c r="F13" s="8">
        <v>225798</v>
      </c>
      <c r="G13" s="8">
        <v>225798</v>
      </c>
      <c r="H13" s="10">
        <v>206982</v>
      </c>
      <c r="I13" s="8">
        <v>17973</v>
      </c>
      <c r="J13" s="8">
        <v>17973</v>
      </c>
      <c r="K13" s="10">
        <v>16475</v>
      </c>
      <c r="L13" s="8"/>
      <c r="M13" s="8">
        <v>0</v>
      </c>
      <c r="N13" s="8">
        <v>0</v>
      </c>
      <c r="P13" s="8"/>
    </row>
    <row r="14" spans="1:16" ht="10.5" customHeight="1">
      <c r="A14" s="14" t="s">
        <v>16</v>
      </c>
      <c r="B14" s="15" t="s">
        <v>155</v>
      </c>
      <c r="C14" s="16">
        <f>SUM(C9:C13)</f>
        <v>82113</v>
      </c>
      <c r="D14" s="16">
        <f aca="true" t="shared" si="0" ref="D14:N14">SUM(D9:D13)</f>
        <v>82113</v>
      </c>
      <c r="E14" s="16">
        <f t="shared" si="0"/>
        <v>75270</v>
      </c>
      <c r="F14" s="16">
        <f t="shared" si="0"/>
        <v>225798</v>
      </c>
      <c r="G14" s="16">
        <f t="shared" si="0"/>
        <v>225798</v>
      </c>
      <c r="H14" s="16">
        <f t="shared" si="0"/>
        <v>206982</v>
      </c>
      <c r="I14" s="16">
        <f t="shared" si="0"/>
        <v>17973</v>
      </c>
      <c r="J14" s="16">
        <f t="shared" si="0"/>
        <v>17973</v>
      </c>
      <c r="K14" s="16">
        <f t="shared" si="0"/>
        <v>16475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P14" s="8"/>
    </row>
    <row r="15" spans="1:16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  <c r="P15" s="8"/>
    </row>
    <row r="16" spans="1:17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  <c r="P16" s="8"/>
      <c r="Q16" s="8"/>
    </row>
    <row r="17" spans="1:16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  <c r="O17" s="9"/>
      <c r="P17" s="8"/>
    </row>
    <row r="18" spans="1:16" ht="10.5" customHeight="1" thickBo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P18" s="8"/>
    </row>
    <row r="19" spans="1:16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P19" s="8"/>
    </row>
    <row r="20" spans="1:16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P20" s="8"/>
    </row>
    <row r="21" spans="1:16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P21" s="8"/>
    </row>
    <row r="22" spans="1:15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"/>
    </row>
    <row r="23" spans="1:16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  <c r="O23" s="9"/>
      <c r="P23" s="8"/>
    </row>
    <row r="24" spans="1:16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P24" s="8"/>
    </row>
    <row r="25" spans="1:16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P25" s="8"/>
    </row>
    <row r="26" spans="1:16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  <c r="P26" s="8"/>
    </row>
    <row r="27" spans="1:16" s="19" customFormat="1" ht="10.5" customHeight="1">
      <c r="A27" s="25"/>
      <c r="B27" s="19" t="s">
        <v>183</v>
      </c>
      <c r="C27" s="9">
        <f>SUM(C26,C18,C14)</f>
        <v>82113</v>
      </c>
      <c r="D27" s="9">
        <f aca="true" t="shared" si="5" ref="D27:N27">SUM(D26,D18,D14)</f>
        <v>82113</v>
      </c>
      <c r="E27" s="9">
        <f t="shared" si="5"/>
        <v>75270</v>
      </c>
      <c r="F27" s="9">
        <f t="shared" si="5"/>
        <v>225798</v>
      </c>
      <c r="G27" s="9">
        <f t="shared" si="5"/>
        <v>225798</v>
      </c>
      <c r="H27" s="9">
        <f t="shared" si="5"/>
        <v>206982</v>
      </c>
      <c r="I27" s="9">
        <f t="shared" si="5"/>
        <v>17973</v>
      </c>
      <c r="J27" s="9">
        <f t="shared" si="5"/>
        <v>17973</v>
      </c>
      <c r="K27" s="9">
        <f t="shared" si="5"/>
        <v>16475</v>
      </c>
      <c r="L27" s="9">
        <f t="shared" si="5"/>
        <v>0</v>
      </c>
      <c r="M27" s="9">
        <f t="shared" si="5"/>
        <v>0</v>
      </c>
      <c r="N27" s="9">
        <f t="shared" si="5"/>
        <v>0</v>
      </c>
      <c r="O27" s="9"/>
      <c r="P27" s="82"/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8"/>
      <c r="P28" s="8"/>
      <c r="U28" s="81"/>
    </row>
    <row r="29" spans="1:16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  <c r="P29" s="8"/>
    </row>
    <row r="30" spans="1:16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6"/>
      <c r="P30" s="8"/>
    </row>
    <row r="31" spans="1:16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6"/>
      <c r="P31" s="8"/>
    </row>
    <row r="32" spans="1:16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P32" s="8"/>
    </row>
    <row r="33" spans="1:16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  <c r="P33" s="8"/>
    </row>
    <row r="34" spans="1:16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8"/>
      <c r="M34" s="8"/>
      <c r="N34" s="18"/>
      <c r="P34" s="8"/>
    </row>
    <row r="35" spans="1:16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  <c r="P35" s="8"/>
    </row>
    <row r="36" spans="1:37" ht="10.5" customHeight="1" thickBo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P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"/>
      <c r="M37" s="8"/>
      <c r="N37" s="18"/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  <c r="P38" s="8"/>
      <c r="Q38" s="81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O39" s="9"/>
      <c r="P39" s="8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1" ht="10.5" customHeight="1" thickBo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 customHeight="1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 customHeight="1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 customHeight="1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 customHeight="1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75" customHeight="1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s="84" customFormat="1" ht="12.75" customHeight="1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</row>
    <row r="51" spans="1:14" ht="13.5" customHeight="1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3.5" customHeight="1">
      <c r="A52" s="37"/>
      <c r="B52" s="33" t="s">
        <v>44</v>
      </c>
      <c r="C52" s="42"/>
      <c r="D52" s="42"/>
      <c r="E52" s="38"/>
      <c r="F52" s="42"/>
      <c r="G52" s="42"/>
      <c r="H52" s="42"/>
      <c r="I52" s="42"/>
      <c r="J52" s="42"/>
      <c r="K52" s="42"/>
      <c r="L52" s="42"/>
      <c r="M52" s="42"/>
      <c r="N52" s="43"/>
    </row>
    <row r="56" ht="12.75">
      <c r="H56" s="8"/>
    </row>
    <row r="58" ht="12.75">
      <c r="H58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9027777777777777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63">
        <v>1055</v>
      </c>
      <c r="D3" s="163"/>
      <c r="E3" s="163"/>
      <c r="F3" s="163">
        <v>1056</v>
      </c>
      <c r="G3" s="163"/>
      <c r="H3" s="163"/>
      <c r="I3" s="163">
        <v>1057</v>
      </c>
      <c r="J3" s="163"/>
      <c r="K3" s="163"/>
      <c r="L3" s="163">
        <v>1058</v>
      </c>
      <c r="M3" s="163"/>
      <c r="N3" s="163"/>
    </row>
    <row r="4" spans="1:14" s="48" customFormat="1" ht="20.25" customHeight="1" thickBot="1">
      <c r="A4" s="161"/>
      <c r="B4" s="161"/>
      <c r="C4" s="165" t="s">
        <v>65</v>
      </c>
      <c r="D4" s="165"/>
      <c r="E4" s="165"/>
      <c r="F4" s="165" t="s">
        <v>66</v>
      </c>
      <c r="G4" s="165"/>
      <c r="H4" s="165"/>
      <c r="I4" s="168" t="s">
        <v>67</v>
      </c>
      <c r="J4" s="168"/>
      <c r="K4" s="168"/>
      <c r="L4" s="165" t="s">
        <v>68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>
        <v>3400</v>
      </c>
      <c r="D13" s="12">
        <v>3400</v>
      </c>
      <c r="E13" s="8">
        <v>3400</v>
      </c>
      <c r="F13" s="8">
        <v>0</v>
      </c>
      <c r="G13" s="8"/>
      <c r="H13" s="8"/>
      <c r="I13" s="8">
        <v>0</v>
      </c>
      <c r="J13" s="8">
        <v>112500</v>
      </c>
      <c r="K13" s="8">
        <v>112500</v>
      </c>
      <c r="L13" s="8">
        <v>26700</v>
      </c>
      <c r="M13" s="8">
        <v>26700</v>
      </c>
      <c r="N13" s="10">
        <v>24475</v>
      </c>
      <c r="P13" s="49"/>
    </row>
    <row r="14" spans="1:14" ht="10.5" customHeight="1">
      <c r="A14" s="14" t="s">
        <v>16</v>
      </c>
      <c r="B14" s="15" t="s">
        <v>155</v>
      </c>
      <c r="C14" s="16">
        <f>SUM(C9:C13)</f>
        <v>3400</v>
      </c>
      <c r="D14" s="16">
        <f aca="true" t="shared" si="0" ref="D14:N14">SUM(D9:D13)</f>
        <v>3400</v>
      </c>
      <c r="E14" s="16">
        <f t="shared" si="0"/>
        <v>3400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112500</v>
      </c>
      <c r="K14" s="16">
        <f t="shared" si="0"/>
        <v>112500</v>
      </c>
      <c r="L14" s="16">
        <f t="shared" si="0"/>
        <v>26700</v>
      </c>
      <c r="M14" s="16">
        <f t="shared" si="0"/>
        <v>26700</v>
      </c>
      <c r="N14" s="16">
        <f t="shared" si="0"/>
        <v>24475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10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3400</v>
      </c>
      <c r="D27" s="9">
        <f aca="true" t="shared" si="5" ref="D27:N27">SUM(D26,D18,D14)</f>
        <v>3400</v>
      </c>
      <c r="E27" s="9">
        <f t="shared" si="5"/>
        <v>3400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112500</v>
      </c>
      <c r="K27" s="9">
        <f t="shared" si="5"/>
        <v>112500</v>
      </c>
      <c r="L27" s="9">
        <f t="shared" si="5"/>
        <v>26700</v>
      </c>
      <c r="M27" s="9">
        <f t="shared" si="5"/>
        <v>26700</v>
      </c>
      <c r="N27" s="9">
        <f t="shared" si="5"/>
        <v>24475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8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6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6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8"/>
      <c r="M34" s="8"/>
      <c r="N34" s="18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</row>
    <row r="36" spans="1:40" ht="10.5" customHeigh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"/>
      <c r="M37" s="8"/>
      <c r="N37" s="18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AA50" s="19"/>
      <c r="AB50" s="19"/>
      <c r="AC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60" t="s">
        <v>192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61" t="s">
        <v>1</v>
      </c>
      <c r="B3" s="161"/>
      <c r="C3" s="163">
        <v>1059</v>
      </c>
      <c r="D3" s="163"/>
      <c r="E3" s="163"/>
      <c r="F3" s="163">
        <v>1060</v>
      </c>
      <c r="G3" s="163"/>
      <c r="H3" s="163"/>
      <c r="I3" s="163">
        <v>1061</v>
      </c>
      <c r="J3" s="163"/>
      <c r="K3" s="163"/>
      <c r="L3" s="163">
        <v>1062</v>
      </c>
      <c r="M3" s="163"/>
      <c r="N3" s="163"/>
    </row>
    <row r="4" spans="1:14" s="48" customFormat="1" ht="20.25" customHeight="1" thickBot="1">
      <c r="A4" s="161"/>
      <c r="B4" s="161"/>
      <c r="C4" s="168" t="s">
        <v>69</v>
      </c>
      <c r="D4" s="168"/>
      <c r="E4" s="168"/>
      <c r="F4" s="165" t="s">
        <v>70</v>
      </c>
      <c r="G4" s="165"/>
      <c r="H4" s="165"/>
      <c r="I4" s="165" t="s">
        <v>71</v>
      </c>
      <c r="J4" s="165"/>
      <c r="K4" s="165"/>
      <c r="L4" s="165" t="s">
        <v>72</v>
      </c>
      <c r="M4" s="165"/>
      <c r="N4" s="165"/>
    </row>
    <row r="5" spans="1:14" ht="11.25" customHeight="1" thickBot="1">
      <c r="A5" s="161"/>
      <c r="B5" s="161"/>
      <c r="C5" s="157" t="s">
        <v>193</v>
      </c>
      <c r="D5" s="157" t="s">
        <v>194</v>
      </c>
      <c r="E5" s="157" t="s">
        <v>195</v>
      </c>
      <c r="F5" s="157" t="s">
        <v>193</v>
      </c>
      <c r="G5" s="157" t="s">
        <v>194</v>
      </c>
      <c r="H5" s="157" t="s">
        <v>195</v>
      </c>
      <c r="I5" s="157" t="s">
        <v>193</v>
      </c>
      <c r="J5" s="157" t="s">
        <v>194</v>
      </c>
      <c r="K5" s="157" t="s">
        <v>195</v>
      </c>
      <c r="L5" s="157" t="s">
        <v>193</v>
      </c>
      <c r="M5" s="157" t="s">
        <v>194</v>
      </c>
      <c r="N5" s="157" t="s">
        <v>195</v>
      </c>
    </row>
    <row r="6" spans="1:14" ht="17.25" customHeight="1" thickBot="1">
      <c r="A6" s="161"/>
      <c r="B6" s="16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9" customHeight="1" thickBot="1">
      <c r="A7" s="159">
        <v>1</v>
      </c>
      <c r="B7" s="159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55" t="s">
        <v>6</v>
      </c>
      <c r="B8" s="155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153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>
        <v>0</v>
      </c>
      <c r="D13" s="12">
        <v>50000</v>
      </c>
      <c r="E13" s="10">
        <v>49599</v>
      </c>
      <c r="F13" s="8">
        <v>0</v>
      </c>
      <c r="G13" s="8">
        <v>3870</v>
      </c>
      <c r="H13" s="8">
        <v>3450</v>
      </c>
      <c r="I13" s="8">
        <v>0</v>
      </c>
      <c r="J13" s="8">
        <v>6236</v>
      </c>
      <c r="K13" s="8">
        <v>6236</v>
      </c>
      <c r="L13" s="8">
        <v>0</v>
      </c>
      <c r="M13" s="8">
        <v>2990</v>
      </c>
      <c r="N13" s="8">
        <v>2990</v>
      </c>
      <c r="P13" s="49"/>
    </row>
    <row r="14" spans="1:14" ht="10.5" customHeight="1">
      <c r="A14" s="14" t="s">
        <v>16</v>
      </c>
      <c r="B14" s="15" t="s">
        <v>155</v>
      </c>
      <c r="C14" s="16">
        <f>SUM(C9:C13)</f>
        <v>0</v>
      </c>
      <c r="D14" s="16">
        <f aca="true" t="shared" si="0" ref="D14:N14">SUM(D9:D13)</f>
        <v>50000</v>
      </c>
      <c r="E14" s="16">
        <f t="shared" si="0"/>
        <v>49599</v>
      </c>
      <c r="F14" s="16">
        <f t="shared" si="0"/>
        <v>0</v>
      </c>
      <c r="G14" s="16">
        <f t="shared" si="0"/>
        <v>3870</v>
      </c>
      <c r="H14" s="16">
        <f t="shared" si="0"/>
        <v>3450</v>
      </c>
      <c r="I14" s="16">
        <f t="shared" si="0"/>
        <v>0</v>
      </c>
      <c r="J14" s="16">
        <f t="shared" si="0"/>
        <v>6236</v>
      </c>
      <c r="K14" s="16">
        <f t="shared" si="0"/>
        <v>6236</v>
      </c>
      <c r="L14" s="16">
        <f t="shared" si="0"/>
        <v>0</v>
      </c>
      <c r="M14" s="16">
        <f t="shared" si="0"/>
        <v>2990</v>
      </c>
      <c r="N14" s="16">
        <f t="shared" si="0"/>
        <v>2990</v>
      </c>
    </row>
    <row r="15" spans="1:14" ht="10.5" customHeight="1">
      <c r="A15" s="4" t="s">
        <v>17</v>
      </c>
      <c r="B15" s="3" t="s">
        <v>154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156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86" t="s">
        <v>23</v>
      </c>
      <c r="B19" s="15" t="s">
        <v>157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158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88" t="s">
        <v>159</v>
      </c>
      <c r="B22" s="3" t="s">
        <v>173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160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161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89" t="s">
        <v>184</v>
      </c>
      <c r="B25" s="115" t="s">
        <v>182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1" t="s">
        <v>178</v>
      </c>
      <c r="B26" s="122" t="s">
        <v>179</v>
      </c>
      <c r="C26" s="77">
        <f>SUM(C20,C24,C25)</f>
        <v>0</v>
      </c>
      <c r="D26" s="77">
        <f aca="true" t="shared" si="4" ref="D26:N26">SUM(D20,D24,D25)</f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77">
        <f t="shared" si="4"/>
        <v>0</v>
      </c>
    </row>
    <row r="27" spans="1:14" s="19" customFormat="1" ht="10.5" customHeight="1">
      <c r="A27" s="25"/>
      <c r="B27" s="19" t="s">
        <v>183</v>
      </c>
      <c r="C27" s="9">
        <f>SUM(C26,C18,C14)</f>
        <v>0</v>
      </c>
      <c r="D27" s="9">
        <f aca="true" t="shared" si="5" ref="D27:N27">SUM(D26,D18,D14)</f>
        <v>50000</v>
      </c>
      <c r="E27" s="9">
        <f t="shared" si="5"/>
        <v>49599</v>
      </c>
      <c r="F27" s="9">
        <f t="shared" si="5"/>
        <v>0</v>
      </c>
      <c r="G27" s="9">
        <f t="shared" si="5"/>
        <v>3870</v>
      </c>
      <c r="H27" s="9">
        <f t="shared" si="5"/>
        <v>3450</v>
      </c>
      <c r="I27" s="9">
        <f t="shared" si="5"/>
        <v>0</v>
      </c>
      <c r="J27" s="9">
        <f t="shared" si="5"/>
        <v>6236</v>
      </c>
      <c r="K27" s="9">
        <f t="shared" si="5"/>
        <v>6236</v>
      </c>
      <c r="L27" s="9">
        <f t="shared" si="5"/>
        <v>0</v>
      </c>
      <c r="M27" s="9">
        <f t="shared" si="5"/>
        <v>2990</v>
      </c>
      <c r="N27" s="9">
        <f t="shared" si="5"/>
        <v>2990</v>
      </c>
    </row>
    <row r="28" spans="1:21" ht="10.5" customHeight="1">
      <c r="A28" s="156" t="s">
        <v>33</v>
      </c>
      <c r="B28" s="156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1"/>
    </row>
    <row r="29" spans="1:14" ht="10.5" customHeight="1">
      <c r="A29" s="4" t="s">
        <v>34</v>
      </c>
      <c r="B29" s="3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40"/>
      <c r="M29" s="40"/>
      <c r="N29" s="41"/>
    </row>
    <row r="30" spans="1:14" ht="10.5" customHeight="1">
      <c r="A30" s="4" t="s">
        <v>35</v>
      </c>
      <c r="B30" s="3" t="s">
        <v>163</v>
      </c>
      <c r="C30" s="10"/>
      <c r="D30" s="10"/>
      <c r="E30" s="10"/>
      <c r="F30" s="10"/>
      <c r="G30" s="10"/>
      <c r="H30" s="10"/>
      <c r="I30" s="10"/>
      <c r="J30" s="10"/>
      <c r="K30" s="10"/>
      <c r="L30" s="40"/>
      <c r="M30" s="40"/>
      <c r="N30" s="41"/>
    </row>
    <row r="31" spans="1:14" ht="10.5" customHeight="1">
      <c r="A31" s="4" t="s">
        <v>164</v>
      </c>
      <c r="B31" s="3" t="s">
        <v>165</v>
      </c>
      <c r="C31" s="10"/>
      <c r="D31" s="10"/>
      <c r="E31" s="10"/>
      <c r="F31" s="10"/>
      <c r="G31" s="10"/>
      <c r="H31" s="10"/>
      <c r="I31" s="10"/>
      <c r="J31" s="10"/>
      <c r="K31" s="10"/>
      <c r="L31" s="40"/>
      <c r="M31" s="40"/>
      <c r="N31" s="41"/>
    </row>
    <row r="32" spans="1:14" ht="10.5" customHeight="1">
      <c r="A32" s="27" t="s">
        <v>7</v>
      </c>
      <c r="B32" s="28" t="s">
        <v>166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167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40" ht="10.5" customHeight="1">
      <c r="A36" s="14" t="s">
        <v>16</v>
      </c>
      <c r="B36" s="15" t="s">
        <v>169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168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Q38" s="8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170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30" t="s">
        <v>196</v>
      </c>
      <c r="B43" s="15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4" t="s">
        <v>26</v>
      </c>
      <c r="B44" s="15" t="s">
        <v>41</v>
      </c>
      <c r="C44" s="16">
        <f>SUM(C41:C42)</f>
        <v>0</v>
      </c>
      <c r="D44" s="16">
        <f aca="true" t="shared" si="9" ref="D44:N44">SUM(D41:D42)</f>
        <v>0</v>
      </c>
      <c r="E44" s="16">
        <f t="shared" si="9"/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</row>
    <row r="45" spans="1:14" ht="12.75">
      <c r="A45" s="89" t="s">
        <v>28</v>
      </c>
      <c r="B45" s="20" t="s">
        <v>32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89" t="s">
        <v>159</v>
      </c>
      <c r="B46" s="20" t="s">
        <v>172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3.5" thickBot="1">
      <c r="A47" s="91" t="s">
        <v>30</v>
      </c>
      <c r="B47" s="92" t="s">
        <v>42</v>
      </c>
      <c r="C47" s="77">
        <f>SUM(C45:C46)</f>
        <v>0</v>
      </c>
      <c r="D47" s="77">
        <f aca="true" t="shared" si="10" ref="D47:N47">SUM(D45:D46)</f>
        <v>0</v>
      </c>
      <c r="E47" s="77">
        <f t="shared" si="10"/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</row>
    <row r="48" spans="1:14" ht="13.5" thickBot="1">
      <c r="A48" s="89" t="s">
        <v>184</v>
      </c>
      <c r="B48" s="20" t="s">
        <v>181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3.5" thickBot="1">
      <c r="A49" s="91" t="s">
        <v>178</v>
      </c>
      <c r="B49" s="92" t="s">
        <v>180</v>
      </c>
      <c r="C49" s="77">
        <f>SUM(C47,C44,C48)</f>
        <v>0</v>
      </c>
      <c r="D49" s="77">
        <f aca="true" t="shared" si="11" ref="D49:N49">SUM(D47,D44,D48)</f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 t="shared" si="11"/>
        <v>0</v>
      </c>
      <c r="I49" s="77">
        <f t="shared" si="11"/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 t="shared" si="11"/>
        <v>0</v>
      </c>
      <c r="N49" s="77">
        <f t="shared" si="11"/>
        <v>0</v>
      </c>
    </row>
    <row r="50" spans="1:29" s="84" customFormat="1" ht="13.5" thickBot="1">
      <c r="A50" s="25"/>
      <c r="B50" s="19" t="s">
        <v>185</v>
      </c>
      <c r="C50" s="9">
        <f>SUM(C49,C40,C36)</f>
        <v>0</v>
      </c>
      <c r="D50" s="9">
        <f aca="true" t="shared" si="12" ref="D50:N50">SUM(D49,D40,D36)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AA50" s="19"/>
      <c r="AB50" s="19"/>
      <c r="AC50" s="19"/>
    </row>
    <row r="51" spans="1:14" ht="12.75">
      <c r="A51" s="32"/>
      <c r="B51" s="33" t="s">
        <v>43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6"/>
    </row>
    <row r="52" spans="1:14" ht="12.75">
      <c r="A52" s="37"/>
      <c r="B52" s="33" t="s">
        <v>44</v>
      </c>
      <c r="C52" s="42"/>
      <c r="D52" s="42"/>
      <c r="E52" s="42"/>
      <c r="F52" s="42"/>
      <c r="G52" s="42"/>
      <c r="H52" s="38"/>
      <c r="I52" s="42"/>
      <c r="J52" s="42"/>
      <c r="K52" s="38"/>
      <c r="L52" s="42"/>
      <c r="M52" s="42"/>
      <c r="N52" s="43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8:B28"/>
    <mergeCell ref="K5:K6"/>
    <mergeCell ref="C5:C6"/>
    <mergeCell ref="D5:D6"/>
    <mergeCell ref="E5:E6"/>
    <mergeCell ref="F5:F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2015-05-07T12:33:09Z</cp:lastPrinted>
  <dcterms:created xsi:type="dcterms:W3CDTF">2013-01-10T09:41:02Z</dcterms:created>
  <dcterms:modified xsi:type="dcterms:W3CDTF">2015-05-07T12:33:24Z</dcterms:modified>
  <cp:category/>
  <cp:version/>
  <cp:contentType/>
  <cp:contentStatus/>
</cp:coreProperties>
</file>