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6. költségvetés\Önkormányzat\"/>
    </mc:Choice>
  </mc:AlternateContent>
  <bookViews>
    <workbookView xWindow="0" yWindow="0" windowWidth="17256" windowHeight="5808" tabRatio="727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243" r:id="rId17"/>
    <sheet name="9.2. sz. mell (2-1)" sheetId="244" r:id="rId18"/>
    <sheet name="9.2. sz. mell (2-2)" sheetId="245" r:id="rId19"/>
    <sheet name="9.2.1. sz. mell" sheetId="246" r:id="rId20"/>
    <sheet name="9.2.2. sz.  mell" sheetId="247" r:id="rId21"/>
    <sheet name="9.2.3. sz. mell" sheetId="248" r:id="rId22"/>
    <sheet name="9.3. sz. mell" sheetId="239" r:id="rId23"/>
    <sheet name="9.3.1. sz. mell" sheetId="240" r:id="rId24"/>
    <sheet name="9.3.2. sz. mell" sheetId="241" r:id="rId25"/>
    <sheet name="9.3.3. sz. mell" sheetId="242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  <externalReference r:id="rId36"/>
    <externalReference r:id="rId37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t.'!$A$1:$I$156</definedName>
    <definedName name="_xlnm.Print_Area" localSheetId="0">'1.1.sz.mell.'!$A$1:$G$167</definedName>
    <definedName name="_xlnm.Print_Area" localSheetId="1">'1.2.sz.mell.'!$A$1:$G$159</definedName>
    <definedName name="_xlnm.Print_Area" localSheetId="2">'1.3.sz.mell.'!$A$1:$G$155</definedName>
    <definedName name="_xlnm.Print_Area" localSheetId="3">'1.4.sz.mell.'!$A$1:$G$159</definedName>
    <definedName name="_xlnm.Print_Area" localSheetId="33">'7. sz tájékoztató t.'!$A$1:$E$37</definedName>
  </definedNames>
  <calcPr calcId="162913"/>
</workbook>
</file>

<file path=xl/calcChain.xml><?xml version="1.0" encoding="utf-8"?>
<calcChain xmlns="http://schemas.openxmlformats.org/spreadsheetml/2006/main">
  <c r="H123" i="1" l="1"/>
  <c r="H104" i="1"/>
  <c r="H103" i="1"/>
  <c r="H101" i="1"/>
  <c r="H102" i="1"/>
  <c r="H153" i="1"/>
  <c r="H148" i="1"/>
  <c r="H141" i="1"/>
  <c r="H161" i="1" s="1"/>
  <c r="H137" i="1"/>
  <c r="H127" i="1"/>
  <c r="H125" i="1"/>
  <c r="H122" i="1" s="1"/>
  <c r="H119" i="1"/>
  <c r="H113" i="1"/>
  <c r="H106" i="1"/>
  <c r="H99" i="1"/>
  <c r="H85" i="1"/>
  <c r="H81" i="1"/>
  <c r="H79" i="1"/>
  <c r="H78" i="1" s="1"/>
  <c r="H92" i="1" s="1"/>
  <c r="H73" i="1"/>
  <c r="H69" i="1"/>
  <c r="H63" i="1"/>
  <c r="H58" i="1"/>
  <c r="H52" i="1"/>
  <c r="H48" i="1"/>
  <c r="H43" i="1"/>
  <c r="H42" i="1"/>
  <c r="H40" i="1"/>
  <c r="H39" i="1"/>
  <c r="H33" i="1"/>
  <c r="H32" i="1"/>
  <c r="H25" i="1"/>
  <c r="H23" i="1"/>
  <c r="H18" i="1"/>
  <c r="H11" i="1"/>
  <c r="H68" i="1"/>
  <c r="H115" i="116"/>
  <c r="H96" i="116"/>
  <c r="H95" i="116"/>
  <c r="H94" i="116"/>
  <c r="H145" i="116"/>
  <c r="H142" i="116"/>
  <c r="H140" i="116"/>
  <c r="H133" i="116"/>
  <c r="H129" i="116"/>
  <c r="H127" i="116"/>
  <c r="H119" i="116" s="1"/>
  <c r="H114" i="116" s="1"/>
  <c r="H117" i="116"/>
  <c r="H110" i="116"/>
  <c r="H98" i="116" s="1"/>
  <c r="H105" i="116"/>
  <c r="H97" i="116"/>
  <c r="H91" i="116"/>
  <c r="H79" i="116"/>
  <c r="H75" i="116"/>
  <c r="H73" i="116"/>
  <c r="H72" i="116"/>
  <c r="H86" i="116" s="1"/>
  <c r="H67" i="116"/>
  <c r="H63" i="116"/>
  <c r="H60" i="116"/>
  <c r="H57" i="116"/>
  <c r="H52" i="116"/>
  <c r="H46" i="116"/>
  <c r="H42" i="116"/>
  <c r="H40" i="116"/>
  <c r="H39" i="116"/>
  <c r="H36" i="116"/>
  <c r="H34" i="116" s="1"/>
  <c r="H33" i="116"/>
  <c r="H31" i="116"/>
  <c r="H27" i="116"/>
  <c r="H26" i="116" s="1"/>
  <c r="H19" i="116"/>
  <c r="H17" i="116"/>
  <c r="H12" i="116"/>
  <c r="H5" i="116"/>
  <c r="G94" i="116"/>
  <c r="G95" i="116"/>
  <c r="G96" i="116"/>
  <c r="G115" i="116"/>
  <c r="G53" i="243"/>
  <c r="G49" i="243"/>
  <c r="G48" i="243"/>
  <c r="G47" i="243"/>
  <c r="G52" i="243"/>
  <c r="G46" i="243"/>
  <c r="G41" i="243"/>
  <c r="G38" i="243"/>
  <c r="G31" i="243"/>
  <c r="G26" i="243"/>
  <c r="G23" i="243"/>
  <c r="G20" i="243"/>
  <c r="G8" i="243"/>
  <c r="G52" i="244"/>
  <c r="G48" i="244"/>
  <c r="G47" i="244"/>
  <c r="G46" i="244" s="1"/>
  <c r="G41" i="244"/>
  <c r="G38" i="244" s="1"/>
  <c r="G42" i="244" s="1"/>
  <c r="G31" i="244"/>
  <c r="G26" i="244"/>
  <c r="G23" i="244"/>
  <c r="G20" i="244" s="1"/>
  <c r="G37" i="244" s="1"/>
  <c r="G8" i="244"/>
  <c r="G52" i="245"/>
  <c r="G49" i="245"/>
  <c r="G48" i="245"/>
  <c r="G46" i="245"/>
  <c r="G58" i="245" s="1"/>
  <c r="G47" i="245"/>
  <c r="G41" i="245"/>
  <c r="G38" i="245"/>
  <c r="G31" i="245"/>
  <c r="G26" i="245"/>
  <c r="G20" i="245"/>
  <c r="G8" i="245"/>
  <c r="G37" i="245" s="1"/>
  <c r="G42" i="245" s="1"/>
  <c r="G53" i="246"/>
  <c r="G52" i="246"/>
  <c r="F49" i="244"/>
  <c r="G49" i="246"/>
  <c r="G48" i="246"/>
  <c r="G47" i="246"/>
  <c r="G46" i="246" s="1"/>
  <c r="G41" i="246"/>
  <c r="G38" i="246"/>
  <c r="G31" i="246"/>
  <c r="G26" i="246"/>
  <c r="G23" i="246"/>
  <c r="G20" i="246"/>
  <c r="G8" i="246"/>
  <c r="G37" i="246" s="1"/>
  <c r="G42" i="246" s="1"/>
  <c r="G52" i="247"/>
  <c r="G46" i="247"/>
  <c r="G58" i="247" s="1"/>
  <c r="G38" i="247"/>
  <c r="G31" i="247"/>
  <c r="G26" i="247"/>
  <c r="G37" i="247" s="1"/>
  <c r="G42" i="247" s="1"/>
  <c r="G20" i="247"/>
  <c r="G8" i="247"/>
  <c r="G52" i="248"/>
  <c r="G46" i="248"/>
  <c r="G58" i="248"/>
  <c r="G38" i="248"/>
  <c r="G31" i="248"/>
  <c r="G26" i="248"/>
  <c r="G20" i="248"/>
  <c r="G8" i="248"/>
  <c r="G37" i="248" s="1"/>
  <c r="G42" i="248" s="1"/>
  <c r="G43" i="1"/>
  <c r="G40" i="1" s="1"/>
  <c r="G104" i="1"/>
  <c r="G125" i="1"/>
  <c r="G123" i="1"/>
  <c r="G113" i="1"/>
  <c r="G103" i="1"/>
  <c r="G102" i="1"/>
  <c r="G39" i="1"/>
  <c r="G48" i="1"/>
  <c r="G42" i="1"/>
  <c r="G23" i="1"/>
  <c r="G18" i="1"/>
  <c r="G105" i="116"/>
  <c r="G73" i="116"/>
  <c r="G17" i="116"/>
  <c r="G12" i="116" s="1"/>
  <c r="G33" i="116"/>
  <c r="G42" i="116"/>
  <c r="G36" i="116"/>
  <c r="G117" i="116"/>
  <c r="G110" i="116"/>
  <c r="G98" i="116"/>
  <c r="G97" i="116"/>
  <c r="G145" i="117"/>
  <c r="G140" i="117"/>
  <c r="G133" i="117"/>
  <c r="G129" i="117"/>
  <c r="G126" i="117"/>
  <c r="G119" i="117"/>
  <c r="G114" i="117"/>
  <c r="G112" i="117"/>
  <c r="G111" i="117" s="1"/>
  <c r="G110" i="117"/>
  <c r="G98" i="117"/>
  <c r="G97" i="117"/>
  <c r="G96" i="117"/>
  <c r="G95" i="117"/>
  <c r="G94" i="117"/>
  <c r="G91" i="117"/>
  <c r="G79" i="117"/>
  <c r="G75" i="117"/>
  <c r="G72" i="117"/>
  <c r="G67" i="117"/>
  <c r="G63" i="117"/>
  <c r="G59" i="117"/>
  <c r="G57" i="117"/>
  <c r="G55" i="117"/>
  <c r="G52" i="117" s="1"/>
  <c r="G46" i="117"/>
  <c r="G45" i="117"/>
  <c r="G42" i="117"/>
  <c r="G40" i="117"/>
  <c r="G37" i="117"/>
  <c r="G36" i="117"/>
  <c r="G34" i="117"/>
  <c r="G32" i="117"/>
  <c r="G31" i="117"/>
  <c r="G27" i="117"/>
  <c r="G26" i="117"/>
  <c r="G19" i="117"/>
  <c r="G17" i="117"/>
  <c r="G12" i="117"/>
  <c r="G62" i="117"/>
  <c r="G5" i="117"/>
  <c r="G21" i="73"/>
  <c r="M12" i="73"/>
  <c r="M29" i="73"/>
  <c r="M11" i="73"/>
  <c r="M10" i="73"/>
  <c r="M9" i="73"/>
  <c r="M19" i="73"/>
  <c r="M8" i="73"/>
  <c r="M7" i="73"/>
  <c r="G11" i="73"/>
  <c r="G10" i="73"/>
  <c r="G8" i="73"/>
  <c r="G7" i="73"/>
  <c r="G20" i="61"/>
  <c r="M9" i="61"/>
  <c r="M7" i="61"/>
  <c r="G115" i="3"/>
  <c r="G155" i="3"/>
  <c r="G120" i="3"/>
  <c r="G118" i="3"/>
  <c r="G113" i="3"/>
  <c r="G108" i="3"/>
  <c r="G100" i="3"/>
  <c r="G99" i="3"/>
  <c r="G98" i="3"/>
  <c r="G97" i="3"/>
  <c r="G35" i="3"/>
  <c r="G34" i="3"/>
  <c r="G33" i="3"/>
  <c r="G31" i="3"/>
  <c r="G43" i="3"/>
  <c r="G40" i="3"/>
  <c r="G39" i="3"/>
  <c r="G20" i="3"/>
  <c r="G13" i="3"/>
  <c r="G11" i="3"/>
  <c r="G31" i="119"/>
  <c r="G30" i="120"/>
  <c r="G115" i="120"/>
  <c r="G114" i="120"/>
  <c r="G155" i="119"/>
  <c r="G120" i="119"/>
  <c r="G118" i="119"/>
  <c r="G113" i="119"/>
  <c r="G101" i="119"/>
  <c r="G108" i="119"/>
  <c r="G100" i="119"/>
  <c r="G99" i="119"/>
  <c r="G98" i="119"/>
  <c r="G97" i="119"/>
  <c r="G34" i="120"/>
  <c r="G35" i="120"/>
  <c r="G43" i="120"/>
  <c r="G40" i="120"/>
  <c r="G39" i="120"/>
  <c r="G20" i="119"/>
  <c r="G13" i="119"/>
  <c r="G11" i="119"/>
  <c r="I113" i="87"/>
  <c r="I112" i="87" s="1"/>
  <c r="I153" i="87"/>
  <c r="I118" i="87"/>
  <c r="I116" i="87"/>
  <c r="I111" i="87"/>
  <c r="I106" i="87"/>
  <c r="I98" i="87"/>
  <c r="I97" i="87"/>
  <c r="I96" i="87"/>
  <c r="I95" i="87"/>
  <c r="I40" i="87"/>
  <c r="I37" i="87"/>
  <c r="I36" i="87"/>
  <c r="I32" i="87"/>
  <c r="I31" i="87"/>
  <c r="I30" i="87"/>
  <c r="I28" i="87"/>
  <c r="I27" i="87" s="1"/>
  <c r="I17" i="87"/>
  <c r="I10" i="87"/>
  <c r="I8" i="87"/>
  <c r="N166" i="24"/>
  <c r="N170" i="24"/>
  <c r="N168" i="24"/>
  <c r="N167" i="24"/>
  <c r="N165" i="24"/>
  <c r="N164" i="24"/>
  <c r="N163" i="24"/>
  <c r="N162" i="24"/>
  <c r="N161" i="24"/>
  <c r="N154" i="24"/>
  <c r="N153" i="24"/>
  <c r="N152" i="24"/>
  <c r="O152" i="24"/>
  <c r="N150" i="24"/>
  <c r="N149" i="24"/>
  <c r="N158" i="24" s="1"/>
  <c r="F35" i="2"/>
  <c r="F22" i="2"/>
  <c r="F19" i="2" s="1"/>
  <c r="F52" i="248"/>
  <c r="E52" i="248"/>
  <c r="D52" i="248"/>
  <c r="C52" i="248"/>
  <c r="C58" i="248" s="1"/>
  <c r="F46" i="248"/>
  <c r="F58" i="248"/>
  <c r="E46" i="248"/>
  <c r="E58" i="248"/>
  <c r="D46" i="248"/>
  <c r="C46" i="248"/>
  <c r="F38" i="248"/>
  <c r="E38" i="248"/>
  <c r="D38" i="248"/>
  <c r="C38" i="248"/>
  <c r="F31" i="248"/>
  <c r="E31" i="248"/>
  <c r="D31" i="248"/>
  <c r="C31" i="248"/>
  <c r="F26" i="248"/>
  <c r="E26" i="248"/>
  <c r="D26" i="248"/>
  <c r="C26" i="248"/>
  <c r="F20" i="248"/>
  <c r="F37" i="248" s="1"/>
  <c r="F42" i="248" s="1"/>
  <c r="E20" i="248"/>
  <c r="D20" i="248"/>
  <c r="C20" i="248"/>
  <c r="C37" i="248"/>
  <c r="C42" i="248" s="1"/>
  <c r="F8" i="248"/>
  <c r="E8" i="248"/>
  <c r="E37" i="248" s="1"/>
  <c r="E42" i="248" s="1"/>
  <c r="D8" i="248"/>
  <c r="D37" i="248"/>
  <c r="D42" i="248" s="1"/>
  <c r="C8" i="248"/>
  <c r="C1" i="248"/>
  <c r="F52" i="247"/>
  <c r="E52" i="247"/>
  <c r="D52" i="247"/>
  <c r="D58" i="247"/>
  <c r="C52" i="247"/>
  <c r="F46" i="247"/>
  <c r="F58" i="247"/>
  <c r="E46" i="247"/>
  <c r="E58" i="247" s="1"/>
  <c r="D46" i="247"/>
  <c r="C46" i="247"/>
  <c r="C58" i="247"/>
  <c r="F38" i="247"/>
  <c r="E38" i="247"/>
  <c r="D38" i="247"/>
  <c r="C38" i="247"/>
  <c r="F31" i="247"/>
  <c r="E31" i="247"/>
  <c r="D31" i="247"/>
  <c r="C31" i="247"/>
  <c r="F26" i="247"/>
  <c r="E26" i="247"/>
  <c r="D26" i="247"/>
  <c r="C26" i="247"/>
  <c r="F20" i="247"/>
  <c r="E20" i="247"/>
  <c r="D20" i="247"/>
  <c r="D37" i="247" s="1"/>
  <c r="D42" i="247" s="1"/>
  <c r="C20" i="247"/>
  <c r="F8" i="247"/>
  <c r="F37" i="247"/>
  <c r="F42" i="247"/>
  <c r="E8" i="247"/>
  <c r="D8" i="247"/>
  <c r="C8" i="247"/>
  <c r="C1" i="247"/>
  <c r="F52" i="246"/>
  <c r="E52" i="246"/>
  <c r="D52" i="246"/>
  <c r="C52" i="246"/>
  <c r="F49" i="246"/>
  <c r="E49" i="246"/>
  <c r="D49" i="246"/>
  <c r="F48" i="246"/>
  <c r="E48" i="246"/>
  <c r="D48" i="246"/>
  <c r="C48" i="246"/>
  <c r="C46" i="246" s="1"/>
  <c r="C58" i="246" s="1"/>
  <c r="F47" i="246"/>
  <c r="E47" i="246"/>
  <c r="E46" i="246"/>
  <c r="E58" i="246" s="1"/>
  <c r="D47" i="246"/>
  <c r="C47" i="246"/>
  <c r="F41" i="246"/>
  <c r="E41" i="246"/>
  <c r="D41" i="246"/>
  <c r="C41" i="246"/>
  <c r="F38" i="246"/>
  <c r="E38" i="246"/>
  <c r="D38" i="246"/>
  <c r="C38" i="246"/>
  <c r="F31" i="246"/>
  <c r="E31" i="246"/>
  <c r="D31" i="246"/>
  <c r="C31" i="246"/>
  <c r="F26" i="246"/>
  <c r="F37" i="246" s="1"/>
  <c r="F42" i="246" s="1"/>
  <c r="E26" i="246"/>
  <c r="D26" i="246"/>
  <c r="C26" i="246"/>
  <c r="F23" i="246"/>
  <c r="F20" i="246"/>
  <c r="E23" i="246"/>
  <c r="E20" i="246" s="1"/>
  <c r="D23" i="246"/>
  <c r="D20" i="246"/>
  <c r="C20" i="246"/>
  <c r="F8" i="246"/>
  <c r="E8" i="246"/>
  <c r="E37" i="246" s="1"/>
  <c r="E42" i="246" s="1"/>
  <c r="D8" i="246"/>
  <c r="C8" i="246"/>
  <c r="C37" i="246" s="1"/>
  <c r="C42" i="246" s="1"/>
  <c r="C1" i="246"/>
  <c r="F52" i="245"/>
  <c r="E52" i="245"/>
  <c r="D52" i="245"/>
  <c r="C52" i="245"/>
  <c r="F49" i="245"/>
  <c r="F58" i="245"/>
  <c r="E49" i="245"/>
  <c r="D49" i="245"/>
  <c r="F48" i="245"/>
  <c r="E48" i="245"/>
  <c r="D48" i="245"/>
  <c r="C48" i="245"/>
  <c r="F47" i="245"/>
  <c r="F46" i="245" s="1"/>
  <c r="E47" i="245"/>
  <c r="E46" i="245" s="1"/>
  <c r="E58" i="245" s="1"/>
  <c r="D47" i="245"/>
  <c r="D46" i="245" s="1"/>
  <c r="D58" i="245" s="1"/>
  <c r="C47" i="245"/>
  <c r="C46" i="245" s="1"/>
  <c r="C58" i="245" s="1"/>
  <c r="F41" i="245"/>
  <c r="E41" i="245"/>
  <c r="D41" i="245"/>
  <c r="C41" i="245"/>
  <c r="F38" i="245"/>
  <c r="E38" i="245"/>
  <c r="D38" i="245"/>
  <c r="C38" i="245"/>
  <c r="F31" i="245"/>
  <c r="E31" i="245"/>
  <c r="D31" i="245"/>
  <c r="C31" i="245"/>
  <c r="F26" i="245"/>
  <c r="E26" i="245"/>
  <c r="D26" i="245"/>
  <c r="C26" i="245"/>
  <c r="C37" i="245" s="1"/>
  <c r="F20" i="245"/>
  <c r="E20" i="245"/>
  <c r="D20" i="245"/>
  <c r="D37" i="245"/>
  <c r="D42" i="245" s="1"/>
  <c r="C20" i="245"/>
  <c r="F8" i="245"/>
  <c r="F37" i="245"/>
  <c r="F42" i="245" s="1"/>
  <c r="E8" i="245"/>
  <c r="E37" i="245"/>
  <c r="E42" i="245"/>
  <c r="D8" i="245"/>
  <c r="C8" i="245"/>
  <c r="C42" i="245"/>
  <c r="C1" i="245"/>
  <c r="F52" i="244"/>
  <c r="E52" i="244"/>
  <c r="D52" i="244"/>
  <c r="C52" i="244"/>
  <c r="E49" i="244"/>
  <c r="E46" i="244" s="1"/>
  <c r="D49" i="244"/>
  <c r="F48" i="244"/>
  <c r="E48" i="244"/>
  <c r="D48" i="244"/>
  <c r="C48" i="244"/>
  <c r="F47" i="244"/>
  <c r="F46" i="244" s="1"/>
  <c r="F58" i="244" s="1"/>
  <c r="E47" i="244"/>
  <c r="D47" i="244"/>
  <c r="D46" i="244" s="1"/>
  <c r="D58" i="244" s="1"/>
  <c r="C47" i="244"/>
  <c r="C46" i="244" s="1"/>
  <c r="C58" i="244" s="1"/>
  <c r="F41" i="244"/>
  <c r="E41" i="244"/>
  <c r="D41" i="244"/>
  <c r="C41" i="244"/>
  <c r="F38" i="244"/>
  <c r="E38" i="244"/>
  <c r="D38" i="244"/>
  <c r="C38" i="244"/>
  <c r="F31" i="244"/>
  <c r="E31" i="244"/>
  <c r="D31" i="244"/>
  <c r="C31" i="244"/>
  <c r="F26" i="244"/>
  <c r="E26" i="244"/>
  <c r="D26" i="244"/>
  <c r="C26" i="244"/>
  <c r="F23" i="244"/>
  <c r="F20" i="244"/>
  <c r="F37" i="244" s="1"/>
  <c r="F42" i="244" s="1"/>
  <c r="E23" i="244"/>
  <c r="E20" i="244" s="1"/>
  <c r="D23" i="244"/>
  <c r="D20" i="244"/>
  <c r="C20" i="244"/>
  <c r="F8" i="244"/>
  <c r="E8" i="244"/>
  <c r="D8" i="244"/>
  <c r="C8" i="244"/>
  <c r="C1" i="244"/>
  <c r="F52" i="243"/>
  <c r="E52" i="243"/>
  <c r="D52" i="243"/>
  <c r="C52" i="243"/>
  <c r="F49" i="243"/>
  <c r="E49" i="243"/>
  <c r="E46" i="243" s="1"/>
  <c r="E58" i="243" s="1"/>
  <c r="D49" i="243"/>
  <c r="F48" i="243"/>
  <c r="E48" i="243"/>
  <c r="D48" i="243"/>
  <c r="C48" i="243"/>
  <c r="F47" i="243"/>
  <c r="E47" i="243"/>
  <c r="D47" i="243"/>
  <c r="D46" i="243" s="1"/>
  <c r="D58" i="243" s="1"/>
  <c r="C47" i="243"/>
  <c r="F46" i="243"/>
  <c r="F58" i="243" s="1"/>
  <c r="C46" i="243"/>
  <c r="F41" i="243"/>
  <c r="F38" i="243"/>
  <c r="E41" i="243"/>
  <c r="E38" i="243"/>
  <c r="D41" i="243"/>
  <c r="D38" i="243"/>
  <c r="C38" i="243"/>
  <c r="F31" i="243"/>
  <c r="E31" i="243"/>
  <c r="D31" i="243"/>
  <c r="C31" i="243"/>
  <c r="F26" i="243"/>
  <c r="E26" i="243"/>
  <c r="D26" i="243"/>
  <c r="C26" i="243"/>
  <c r="F23" i="243"/>
  <c r="F20" i="243" s="1"/>
  <c r="E23" i="243"/>
  <c r="E20" i="243" s="1"/>
  <c r="E37" i="243"/>
  <c r="E42" i="243" s="1"/>
  <c r="D23" i="243"/>
  <c r="D20" i="243"/>
  <c r="C20" i="243"/>
  <c r="F8" i="243"/>
  <c r="F37" i="243" s="1"/>
  <c r="F42" i="243" s="1"/>
  <c r="E8" i="243"/>
  <c r="D8" i="243"/>
  <c r="C8" i="243"/>
  <c r="C1" i="243"/>
  <c r="G51" i="242"/>
  <c r="F51" i="242"/>
  <c r="F57" i="242"/>
  <c r="E51" i="242"/>
  <c r="D51" i="242"/>
  <c r="D57" i="242" s="1"/>
  <c r="C51" i="242"/>
  <c r="G45" i="242"/>
  <c r="G57" i="242" s="1"/>
  <c r="F45" i="242"/>
  <c r="E45" i="242"/>
  <c r="E57" i="242"/>
  <c r="D45" i="242"/>
  <c r="C45" i="242"/>
  <c r="G37" i="242"/>
  <c r="F37" i="242"/>
  <c r="E37" i="242"/>
  <c r="D37" i="242"/>
  <c r="C37" i="242"/>
  <c r="G30" i="242"/>
  <c r="F30" i="242"/>
  <c r="E30" i="242"/>
  <c r="D30" i="242"/>
  <c r="C30" i="242"/>
  <c r="G26" i="242"/>
  <c r="F26" i="242"/>
  <c r="E26" i="242"/>
  <c r="D26" i="242"/>
  <c r="C26" i="242"/>
  <c r="C41" i="242"/>
  <c r="G20" i="242"/>
  <c r="F20" i="242"/>
  <c r="E20" i="242"/>
  <c r="D20" i="242"/>
  <c r="C20" i="242"/>
  <c r="G8" i="242"/>
  <c r="G36" i="242" s="1"/>
  <c r="G41" i="242" s="1"/>
  <c r="F8" i="242"/>
  <c r="E8" i="242"/>
  <c r="E36" i="242" s="1"/>
  <c r="E41" i="242" s="1"/>
  <c r="D8" i="242"/>
  <c r="C8" i="242"/>
  <c r="C36" i="242" s="1"/>
  <c r="C1" i="242"/>
  <c r="G51" i="241"/>
  <c r="F51" i="241"/>
  <c r="F57" i="241"/>
  <c r="E51" i="241"/>
  <c r="D51" i="241"/>
  <c r="D57" i="241" s="1"/>
  <c r="C51" i="241"/>
  <c r="G45" i="241"/>
  <c r="F45" i="241"/>
  <c r="E45" i="241"/>
  <c r="E57" i="241"/>
  <c r="D45" i="241"/>
  <c r="C45" i="241"/>
  <c r="C57" i="241"/>
  <c r="G37" i="241"/>
  <c r="F37" i="241"/>
  <c r="E37" i="241"/>
  <c r="D37" i="241"/>
  <c r="C37" i="241"/>
  <c r="G30" i="241"/>
  <c r="F30" i="241"/>
  <c r="E30" i="241"/>
  <c r="D30" i="241"/>
  <c r="C30" i="241"/>
  <c r="G26" i="241"/>
  <c r="F26" i="241"/>
  <c r="E26" i="241"/>
  <c r="D26" i="241"/>
  <c r="C26" i="241"/>
  <c r="G20" i="241"/>
  <c r="F20" i="241"/>
  <c r="E20" i="241"/>
  <c r="E36" i="241" s="1"/>
  <c r="E41" i="241" s="1"/>
  <c r="D20" i="241"/>
  <c r="C20" i="241"/>
  <c r="C36" i="241" s="1"/>
  <c r="C41" i="241" s="1"/>
  <c r="G8" i="241"/>
  <c r="G36" i="241" s="1"/>
  <c r="G41" i="241" s="1"/>
  <c r="F8" i="241"/>
  <c r="E8" i="241"/>
  <c r="D8" i="241"/>
  <c r="D36" i="241" s="1"/>
  <c r="D41" i="241" s="1"/>
  <c r="C8" i="241"/>
  <c r="C1" i="241"/>
  <c r="F52" i="240"/>
  <c r="E52" i="240"/>
  <c r="E51" i="240" s="1"/>
  <c r="G51" i="240"/>
  <c r="F51" i="240"/>
  <c r="D51" i="240"/>
  <c r="C51" i="240"/>
  <c r="F48" i="240"/>
  <c r="D48" i="240"/>
  <c r="C48" i="240"/>
  <c r="C45" i="240" s="1"/>
  <c r="C57" i="240" s="1"/>
  <c r="G47" i="240"/>
  <c r="F47" i="240"/>
  <c r="F45" i="240" s="1"/>
  <c r="F57" i="240" s="1"/>
  <c r="E47" i="240"/>
  <c r="D47" i="240"/>
  <c r="C47" i="240"/>
  <c r="G46" i="240"/>
  <c r="G45" i="240" s="1"/>
  <c r="G57" i="240" s="1"/>
  <c r="F46" i="240"/>
  <c r="E46" i="240"/>
  <c r="E45" i="240"/>
  <c r="E57" i="240" s="1"/>
  <c r="D46" i="240"/>
  <c r="D45" i="240" s="1"/>
  <c r="D57" i="240" s="1"/>
  <c r="C46" i="240"/>
  <c r="G40" i="240"/>
  <c r="G37" i="240"/>
  <c r="F40" i="240"/>
  <c r="F37" i="240"/>
  <c r="E40" i="240"/>
  <c r="D40" i="240"/>
  <c r="D37" i="240" s="1"/>
  <c r="C40" i="240"/>
  <c r="C37" i="240" s="1"/>
  <c r="E37" i="240"/>
  <c r="G30" i="240"/>
  <c r="F30" i="240"/>
  <c r="E30" i="240"/>
  <c r="E36" i="240" s="1"/>
  <c r="E41" i="240" s="1"/>
  <c r="D30" i="240"/>
  <c r="C30" i="240"/>
  <c r="G26" i="240"/>
  <c r="F26" i="240"/>
  <c r="E26" i="240"/>
  <c r="D26" i="240"/>
  <c r="C26" i="240"/>
  <c r="G20" i="240"/>
  <c r="F20" i="240"/>
  <c r="E20" i="240"/>
  <c r="D20" i="240"/>
  <c r="C20" i="240"/>
  <c r="G11" i="240"/>
  <c r="G10" i="240"/>
  <c r="G8" i="240" s="1"/>
  <c r="G36" i="240"/>
  <c r="G41" i="240" s="1"/>
  <c r="F8" i="240"/>
  <c r="E8" i="240"/>
  <c r="D8" i="240"/>
  <c r="D36" i="240" s="1"/>
  <c r="C8" i="240"/>
  <c r="C1" i="240"/>
  <c r="F52" i="239"/>
  <c r="F51" i="239"/>
  <c r="E52" i="239"/>
  <c r="E51" i="239" s="1"/>
  <c r="D52" i="239"/>
  <c r="D51" i="239" s="1"/>
  <c r="C52" i="239"/>
  <c r="C51" i="239" s="1"/>
  <c r="G51" i="239"/>
  <c r="G57" i="239" s="1"/>
  <c r="F48" i="239"/>
  <c r="D48" i="239"/>
  <c r="C48" i="239"/>
  <c r="G47" i="239"/>
  <c r="F47" i="239"/>
  <c r="F45" i="239" s="1"/>
  <c r="F57" i="239" s="1"/>
  <c r="E47" i="239"/>
  <c r="D47" i="239"/>
  <c r="D45" i="239" s="1"/>
  <c r="D57" i="239" s="1"/>
  <c r="C47" i="239"/>
  <c r="G46" i="239"/>
  <c r="G45" i="239" s="1"/>
  <c r="F46" i="239"/>
  <c r="E46" i="239"/>
  <c r="E45" i="239" s="1"/>
  <c r="E57" i="239" s="1"/>
  <c r="D46" i="239"/>
  <c r="C46" i="239"/>
  <c r="G40" i="239"/>
  <c r="G37" i="239"/>
  <c r="F40" i="239"/>
  <c r="F37" i="239"/>
  <c r="E40" i="239"/>
  <c r="E37" i="239"/>
  <c r="D40" i="239"/>
  <c r="C40" i="239"/>
  <c r="C37" i="239" s="1"/>
  <c r="D37" i="239"/>
  <c r="G30" i="239"/>
  <c r="F30" i="239"/>
  <c r="E30" i="239"/>
  <c r="D30" i="239"/>
  <c r="C30" i="239"/>
  <c r="G26" i="239"/>
  <c r="F26" i="239"/>
  <c r="E26" i="239"/>
  <c r="E36" i="239" s="1"/>
  <c r="D26" i="239"/>
  <c r="C26" i="239"/>
  <c r="G20" i="239"/>
  <c r="F20" i="239"/>
  <c r="E20" i="239"/>
  <c r="D20" i="239"/>
  <c r="C20" i="239"/>
  <c r="G11" i="239"/>
  <c r="G10" i="239"/>
  <c r="G8" i="239" s="1"/>
  <c r="G36" i="239"/>
  <c r="F8" i="239"/>
  <c r="F36" i="239" s="1"/>
  <c r="F41" i="239"/>
  <c r="E8" i="239"/>
  <c r="D8" i="239"/>
  <c r="C8" i="239"/>
  <c r="C1" i="239"/>
  <c r="G69" i="1"/>
  <c r="G73" i="1"/>
  <c r="G79" i="1"/>
  <c r="G78" i="1"/>
  <c r="G81" i="1"/>
  <c r="G85" i="1"/>
  <c r="G137" i="1"/>
  <c r="G141" i="1"/>
  <c r="G161" i="1" s="1"/>
  <c r="G148" i="1"/>
  <c r="G153" i="1"/>
  <c r="G11" i="1"/>
  <c r="G25" i="1"/>
  <c r="G33" i="1"/>
  <c r="G32" i="1" s="1"/>
  <c r="G52" i="1"/>
  <c r="G58" i="1"/>
  <c r="G63" i="1"/>
  <c r="G106" i="1"/>
  <c r="G119" i="1"/>
  <c r="G127" i="1"/>
  <c r="G122" i="1" s="1"/>
  <c r="G99" i="1"/>
  <c r="G63" i="116"/>
  <c r="G67" i="116"/>
  <c r="G72" i="116"/>
  <c r="G75" i="116"/>
  <c r="G86" i="116" s="1"/>
  <c r="G79" i="116"/>
  <c r="G129" i="116"/>
  <c r="G133" i="116"/>
  <c r="G142" i="116"/>
  <c r="G140" i="116" s="1"/>
  <c r="G145" i="116"/>
  <c r="G5" i="116"/>
  <c r="G19" i="116"/>
  <c r="G27" i="116"/>
  <c r="G31" i="116"/>
  <c r="G39" i="116"/>
  <c r="G40" i="116"/>
  <c r="G46" i="116"/>
  <c r="G52" i="116"/>
  <c r="G60" i="116"/>
  <c r="G57" i="116"/>
  <c r="G127" i="116"/>
  <c r="G119" i="116"/>
  <c r="G114" i="116" s="1"/>
  <c r="G91" i="116"/>
  <c r="G63" i="118"/>
  <c r="G86" i="118" s="1"/>
  <c r="G159" i="118" s="1"/>
  <c r="G67" i="118"/>
  <c r="G72" i="118"/>
  <c r="G75" i="118"/>
  <c r="G79" i="118"/>
  <c r="G129" i="118"/>
  <c r="G133" i="118"/>
  <c r="G153" i="118" s="1"/>
  <c r="G140" i="118"/>
  <c r="G145" i="118"/>
  <c r="G5" i="118"/>
  <c r="G12" i="118"/>
  <c r="G19" i="118"/>
  <c r="G27" i="118"/>
  <c r="G26" i="118"/>
  <c r="G34" i="118"/>
  <c r="G46" i="118"/>
  <c r="G52" i="118"/>
  <c r="G57" i="118"/>
  <c r="G93" i="118"/>
  <c r="G114" i="118"/>
  <c r="G128" i="118" s="1"/>
  <c r="G154" i="118" s="1"/>
  <c r="G91" i="118"/>
  <c r="M30" i="73"/>
  <c r="F7" i="73"/>
  <c r="F8" i="73"/>
  <c r="F11" i="73"/>
  <c r="F19" i="73"/>
  <c r="F31" i="73" s="1"/>
  <c r="F12" i="73"/>
  <c r="F21" i="73"/>
  <c r="F20" i="73" s="1"/>
  <c r="F25" i="73"/>
  <c r="M11" i="61"/>
  <c r="M31" i="61"/>
  <c r="F9" i="61"/>
  <c r="F18" i="61"/>
  <c r="F20" i="61"/>
  <c r="F19" i="61"/>
  <c r="F25" i="61"/>
  <c r="G11" i="77"/>
  <c r="H9" i="63"/>
  <c r="H13" i="63"/>
  <c r="H39" i="63"/>
  <c r="H40" i="63"/>
  <c r="H24" i="64"/>
  <c r="G104" i="3"/>
  <c r="G114" i="3"/>
  <c r="G129" i="3"/>
  <c r="G122" i="3"/>
  <c r="G117" i="3" s="1"/>
  <c r="G132" i="3"/>
  <c r="G136" i="3"/>
  <c r="G143" i="3"/>
  <c r="G148" i="3"/>
  <c r="G156" i="3" s="1"/>
  <c r="G10" i="3"/>
  <c r="G15" i="3"/>
  <c r="G22" i="3"/>
  <c r="G30" i="3"/>
  <c r="G29" i="3" s="1"/>
  <c r="G36" i="3"/>
  <c r="G48" i="3"/>
  <c r="G49" i="3"/>
  <c r="G58" i="3"/>
  <c r="G55" i="3" s="1"/>
  <c r="G62" i="3"/>
  <c r="G60" i="3" s="1"/>
  <c r="G66" i="3"/>
  <c r="G70" i="3"/>
  <c r="G75" i="3"/>
  <c r="G89" i="3" s="1"/>
  <c r="G78" i="3"/>
  <c r="G82" i="3"/>
  <c r="G104" i="119"/>
  <c r="G122" i="119"/>
  <c r="G117" i="119" s="1"/>
  <c r="G131" i="119" s="1"/>
  <c r="G157" i="119" s="1"/>
  <c r="G132" i="119"/>
  <c r="G136" i="119"/>
  <c r="G143" i="119"/>
  <c r="G148" i="119"/>
  <c r="G94" i="119"/>
  <c r="G10" i="119"/>
  <c r="G15" i="119"/>
  <c r="G22" i="119"/>
  <c r="G33" i="119"/>
  <c r="G37" i="119"/>
  <c r="G49" i="119"/>
  <c r="G55" i="119"/>
  <c r="G60" i="119"/>
  <c r="G66" i="119"/>
  <c r="G70" i="119"/>
  <c r="G89" i="119" s="1"/>
  <c r="G75" i="119"/>
  <c r="G78" i="119"/>
  <c r="G82" i="119"/>
  <c r="G97" i="120"/>
  <c r="G98" i="120"/>
  <c r="G99" i="120"/>
  <c r="G100" i="120"/>
  <c r="G113" i="120"/>
  <c r="G101" i="120"/>
  <c r="G129" i="120"/>
  <c r="G122" i="120"/>
  <c r="G117" i="120" s="1"/>
  <c r="G132" i="120"/>
  <c r="G136" i="120"/>
  <c r="G143" i="120"/>
  <c r="G148" i="120"/>
  <c r="G94" i="120"/>
  <c r="G8" i="120"/>
  <c r="G20" i="120"/>
  <c r="G15" i="120" s="1"/>
  <c r="G22" i="120"/>
  <c r="G29" i="120"/>
  <c r="G45" i="120"/>
  <c r="G48" i="120"/>
  <c r="G49" i="120"/>
  <c r="G58" i="120"/>
  <c r="G55" i="120"/>
  <c r="G62" i="120"/>
  <c r="G60" i="120"/>
  <c r="G66" i="120"/>
  <c r="G70" i="120"/>
  <c r="G75" i="120"/>
  <c r="G78" i="120"/>
  <c r="G82" i="120"/>
  <c r="G89" i="120"/>
  <c r="G93" i="121"/>
  <c r="G128" i="121" s="1"/>
  <c r="G114" i="121"/>
  <c r="G129" i="121"/>
  <c r="G133" i="121"/>
  <c r="G140" i="121"/>
  <c r="G146" i="121"/>
  <c r="G8" i="121"/>
  <c r="G15" i="121"/>
  <c r="G22" i="121"/>
  <c r="G30" i="121"/>
  <c r="G29" i="121"/>
  <c r="G37" i="121"/>
  <c r="G49" i="121"/>
  <c r="G55" i="121"/>
  <c r="G60" i="121"/>
  <c r="G66" i="121"/>
  <c r="G70" i="121"/>
  <c r="G75" i="121"/>
  <c r="G78" i="121"/>
  <c r="G82" i="121"/>
  <c r="I102" i="87"/>
  <c r="I127" i="87"/>
  <c r="I120" i="87" s="1"/>
  <c r="I130" i="87"/>
  <c r="I134" i="87"/>
  <c r="I141" i="87"/>
  <c r="I146" i="87"/>
  <c r="I92" i="87"/>
  <c r="I7" i="87"/>
  <c r="I12" i="87"/>
  <c r="I19" i="87"/>
  <c r="I33" i="87"/>
  <c r="I45" i="87"/>
  <c r="I46" i="87"/>
  <c r="I55" i="87"/>
  <c r="I52" i="87" s="1"/>
  <c r="I59" i="87"/>
  <c r="I57" i="87" s="1"/>
  <c r="I63" i="87"/>
  <c r="I67" i="87"/>
  <c r="I72" i="87"/>
  <c r="I75" i="87"/>
  <c r="I79" i="87"/>
  <c r="C158" i="24"/>
  <c r="D158" i="24"/>
  <c r="E152" i="24"/>
  <c r="E158" i="24" s="1"/>
  <c r="F158" i="24"/>
  <c r="G149" i="24"/>
  <c r="G155" i="24"/>
  <c r="G157" i="24"/>
  <c r="O157" i="24"/>
  <c r="H158" i="24"/>
  <c r="H173" i="24" s="1"/>
  <c r="I149" i="24"/>
  <c r="I158" i="24"/>
  <c r="J149" i="24"/>
  <c r="J150" i="24"/>
  <c r="J153" i="24"/>
  <c r="K149" i="24"/>
  <c r="K150" i="24"/>
  <c r="K153" i="24"/>
  <c r="O153" i="24" s="1"/>
  <c r="K156" i="24"/>
  <c r="O156" i="24" s="1"/>
  <c r="L158" i="24"/>
  <c r="L173" i="24" s="1"/>
  <c r="M149" i="24"/>
  <c r="M150" i="24"/>
  <c r="M153" i="24"/>
  <c r="M156" i="24"/>
  <c r="C171" i="24"/>
  <c r="C173" i="24" s="1"/>
  <c r="D167" i="24"/>
  <c r="D171" i="24" s="1"/>
  <c r="E171" i="24"/>
  <c r="F171" i="24"/>
  <c r="F173" i="24"/>
  <c r="G163" i="24"/>
  <c r="G165" i="24"/>
  <c r="G166" i="24"/>
  <c r="G169" i="24"/>
  <c r="H171" i="24"/>
  <c r="I161" i="24"/>
  <c r="I162" i="24"/>
  <c r="I165" i="24"/>
  <c r="I166" i="24"/>
  <c r="I170" i="24"/>
  <c r="J161" i="24"/>
  <c r="J162" i="24"/>
  <c r="J164" i="24"/>
  <c r="J165" i="24"/>
  <c r="J166" i="24"/>
  <c r="K161" i="24"/>
  <c r="K162" i="24"/>
  <c r="K163" i="24"/>
  <c r="K164" i="24"/>
  <c r="O164" i="24" s="1"/>
  <c r="K165" i="24"/>
  <c r="K166" i="24"/>
  <c r="K167" i="24"/>
  <c r="O167" i="24"/>
  <c r="K168" i="24"/>
  <c r="O168" i="24" s="1"/>
  <c r="K170" i="24"/>
  <c r="L171" i="24"/>
  <c r="M161" i="24"/>
  <c r="M162" i="24"/>
  <c r="M163" i="24"/>
  <c r="M164" i="24"/>
  <c r="M165" i="24"/>
  <c r="M166" i="24"/>
  <c r="M167" i="24"/>
  <c r="O169" i="24"/>
  <c r="O154" i="24"/>
  <c r="O151" i="24"/>
  <c r="F8" i="2"/>
  <c r="F6" i="2" s="1"/>
  <c r="F17" i="2"/>
  <c r="F18" i="2"/>
  <c r="F24" i="2"/>
  <c r="F29" i="2"/>
  <c r="F34" i="2"/>
  <c r="F37" i="2"/>
  <c r="H13" i="70"/>
  <c r="H27" i="70"/>
  <c r="F104" i="1"/>
  <c r="F96" i="116"/>
  <c r="L9" i="73"/>
  <c r="L12" i="73"/>
  <c r="F99" i="3"/>
  <c r="F115" i="3"/>
  <c r="F114" i="3" s="1"/>
  <c r="F99" i="119"/>
  <c r="F31" i="119"/>
  <c r="F30" i="120"/>
  <c r="F115" i="120"/>
  <c r="H97" i="87"/>
  <c r="H113" i="87"/>
  <c r="M129" i="24"/>
  <c r="M132" i="24"/>
  <c r="F99" i="120"/>
  <c r="F46" i="1"/>
  <c r="F43" i="1"/>
  <c r="F42" i="1"/>
  <c r="F39" i="1"/>
  <c r="G9" i="61"/>
  <c r="F62" i="3"/>
  <c r="F48" i="3"/>
  <c r="F43" i="3"/>
  <c r="F40" i="3"/>
  <c r="F39" i="3"/>
  <c r="F36" i="3"/>
  <c r="F35" i="3"/>
  <c r="F34" i="3"/>
  <c r="F31" i="3"/>
  <c r="F30" i="3" s="1"/>
  <c r="F35" i="120"/>
  <c r="F39" i="120"/>
  <c r="F40" i="120"/>
  <c r="F37" i="120" s="1"/>
  <c r="F43" i="120"/>
  <c r="F48" i="120"/>
  <c r="F62" i="120"/>
  <c r="F60" i="120"/>
  <c r="H33" i="87"/>
  <c r="H32" i="87"/>
  <c r="H31" i="87"/>
  <c r="H28" i="87"/>
  <c r="H27" i="87" s="1"/>
  <c r="H26" i="87" s="1"/>
  <c r="H36" i="87"/>
  <c r="H37" i="87"/>
  <c r="H40" i="87"/>
  <c r="H45" i="87"/>
  <c r="H59" i="87"/>
  <c r="H57" i="87" s="1"/>
  <c r="M122" i="24"/>
  <c r="M119" i="24"/>
  <c r="F13" i="3"/>
  <c r="F13" i="119"/>
  <c r="E30" i="120"/>
  <c r="H10" i="87"/>
  <c r="M115" i="24"/>
  <c r="M124" i="24" s="1"/>
  <c r="E35" i="2"/>
  <c r="E32" i="2" s="1"/>
  <c r="H127" i="87"/>
  <c r="F129" i="120"/>
  <c r="F129" i="3"/>
  <c r="F122" i="3"/>
  <c r="F117" i="3" s="1"/>
  <c r="L11" i="61"/>
  <c r="F123" i="1"/>
  <c r="F113" i="1"/>
  <c r="F106" i="1" s="1"/>
  <c r="F103" i="1"/>
  <c r="F102" i="1"/>
  <c r="F23" i="1"/>
  <c r="F18" i="1" s="1"/>
  <c r="F115" i="116"/>
  <c r="F105" i="116"/>
  <c r="F98" i="116" s="1"/>
  <c r="F95" i="116"/>
  <c r="F94" i="116"/>
  <c r="F93" i="116" s="1"/>
  <c r="F17" i="116"/>
  <c r="F98" i="117"/>
  <c r="F17" i="117"/>
  <c r="M130" i="24"/>
  <c r="O130" i="24" s="1"/>
  <c r="H98" i="87"/>
  <c r="F100" i="120"/>
  <c r="F100" i="119"/>
  <c r="F100" i="3"/>
  <c r="L10" i="73"/>
  <c r="M116" i="24"/>
  <c r="H17" i="87"/>
  <c r="F20" i="119"/>
  <c r="F15" i="119" s="1"/>
  <c r="F65" i="119" s="1"/>
  <c r="F90" i="119" s="1"/>
  <c r="F20" i="3"/>
  <c r="F15" i="3"/>
  <c r="E18" i="2"/>
  <c r="E16" i="2" s="1"/>
  <c r="E17" i="2"/>
  <c r="E22" i="2"/>
  <c r="E19" i="2"/>
  <c r="H8" i="87"/>
  <c r="H7" i="87"/>
  <c r="F11" i="119"/>
  <c r="F10" i="119"/>
  <c r="F8" i="119"/>
  <c r="F11" i="3"/>
  <c r="F8" i="3" s="1"/>
  <c r="F10" i="3"/>
  <c r="F108" i="3"/>
  <c r="F155" i="3"/>
  <c r="L7" i="61"/>
  <c r="F118" i="3"/>
  <c r="F118" i="119"/>
  <c r="H116" i="87"/>
  <c r="M133" i="24"/>
  <c r="M131" i="24"/>
  <c r="M128" i="24"/>
  <c r="M127" i="24"/>
  <c r="H96" i="87"/>
  <c r="H95" i="87"/>
  <c r="F98" i="120"/>
  <c r="F97" i="120"/>
  <c r="F98" i="3"/>
  <c r="F97" i="3"/>
  <c r="L8" i="73"/>
  <c r="L7" i="73"/>
  <c r="I13" i="63"/>
  <c r="G13" i="70"/>
  <c r="H111" i="87"/>
  <c r="F113" i="120"/>
  <c r="F101" i="120" s="1"/>
  <c r="F113" i="3"/>
  <c r="F101" i="3" s="1"/>
  <c r="L11" i="73"/>
  <c r="E34" i="2"/>
  <c r="F20" i="120"/>
  <c r="F15" i="120"/>
  <c r="H102" i="87"/>
  <c r="F104" i="119"/>
  <c r="F104" i="3"/>
  <c r="F98" i="119"/>
  <c r="F97" i="119"/>
  <c r="F108" i="119"/>
  <c r="H106" i="87"/>
  <c r="H99" i="87" s="1"/>
  <c r="F69" i="1"/>
  <c r="F73" i="1"/>
  <c r="F79" i="1"/>
  <c r="F78" i="1"/>
  <c r="F81" i="1"/>
  <c r="F85" i="1"/>
  <c r="F137" i="1"/>
  <c r="F141" i="1"/>
  <c r="F148" i="1"/>
  <c r="F161" i="1" s="1"/>
  <c r="F153" i="1"/>
  <c r="F11" i="1"/>
  <c r="F25" i="1"/>
  <c r="F33" i="1"/>
  <c r="F52" i="1"/>
  <c r="F58" i="1"/>
  <c r="F63" i="1"/>
  <c r="F119" i="1"/>
  <c r="F127" i="1"/>
  <c r="F122" i="1"/>
  <c r="F99" i="1"/>
  <c r="F63" i="116"/>
  <c r="F67" i="116"/>
  <c r="F73" i="116"/>
  <c r="F72" i="116" s="1"/>
  <c r="F86" i="116" s="1"/>
  <c r="F75" i="116"/>
  <c r="F79" i="116"/>
  <c r="F129" i="116"/>
  <c r="F133" i="116"/>
  <c r="F142" i="116"/>
  <c r="F140" i="116"/>
  <c r="F145" i="116"/>
  <c r="F5" i="116"/>
  <c r="F12" i="116"/>
  <c r="F19" i="116"/>
  <c r="F62" i="116" s="1"/>
  <c r="F27" i="116"/>
  <c r="F31" i="116"/>
  <c r="F33" i="116"/>
  <c r="F26" i="116" s="1"/>
  <c r="F36" i="116"/>
  <c r="F37" i="116"/>
  <c r="F39" i="116"/>
  <c r="F34" i="116"/>
  <c r="F40" i="116"/>
  <c r="F46" i="116"/>
  <c r="F52" i="116"/>
  <c r="F60" i="116"/>
  <c r="F57" i="116" s="1"/>
  <c r="F110" i="116"/>
  <c r="F117" i="116"/>
  <c r="F127" i="116"/>
  <c r="F119" i="116" s="1"/>
  <c r="F91" i="116"/>
  <c r="F111" i="117"/>
  <c r="F93" i="117"/>
  <c r="F119" i="117"/>
  <c r="F114" i="117"/>
  <c r="F129" i="117"/>
  <c r="F133" i="117"/>
  <c r="F153" i="117" s="1"/>
  <c r="F140" i="117"/>
  <c r="F145" i="117"/>
  <c r="F91" i="117"/>
  <c r="F5" i="117"/>
  <c r="F12" i="117"/>
  <c r="F19" i="117"/>
  <c r="F26" i="117"/>
  <c r="F62" i="117" s="1"/>
  <c r="F87" i="117" s="1"/>
  <c r="F34" i="117"/>
  <c r="F46" i="117"/>
  <c r="F55" i="117"/>
  <c r="F52" i="117" s="1"/>
  <c r="F57" i="117"/>
  <c r="F63" i="117"/>
  <c r="F67" i="117"/>
  <c r="F72" i="117"/>
  <c r="F75" i="117"/>
  <c r="F79" i="117"/>
  <c r="F63" i="118"/>
  <c r="F67" i="118"/>
  <c r="F72" i="118"/>
  <c r="F86" i="118"/>
  <c r="F75" i="118"/>
  <c r="F79" i="118"/>
  <c r="F129" i="118"/>
  <c r="F133" i="118"/>
  <c r="F153" i="118" s="1"/>
  <c r="F140" i="118"/>
  <c r="F145" i="118"/>
  <c r="F5" i="118"/>
  <c r="F12" i="118"/>
  <c r="F19" i="118"/>
  <c r="F27" i="118"/>
  <c r="F26" i="118" s="1"/>
  <c r="F34" i="118"/>
  <c r="F46" i="118"/>
  <c r="F52" i="118"/>
  <c r="F57" i="118"/>
  <c r="F93" i="118"/>
  <c r="F114" i="118"/>
  <c r="F128" i="118" s="1"/>
  <c r="F154" i="118" s="1"/>
  <c r="F91" i="118"/>
  <c r="L29" i="73"/>
  <c r="L30" i="73"/>
  <c r="E7" i="73"/>
  <c r="E8" i="73"/>
  <c r="E11" i="73"/>
  <c r="E12" i="73"/>
  <c r="E21" i="73"/>
  <c r="E20" i="73" s="1"/>
  <c r="E25" i="73"/>
  <c r="L18" i="61"/>
  <c r="L32" i="61" s="1"/>
  <c r="L31" i="61"/>
  <c r="E9" i="61"/>
  <c r="E18" i="61"/>
  <c r="E20" i="61"/>
  <c r="E19" i="61" s="1"/>
  <c r="E25" i="61"/>
  <c r="E31" i="61" s="1"/>
  <c r="E32" i="61" s="1"/>
  <c r="F11" i="77"/>
  <c r="G9" i="63"/>
  <c r="G13" i="63"/>
  <c r="G39" i="63"/>
  <c r="G40" i="63"/>
  <c r="G24" i="64"/>
  <c r="F132" i="3"/>
  <c r="F136" i="3"/>
  <c r="F156" i="3" s="1"/>
  <c r="F143" i="3"/>
  <c r="F148" i="3"/>
  <c r="F22" i="3"/>
  <c r="F49" i="3"/>
  <c r="F58" i="3"/>
  <c r="F55" i="3" s="1"/>
  <c r="F60" i="3"/>
  <c r="F66" i="3"/>
  <c r="F70" i="3"/>
  <c r="F75" i="3"/>
  <c r="F78" i="3"/>
  <c r="F82" i="3"/>
  <c r="F113" i="119"/>
  <c r="F122" i="119"/>
  <c r="F117" i="119"/>
  <c r="F132" i="119"/>
  <c r="F136" i="119"/>
  <c r="F143" i="119"/>
  <c r="F148" i="119"/>
  <c r="F155" i="119"/>
  <c r="F94" i="119"/>
  <c r="F22" i="119"/>
  <c r="F33" i="119"/>
  <c r="F37" i="119"/>
  <c r="F49" i="119"/>
  <c r="F55" i="119"/>
  <c r="F60" i="119"/>
  <c r="F66" i="119"/>
  <c r="F70" i="119"/>
  <c r="F75" i="119"/>
  <c r="F78" i="119"/>
  <c r="F82" i="119"/>
  <c r="F114" i="120"/>
  <c r="F122" i="120"/>
  <c r="F117" i="120"/>
  <c r="F132" i="120"/>
  <c r="F136" i="120"/>
  <c r="F143" i="120"/>
  <c r="F156" i="120" s="1"/>
  <c r="F148" i="120"/>
  <c r="F94" i="120"/>
  <c r="F8" i="120"/>
  <c r="F22" i="120"/>
  <c r="F45" i="120"/>
  <c r="F49" i="120"/>
  <c r="F58" i="120"/>
  <c r="F55" i="120"/>
  <c r="F66" i="120"/>
  <c r="F70" i="120"/>
  <c r="F75" i="120"/>
  <c r="F78" i="120"/>
  <c r="F89" i="120" s="1"/>
  <c r="F82" i="120"/>
  <c r="F93" i="121"/>
  <c r="F128" i="121"/>
  <c r="F114" i="121"/>
  <c r="F129" i="121"/>
  <c r="F154" i="121" s="1"/>
  <c r="F155" i="121"/>
  <c r="F133" i="121"/>
  <c r="F140" i="121"/>
  <c r="F146" i="121"/>
  <c r="F8" i="121"/>
  <c r="F65" i="121" s="1"/>
  <c r="F90" i="121" s="1"/>
  <c r="F15" i="121"/>
  <c r="F22" i="121"/>
  <c r="F30" i="121"/>
  <c r="F29" i="121"/>
  <c r="F37" i="121"/>
  <c r="F49" i="121"/>
  <c r="F55" i="121"/>
  <c r="F60" i="121"/>
  <c r="F66" i="121"/>
  <c r="F70" i="121"/>
  <c r="F89" i="121" s="1"/>
  <c r="F75" i="121"/>
  <c r="F78" i="121"/>
  <c r="F82" i="121"/>
  <c r="H112" i="87"/>
  <c r="H120" i="87"/>
  <c r="H130" i="87"/>
  <c r="H134" i="87"/>
  <c r="H141" i="87"/>
  <c r="H146" i="87"/>
  <c r="H153" i="87"/>
  <c r="H92" i="87"/>
  <c r="H12" i="87"/>
  <c r="H19" i="87"/>
  <c r="H46" i="87"/>
  <c r="H55" i="87"/>
  <c r="H52" i="87" s="1"/>
  <c r="H63" i="87"/>
  <c r="H67" i="87"/>
  <c r="H72" i="87"/>
  <c r="H75" i="87"/>
  <c r="H79" i="87"/>
  <c r="C124" i="24"/>
  <c r="D124" i="24"/>
  <c r="D139" i="24" s="1"/>
  <c r="E118" i="24"/>
  <c r="E124" i="24"/>
  <c r="E139" i="24" s="1"/>
  <c r="F124" i="24"/>
  <c r="F139" i="24" s="1"/>
  <c r="G115" i="24"/>
  <c r="G121" i="24"/>
  <c r="O121" i="24" s="1"/>
  <c r="G123" i="24"/>
  <c r="O123" i="24" s="1"/>
  <c r="H124" i="24"/>
  <c r="I115" i="24"/>
  <c r="I124" i="24"/>
  <c r="J115" i="24"/>
  <c r="J116" i="24"/>
  <c r="J119" i="24"/>
  <c r="O119" i="24" s="1"/>
  <c r="K115" i="24"/>
  <c r="K116" i="24"/>
  <c r="K119" i="24"/>
  <c r="K122" i="24"/>
  <c r="L124" i="24"/>
  <c r="N124" i="24"/>
  <c r="C137" i="24"/>
  <c r="D133" i="24"/>
  <c r="E137" i="24"/>
  <c r="F137" i="24"/>
  <c r="G129" i="24"/>
  <c r="O129" i="24" s="1"/>
  <c r="G131" i="24"/>
  <c r="G132" i="24"/>
  <c r="G135" i="24"/>
  <c r="O135" i="24" s="1"/>
  <c r="H137" i="24"/>
  <c r="H139" i="24"/>
  <c r="I127" i="24"/>
  <c r="I128" i="24"/>
  <c r="I131" i="24"/>
  <c r="I132" i="24"/>
  <c r="I136" i="24"/>
  <c r="O136" i="24"/>
  <c r="J127" i="24"/>
  <c r="J128" i="24"/>
  <c r="J130" i="24"/>
  <c r="J131" i="24"/>
  <c r="J132" i="24"/>
  <c r="K127" i="24"/>
  <c r="K128" i="24"/>
  <c r="K129" i="24"/>
  <c r="K130" i="24"/>
  <c r="K131" i="24"/>
  <c r="K132" i="24"/>
  <c r="K133" i="24"/>
  <c r="K134" i="24"/>
  <c r="O134" i="24" s="1"/>
  <c r="K136" i="24"/>
  <c r="L137" i="24"/>
  <c r="N132" i="24"/>
  <c r="N137" i="24" s="1"/>
  <c r="N139" i="24"/>
  <c r="O128" i="24"/>
  <c r="O122" i="24"/>
  <c r="O120" i="24"/>
  <c r="O117" i="24"/>
  <c r="E8" i="2"/>
  <c r="E6" i="2"/>
  <c r="E24" i="2"/>
  <c r="E29" i="2"/>
  <c r="E37" i="2"/>
  <c r="G27" i="70"/>
  <c r="I90" i="24"/>
  <c r="I86" i="24"/>
  <c r="I85" i="24"/>
  <c r="O85" i="24"/>
  <c r="K86" i="24"/>
  <c r="K85" i="24"/>
  <c r="K90" i="24"/>
  <c r="G113" i="87"/>
  <c r="G112" i="87" s="1"/>
  <c r="G96" i="87"/>
  <c r="G95" i="87"/>
  <c r="E115" i="120"/>
  <c r="E98" i="120"/>
  <c r="E97" i="120"/>
  <c r="E115" i="3"/>
  <c r="E114" i="3" s="1"/>
  <c r="E98" i="3"/>
  <c r="E97" i="3"/>
  <c r="K12" i="73"/>
  <c r="K8" i="73"/>
  <c r="K7" i="73"/>
  <c r="E112" i="117"/>
  <c r="E95" i="117"/>
  <c r="E94" i="117"/>
  <c r="E120" i="1"/>
  <c r="E119" i="1"/>
  <c r="E103" i="1"/>
  <c r="E102" i="1"/>
  <c r="K89" i="24"/>
  <c r="G106" i="87"/>
  <c r="E108" i="119"/>
  <c r="E101" i="119" s="1"/>
  <c r="E31" i="119"/>
  <c r="E108" i="3"/>
  <c r="K11" i="73"/>
  <c r="E27" i="117"/>
  <c r="E26" i="117" s="1"/>
  <c r="E28" i="116"/>
  <c r="E27" i="116" s="1"/>
  <c r="E26" i="116" s="1"/>
  <c r="E105" i="116"/>
  <c r="E113" i="1"/>
  <c r="E106" i="1" s="1"/>
  <c r="K88" i="24"/>
  <c r="G98" i="87"/>
  <c r="E100" i="119"/>
  <c r="E100" i="3"/>
  <c r="K10" i="73"/>
  <c r="E97" i="116"/>
  <c r="E105" i="1"/>
  <c r="G97" i="87"/>
  <c r="E115" i="116"/>
  <c r="E96" i="116"/>
  <c r="E123" i="1"/>
  <c r="E104" i="1"/>
  <c r="E101" i="1" s="1"/>
  <c r="E136" i="1" s="1"/>
  <c r="E96" i="117"/>
  <c r="E95" i="116"/>
  <c r="E94" i="116"/>
  <c r="K94" i="24"/>
  <c r="O94" i="24" s="1"/>
  <c r="G153" i="87"/>
  <c r="E155" i="119"/>
  <c r="E155" i="3"/>
  <c r="K29" i="73"/>
  <c r="E40" i="117"/>
  <c r="K9" i="73"/>
  <c r="K7" i="61"/>
  <c r="I40" i="63"/>
  <c r="I45" i="63" s="1"/>
  <c r="E118" i="119"/>
  <c r="E99" i="119"/>
  <c r="E43" i="120"/>
  <c r="E118" i="3"/>
  <c r="D120" i="3"/>
  <c r="E99" i="3"/>
  <c r="G116" i="87"/>
  <c r="K91" i="24"/>
  <c r="O91" i="24" s="1"/>
  <c r="K87" i="24"/>
  <c r="E42" i="1"/>
  <c r="E40" i="1" s="1"/>
  <c r="E43" i="1"/>
  <c r="E36" i="117"/>
  <c r="E37" i="117"/>
  <c r="E34" i="117" s="1"/>
  <c r="K77" i="24"/>
  <c r="G40" i="87"/>
  <c r="E43" i="3"/>
  <c r="K80" i="24"/>
  <c r="G59" i="87"/>
  <c r="G57" i="87" s="1"/>
  <c r="E62" i="120"/>
  <c r="E60" i="120" s="1"/>
  <c r="E62" i="3"/>
  <c r="E59" i="117"/>
  <c r="E57" i="117" s="1"/>
  <c r="E65" i="1"/>
  <c r="E63" i="1" s="1"/>
  <c r="E46" i="1"/>
  <c r="E127" i="1"/>
  <c r="E79" i="1"/>
  <c r="E78" i="1" s="1"/>
  <c r="E39" i="1"/>
  <c r="E23" i="1"/>
  <c r="E142" i="116"/>
  <c r="E127" i="116"/>
  <c r="E119" i="116"/>
  <c r="E117" i="116"/>
  <c r="E110" i="116"/>
  <c r="E98" i="116" s="1"/>
  <c r="E101" i="116"/>
  <c r="E73" i="116"/>
  <c r="E60" i="116"/>
  <c r="E40" i="116"/>
  <c r="E39" i="116"/>
  <c r="E33" i="116"/>
  <c r="E31" i="116"/>
  <c r="E17" i="116"/>
  <c r="E37" i="116"/>
  <c r="E36" i="116"/>
  <c r="E34" i="116" s="1"/>
  <c r="E58" i="120"/>
  <c r="E45" i="120"/>
  <c r="E98" i="119"/>
  <c r="E96" i="119" s="1"/>
  <c r="E131" i="119" s="1"/>
  <c r="E157" i="119" s="1"/>
  <c r="J86" i="24"/>
  <c r="J85" i="24"/>
  <c r="J90" i="24"/>
  <c r="J73" i="24"/>
  <c r="O73" i="24" s="1"/>
  <c r="E97" i="119"/>
  <c r="G36" i="87"/>
  <c r="E39" i="120"/>
  <c r="E37" i="120" s="1"/>
  <c r="E39" i="3"/>
  <c r="E37" i="3" s="1"/>
  <c r="G90" i="24"/>
  <c r="O90" i="24"/>
  <c r="G79" i="24"/>
  <c r="O79" i="24"/>
  <c r="G55" i="87"/>
  <c r="G52" i="87" s="1"/>
  <c r="E58" i="3"/>
  <c r="E55" i="3" s="1"/>
  <c r="G12" i="73"/>
  <c r="E55" i="117"/>
  <c r="E52" i="117" s="1"/>
  <c r="I39" i="63"/>
  <c r="E99" i="120"/>
  <c r="J77" i="24"/>
  <c r="J74" i="24"/>
  <c r="O74" i="24"/>
  <c r="G17" i="87"/>
  <c r="E20" i="119"/>
  <c r="E15" i="119" s="1"/>
  <c r="E20" i="3"/>
  <c r="E15" i="3"/>
  <c r="D34" i="2"/>
  <c r="G10" i="87"/>
  <c r="E13" i="119"/>
  <c r="E13" i="3"/>
  <c r="E16" i="1"/>
  <c r="D18" i="2"/>
  <c r="D17" i="2"/>
  <c r="D16" i="2" s="1"/>
  <c r="G73" i="24"/>
  <c r="G82" i="24" s="1"/>
  <c r="G7" i="87"/>
  <c r="E10" i="119"/>
  <c r="E8" i="119" s="1"/>
  <c r="E65" i="119" s="1"/>
  <c r="E90" i="119" s="1"/>
  <c r="E10" i="3"/>
  <c r="E8" i="3" s="1"/>
  <c r="E13" i="1"/>
  <c r="G89" i="24"/>
  <c r="G87" i="24"/>
  <c r="G102" i="87"/>
  <c r="E104" i="119"/>
  <c r="E104" i="3"/>
  <c r="J88" i="24"/>
  <c r="O88" i="24" s="1"/>
  <c r="I94" i="24"/>
  <c r="I95" i="24"/>
  <c r="I89" i="24"/>
  <c r="D35" i="2"/>
  <c r="D32" i="2" s="1"/>
  <c r="I73" i="24"/>
  <c r="J89" i="24"/>
  <c r="G111" i="87"/>
  <c r="E113" i="119"/>
  <c r="E113" i="3"/>
  <c r="E98" i="117"/>
  <c r="E111" i="117"/>
  <c r="E93" i="117" s="1"/>
  <c r="E128" i="117" s="1"/>
  <c r="E154" i="117" s="1"/>
  <c r="E119" i="117"/>
  <c r="E114" i="117"/>
  <c r="E129" i="117"/>
  <c r="E133" i="117"/>
  <c r="E140" i="117"/>
  <c r="E145" i="117"/>
  <c r="E91" i="117"/>
  <c r="E5" i="117"/>
  <c r="E17" i="117"/>
  <c r="E12" i="117" s="1"/>
  <c r="E19" i="117"/>
  <c r="E46" i="117"/>
  <c r="E63" i="117"/>
  <c r="E67" i="117"/>
  <c r="E72" i="117"/>
  <c r="E75" i="117"/>
  <c r="E79" i="117"/>
  <c r="G20" i="73"/>
  <c r="D7" i="73"/>
  <c r="D19" i="73" s="1"/>
  <c r="D31" i="73" s="1"/>
  <c r="D8" i="73"/>
  <c r="D11" i="73"/>
  <c r="D20" i="73"/>
  <c r="D30" i="73"/>
  <c r="D25" i="73"/>
  <c r="D18" i="61"/>
  <c r="D19" i="61"/>
  <c r="D25" i="61"/>
  <c r="I9" i="63"/>
  <c r="F9" i="63"/>
  <c r="E20" i="120"/>
  <c r="E15" i="120" s="1"/>
  <c r="G37" i="87"/>
  <c r="G28" i="87"/>
  <c r="G27" i="87" s="1"/>
  <c r="G26" i="87" s="1"/>
  <c r="G93" i="24"/>
  <c r="O93" i="24"/>
  <c r="K92" i="24"/>
  <c r="O92" i="24"/>
  <c r="N90" i="24"/>
  <c r="N95" i="24" s="1"/>
  <c r="K73" i="24"/>
  <c r="M95" i="24"/>
  <c r="L95" i="24"/>
  <c r="D91" i="24"/>
  <c r="G81" i="24"/>
  <c r="O81" i="24" s="1"/>
  <c r="E76" i="24"/>
  <c r="E82" i="24" s="1"/>
  <c r="E97" i="24" s="1"/>
  <c r="K74" i="24"/>
  <c r="E29" i="128"/>
  <c r="E33" i="128" s="1"/>
  <c r="E35" i="128" s="1"/>
  <c r="D29" i="128"/>
  <c r="D33" i="128"/>
  <c r="D35" i="128" s="1"/>
  <c r="E9" i="128"/>
  <c r="E8" i="128" s="1"/>
  <c r="E20" i="128"/>
  <c r="E22" i="128" s="1"/>
  <c r="D9" i="128"/>
  <c r="D8" i="128" s="1"/>
  <c r="D20" i="128" s="1"/>
  <c r="D22" i="128" s="1"/>
  <c r="C9" i="128"/>
  <c r="F27" i="70"/>
  <c r="D8" i="2"/>
  <c r="D6" i="2" s="1"/>
  <c r="D19" i="2"/>
  <c r="D24" i="2"/>
  <c r="D29" i="2"/>
  <c r="D37" i="2"/>
  <c r="C82" i="24"/>
  <c r="C97" i="24" s="1"/>
  <c r="D82" i="24"/>
  <c r="F82" i="24"/>
  <c r="H82" i="24"/>
  <c r="H97" i="24" s="1"/>
  <c r="I82" i="24"/>
  <c r="I97" i="24"/>
  <c r="L82" i="24"/>
  <c r="M82" i="24"/>
  <c r="M97" i="24" s="1"/>
  <c r="N82" i="24"/>
  <c r="C95" i="24"/>
  <c r="D95" i="24"/>
  <c r="D97" i="24" s="1"/>
  <c r="E95" i="24"/>
  <c r="F95" i="24"/>
  <c r="F97" i="24" s="1"/>
  <c r="H95" i="24"/>
  <c r="L97" i="24"/>
  <c r="O87" i="24"/>
  <c r="O80" i="24"/>
  <c r="O78" i="24"/>
  <c r="O77" i="24"/>
  <c r="O75" i="24"/>
  <c r="G120" i="87"/>
  <c r="G115" i="87" s="1"/>
  <c r="G130" i="87"/>
  <c r="G134" i="87"/>
  <c r="G141" i="87"/>
  <c r="G146" i="87"/>
  <c r="G92" i="87"/>
  <c r="G5" i="87"/>
  <c r="G12" i="87"/>
  <c r="G19" i="87"/>
  <c r="G46" i="87"/>
  <c r="G63" i="87"/>
  <c r="G67" i="87"/>
  <c r="G72" i="87"/>
  <c r="G75" i="87"/>
  <c r="G79" i="87"/>
  <c r="E93" i="121"/>
  <c r="E114" i="121"/>
  <c r="E128" i="121" s="1"/>
  <c r="E129" i="121"/>
  <c r="E133" i="121"/>
  <c r="E140" i="121"/>
  <c r="E146" i="121"/>
  <c r="E8" i="121"/>
  <c r="E15" i="121"/>
  <c r="E22" i="121"/>
  <c r="E30" i="121"/>
  <c r="E29" i="121"/>
  <c r="E37" i="121"/>
  <c r="E49" i="121"/>
  <c r="E55" i="121"/>
  <c r="E60" i="121"/>
  <c r="E66" i="121"/>
  <c r="E70" i="121"/>
  <c r="E75" i="121"/>
  <c r="E78" i="121"/>
  <c r="E89" i="121" s="1"/>
  <c r="E82" i="121"/>
  <c r="E101" i="120"/>
  <c r="E114" i="120"/>
  <c r="E122" i="120"/>
  <c r="E117" i="120"/>
  <c r="E132" i="120"/>
  <c r="E136" i="120"/>
  <c r="E143" i="120"/>
  <c r="E148" i="120"/>
  <c r="E94" i="120"/>
  <c r="E8" i="120"/>
  <c r="E22" i="120"/>
  <c r="E29" i="120"/>
  <c r="E49" i="120"/>
  <c r="E55" i="120"/>
  <c r="E66" i="120"/>
  <c r="E70" i="120"/>
  <c r="E75" i="120"/>
  <c r="E78" i="120"/>
  <c r="E82" i="120"/>
  <c r="E122" i="119"/>
  <c r="E117" i="119" s="1"/>
  <c r="E132" i="119"/>
  <c r="E136" i="119"/>
  <c r="E143" i="119"/>
  <c r="E148" i="119"/>
  <c r="E94" i="119"/>
  <c r="E22" i="119"/>
  <c r="E33" i="119"/>
  <c r="E30" i="119" s="1"/>
  <c r="E29" i="119" s="1"/>
  <c r="E37" i="119"/>
  <c r="E49" i="119"/>
  <c r="E55" i="119"/>
  <c r="E60" i="119"/>
  <c r="E66" i="119"/>
  <c r="E89" i="119" s="1"/>
  <c r="E70" i="119"/>
  <c r="E75" i="119"/>
  <c r="E78" i="119"/>
  <c r="E82" i="119"/>
  <c r="E101" i="3"/>
  <c r="E122" i="3"/>
  <c r="E132" i="3"/>
  <c r="E136" i="3"/>
  <c r="E143" i="3"/>
  <c r="E148" i="3"/>
  <c r="E22" i="3"/>
  <c r="E30" i="3"/>
  <c r="E29" i="3"/>
  <c r="E49" i="3"/>
  <c r="E60" i="3"/>
  <c r="E66" i="3"/>
  <c r="E70" i="3"/>
  <c r="E75" i="3"/>
  <c r="E78" i="3"/>
  <c r="E89" i="3" s="1"/>
  <c r="E82" i="3"/>
  <c r="I24" i="64"/>
  <c r="E11" i="77"/>
  <c r="K18" i="61"/>
  <c r="K32" i="61"/>
  <c r="K31" i="61"/>
  <c r="K30" i="73"/>
  <c r="E63" i="118"/>
  <c r="E67" i="118"/>
  <c r="E72" i="118"/>
  <c r="E75" i="118"/>
  <c r="E86" i="118" s="1"/>
  <c r="E79" i="118"/>
  <c r="E129" i="118"/>
  <c r="E133" i="118"/>
  <c r="E140" i="118"/>
  <c r="E145" i="118"/>
  <c r="E5" i="118"/>
  <c r="E12" i="118"/>
  <c r="E62" i="118" s="1"/>
  <c r="E19" i="118"/>
  <c r="E27" i="118"/>
  <c r="E26" i="118" s="1"/>
  <c r="E34" i="118"/>
  <c r="E46" i="118"/>
  <c r="E52" i="118"/>
  <c r="E57" i="118"/>
  <c r="E93" i="118"/>
  <c r="E114" i="118"/>
  <c r="E128" i="118" s="1"/>
  <c r="E91" i="118"/>
  <c r="E63" i="116"/>
  <c r="E67" i="116"/>
  <c r="E72" i="116"/>
  <c r="E75" i="116"/>
  <c r="E79" i="116"/>
  <c r="E129" i="116"/>
  <c r="E133" i="116"/>
  <c r="E140" i="116"/>
  <c r="E145" i="116"/>
  <c r="E5" i="116"/>
  <c r="E12" i="116"/>
  <c r="E19" i="116"/>
  <c r="E46" i="116"/>
  <c r="E52" i="116"/>
  <c r="E57" i="116"/>
  <c r="E114" i="116"/>
  <c r="E91" i="116"/>
  <c r="E69" i="1"/>
  <c r="E73" i="1"/>
  <c r="E81" i="1"/>
  <c r="E85" i="1"/>
  <c r="E137" i="1"/>
  <c r="E161" i="1" s="1"/>
  <c r="E162" i="1" s="1"/>
  <c r="E141" i="1"/>
  <c r="E148" i="1"/>
  <c r="E153" i="1"/>
  <c r="E18" i="1"/>
  <c r="E25" i="1"/>
  <c r="E33" i="1"/>
  <c r="E32" i="1"/>
  <c r="E52" i="1"/>
  <c r="E58" i="1"/>
  <c r="E122" i="1"/>
  <c r="E99" i="1"/>
  <c r="G61" i="24"/>
  <c r="G56" i="24"/>
  <c r="O56" i="24" s="1"/>
  <c r="G57" i="24"/>
  <c r="F153" i="87"/>
  <c r="F113" i="87"/>
  <c r="F112" i="87" s="1"/>
  <c r="F106" i="87"/>
  <c r="D35" i="119"/>
  <c r="D30" i="120"/>
  <c r="D115" i="120"/>
  <c r="D155" i="119"/>
  <c r="D108" i="119"/>
  <c r="D115" i="3"/>
  <c r="D114" i="3" s="1"/>
  <c r="D155" i="3"/>
  <c r="D108" i="3"/>
  <c r="J29" i="73"/>
  <c r="J30" i="73" s="1"/>
  <c r="J12" i="73"/>
  <c r="J11" i="73"/>
  <c r="D32" i="116"/>
  <c r="D27" i="117"/>
  <c r="D26" i="117" s="1"/>
  <c r="D112" i="117"/>
  <c r="D105" i="116"/>
  <c r="D98" i="116" s="1"/>
  <c r="D95" i="116"/>
  <c r="D94" i="116"/>
  <c r="D103" i="1"/>
  <c r="D102" i="1"/>
  <c r="D113" i="1"/>
  <c r="D120" i="1"/>
  <c r="D115" i="116"/>
  <c r="D73" i="116"/>
  <c r="D72" i="116" s="1"/>
  <c r="J7" i="73"/>
  <c r="J19" i="73" s="1"/>
  <c r="J7" i="61"/>
  <c r="D118" i="119"/>
  <c r="D113" i="120"/>
  <c r="D101" i="120"/>
  <c r="D96" i="120" s="1"/>
  <c r="D131" i="120" s="1"/>
  <c r="D157" i="120" s="1"/>
  <c r="D97" i="120"/>
  <c r="D39" i="120"/>
  <c r="D43" i="120"/>
  <c r="D20" i="119"/>
  <c r="D15" i="119" s="1"/>
  <c r="F116" i="87"/>
  <c r="F111" i="87"/>
  <c r="F95" i="87"/>
  <c r="F73" i="87"/>
  <c r="F72" i="87" s="1"/>
  <c r="F17" i="87"/>
  <c r="F12" i="87" s="1"/>
  <c r="G58" i="24"/>
  <c r="G52" i="24"/>
  <c r="E47" i="24"/>
  <c r="O47" i="24" s="1"/>
  <c r="D76" i="119"/>
  <c r="D118" i="3"/>
  <c r="D99" i="3"/>
  <c r="D98" i="3"/>
  <c r="D96" i="3" s="1"/>
  <c r="D131" i="3" s="1"/>
  <c r="D97" i="3"/>
  <c r="D76" i="3"/>
  <c r="G41" i="24"/>
  <c r="E19" i="70"/>
  <c r="E27" i="70" s="1"/>
  <c r="D27" i="70"/>
  <c r="D79" i="1"/>
  <c r="D123" i="1"/>
  <c r="D104" i="1"/>
  <c r="G55" i="24"/>
  <c r="F98" i="87"/>
  <c r="D100" i="119"/>
  <c r="D97" i="119"/>
  <c r="D100" i="3"/>
  <c r="J10" i="73"/>
  <c r="D97" i="116"/>
  <c r="D105" i="1"/>
  <c r="G44" i="24"/>
  <c r="G54" i="24"/>
  <c r="F97" i="87"/>
  <c r="F40" i="87"/>
  <c r="F34" i="87" s="1"/>
  <c r="F37" i="87"/>
  <c r="D99" i="120"/>
  <c r="D40" i="120"/>
  <c r="D43" i="3"/>
  <c r="D40" i="3"/>
  <c r="J9" i="73"/>
  <c r="D37" i="117"/>
  <c r="D34" i="117"/>
  <c r="D46" i="1"/>
  <c r="D43" i="1"/>
  <c r="D96" i="116"/>
  <c r="D113" i="3"/>
  <c r="F36" i="87"/>
  <c r="D39" i="3"/>
  <c r="D99" i="119"/>
  <c r="G53" i="24"/>
  <c r="F96" i="87"/>
  <c r="D98" i="119"/>
  <c r="J8" i="73"/>
  <c r="F10" i="63"/>
  <c r="F12" i="63"/>
  <c r="F18" i="63"/>
  <c r="E45" i="63"/>
  <c r="F118" i="87"/>
  <c r="D120" i="119"/>
  <c r="J9" i="61"/>
  <c r="J18" i="61" s="1"/>
  <c r="J32" i="61" s="1"/>
  <c r="G40" i="24"/>
  <c r="F10" i="87"/>
  <c r="D13" i="119"/>
  <c r="D13" i="3"/>
  <c r="G60" i="24"/>
  <c r="F128" i="87"/>
  <c r="F120" i="87" s="1"/>
  <c r="D130" i="120"/>
  <c r="D122" i="120" s="1"/>
  <c r="D117" i="120"/>
  <c r="D130" i="3"/>
  <c r="J11" i="61"/>
  <c r="F102" i="87"/>
  <c r="D104" i="119"/>
  <c r="D104" i="3"/>
  <c r="F9" i="87"/>
  <c r="D12" i="119"/>
  <c r="D12" i="3"/>
  <c r="C8" i="2"/>
  <c r="C6" i="2"/>
  <c r="C17" i="2"/>
  <c r="C16" i="2"/>
  <c r="C41" i="2" s="1"/>
  <c r="C19" i="2"/>
  <c r="C24" i="2"/>
  <c r="C29" i="2"/>
  <c r="C32" i="2"/>
  <c r="C37" i="2"/>
  <c r="C41" i="24"/>
  <c r="D40" i="24"/>
  <c r="D41" i="24"/>
  <c r="O41" i="24" s="1"/>
  <c r="E43" i="24"/>
  <c r="F49" i="24"/>
  <c r="H44" i="24"/>
  <c r="H49" i="24" s="1"/>
  <c r="I44" i="24"/>
  <c r="I49" i="24" s="1"/>
  <c r="J44" i="24"/>
  <c r="J49" i="24"/>
  <c r="K44" i="24"/>
  <c r="K49" i="24"/>
  <c r="K64" i="24" s="1"/>
  <c r="L49" i="24"/>
  <c r="M49" i="24"/>
  <c r="N49" i="24"/>
  <c r="N64" i="24" s="1"/>
  <c r="C61" i="24"/>
  <c r="C62" i="24"/>
  <c r="D58" i="24"/>
  <c r="D62" i="24"/>
  <c r="E58" i="24"/>
  <c r="O58" i="24"/>
  <c r="E62" i="24"/>
  <c r="F62" i="24"/>
  <c r="H52" i="24"/>
  <c r="H53" i="24"/>
  <c r="H54" i="24"/>
  <c r="O54" i="24" s="1"/>
  <c r="I52" i="24"/>
  <c r="I53" i="24"/>
  <c r="I54" i="24"/>
  <c r="J52" i="24"/>
  <c r="J53" i="24"/>
  <c r="J62" i="24" s="1"/>
  <c r="J64" i="24" s="1"/>
  <c r="J54" i="24"/>
  <c r="K62" i="24"/>
  <c r="L62" i="24"/>
  <c r="M62" i="24"/>
  <c r="N57" i="24"/>
  <c r="N62" i="24"/>
  <c r="O60" i="24"/>
  <c r="O59" i="24"/>
  <c r="O57" i="24"/>
  <c r="O55" i="24"/>
  <c r="O48" i="24"/>
  <c r="O46" i="24"/>
  <c r="O45" i="24"/>
  <c r="O43" i="24"/>
  <c r="O42" i="24"/>
  <c r="O40" i="24"/>
  <c r="F130" i="87"/>
  <c r="F134" i="87"/>
  <c r="F141" i="87"/>
  <c r="F146" i="87"/>
  <c r="F92" i="87"/>
  <c r="F6" i="87"/>
  <c r="F5" i="87" s="1"/>
  <c r="F19" i="87"/>
  <c r="F28" i="87"/>
  <c r="F27" i="87" s="1"/>
  <c r="F26" i="87" s="1"/>
  <c r="F46" i="87"/>
  <c r="F52" i="87"/>
  <c r="F57" i="87"/>
  <c r="F63" i="87"/>
  <c r="F67" i="87"/>
  <c r="F75" i="87"/>
  <c r="F79" i="87"/>
  <c r="D93" i="121"/>
  <c r="D128" i="121"/>
  <c r="D114" i="121"/>
  <c r="D129" i="121"/>
  <c r="D133" i="121"/>
  <c r="D140" i="121"/>
  <c r="D146" i="121"/>
  <c r="D8" i="121"/>
  <c r="D15" i="121"/>
  <c r="D22" i="121"/>
  <c r="D30" i="121"/>
  <c r="D29" i="121"/>
  <c r="D37" i="121"/>
  <c r="D49" i="121"/>
  <c r="D55" i="121"/>
  <c r="D60" i="121"/>
  <c r="D66" i="121"/>
  <c r="D70" i="121"/>
  <c r="D75" i="121"/>
  <c r="D78" i="121"/>
  <c r="D82" i="121"/>
  <c r="D98" i="120"/>
  <c r="D100" i="120"/>
  <c r="D114" i="120"/>
  <c r="D118" i="120"/>
  <c r="D132" i="120"/>
  <c r="D136" i="120"/>
  <c r="D143" i="120"/>
  <c r="D148" i="120"/>
  <c r="D94" i="120"/>
  <c r="D8" i="120"/>
  <c r="D65" i="120" s="1"/>
  <c r="D15" i="120"/>
  <c r="D22" i="120"/>
  <c r="D29" i="120"/>
  <c r="D37" i="120"/>
  <c r="D49" i="120"/>
  <c r="D55" i="120"/>
  <c r="D60" i="120"/>
  <c r="D66" i="120"/>
  <c r="D70" i="120"/>
  <c r="D89" i="120" s="1"/>
  <c r="D75" i="120"/>
  <c r="D78" i="120"/>
  <c r="D82" i="120"/>
  <c r="D113" i="119"/>
  <c r="D101" i="119"/>
  <c r="D96" i="119" s="1"/>
  <c r="D122" i="119"/>
  <c r="D132" i="119"/>
  <c r="D136" i="119"/>
  <c r="D156" i="119" s="1"/>
  <c r="D143" i="119"/>
  <c r="D148" i="119"/>
  <c r="D94" i="119"/>
  <c r="D9" i="119"/>
  <c r="D22" i="119"/>
  <c r="D31" i="119"/>
  <c r="D33" i="119"/>
  <c r="D30" i="119"/>
  <c r="D29" i="119"/>
  <c r="D43" i="119"/>
  <c r="D37" i="119"/>
  <c r="D49" i="119"/>
  <c r="D55" i="119"/>
  <c r="D60" i="119"/>
  <c r="D66" i="119"/>
  <c r="D70" i="119"/>
  <c r="D89" i="119"/>
  <c r="D75" i="119"/>
  <c r="D78" i="119"/>
  <c r="D82" i="119"/>
  <c r="D101" i="3"/>
  <c r="D122" i="3"/>
  <c r="D117" i="3"/>
  <c r="D132" i="3"/>
  <c r="D156" i="3" s="1"/>
  <c r="D136" i="3"/>
  <c r="D143" i="3"/>
  <c r="D148" i="3"/>
  <c r="D9" i="3"/>
  <c r="D8" i="3" s="1"/>
  <c r="D65" i="3" s="1"/>
  <c r="D90" i="3" s="1"/>
  <c r="D15" i="3"/>
  <c r="D22" i="3"/>
  <c r="D30" i="3"/>
  <c r="D29" i="3" s="1"/>
  <c r="D37" i="3"/>
  <c r="D49" i="3"/>
  <c r="D55" i="3"/>
  <c r="D60" i="3"/>
  <c r="D66" i="3"/>
  <c r="D70" i="3"/>
  <c r="D75" i="3"/>
  <c r="D89" i="3" s="1"/>
  <c r="D78" i="3"/>
  <c r="D82" i="3"/>
  <c r="F24" i="64"/>
  <c r="D11" i="77"/>
  <c r="J31" i="61"/>
  <c r="C18" i="61"/>
  <c r="C32" i="61" s="1"/>
  <c r="C19" i="61"/>
  <c r="C25" i="61"/>
  <c r="C7" i="73"/>
  <c r="C19" i="73" s="1"/>
  <c r="C31" i="73" s="1"/>
  <c r="C21" i="73"/>
  <c r="C20" i="73"/>
  <c r="C30" i="73"/>
  <c r="C25" i="73"/>
  <c r="D63" i="118"/>
  <c r="D67" i="118"/>
  <c r="D72" i="118"/>
  <c r="D86" i="118" s="1"/>
  <c r="D75" i="118"/>
  <c r="D79" i="118"/>
  <c r="D129" i="118"/>
  <c r="D153" i="118" s="1"/>
  <c r="D133" i="118"/>
  <c r="D140" i="118"/>
  <c r="D145" i="118"/>
  <c r="D5" i="118"/>
  <c r="D12" i="118"/>
  <c r="D62" i="118" s="1"/>
  <c r="D19" i="118"/>
  <c r="D27" i="118"/>
  <c r="D26" i="118"/>
  <c r="D34" i="118"/>
  <c r="D46" i="118"/>
  <c r="D52" i="118"/>
  <c r="D57" i="118"/>
  <c r="D93" i="118"/>
  <c r="D114" i="118"/>
  <c r="D128" i="118" s="1"/>
  <c r="D91" i="118"/>
  <c r="D98" i="117"/>
  <c r="D111" i="117"/>
  <c r="D119" i="117"/>
  <c r="D114" i="117" s="1"/>
  <c r="D129" i="117"/>
  <c r="D133" i="117"/>
  <c r="D153" i="117"/>
  <c r="D140" i="117"/>
  <c r="D145" i="117"/>
  <c r="D91" i="117"/>
  <c r="D5" i="117"/>
  <c r="D12" i="117"/>
  <c r="D19" i="117"/>
  <c r="D46" i="117"/>
  <c r="D52" i="117"/>
  <c r="D57" i="117"/>
  <c r="D63" i="117"/>
  <c r="D67" i="117"/>
  <c r="D86" i="117" s="1"/>
  <c r="D72" i="117"/>
  <c r="D75" i="117"/>
  <c r="D79" i="117"/>
  <c r="D63" i="116"/>
  <c r="D86" i="116" s="1"/>
  <c r="D159" i="116" s="1"/>
  <c r="D67" i="116"/>
  <c r="D75" i="116"/>
  <c r="D79" i="116"/>
  <c r="D129" i="116"/>
  <c r="D133" i="116"/>
  <c r="D140" i="116"/>
  <c r="D145" i="116"/>
  <c r="D6" i="116"/>
  <c r="D5" i="116"/>
  <c r="D12" i="116"/>
  <c r="D19" i="116"/>
  <c r="D28" i="116"/>
  <c r="D27" i="116"/>
  <c r="D26" i="116"/>
  <c r="D36" i="116"/>
  <c r="D34" i="116" s="1"/>
  <c r="D46" i="116"/>
  <c r="D52" i="116"/>
  <c r="D57" i="116"/>
  <c r="D93" i="116"/>
  <c r="D119" i="116"/>
  <c r="D114" i="116" s="1"/>
  <c r="D128" i="116" s="1"/>
  <c r="D154" i="116" s="1"/>
  <c r="D91" i="116"/>
  <c r="D69" i="1"/>
  <c r="D73" i="1"/>
  <c r="D92" i="1" s="1"/>
  <c r="D78" i="1"/>
  <c r="D81" i="1"/>
  <c r="D85" i="1"/>
  <c r="D137" i="1"/>
  <c r="D161" i="1" s="1"/>
  <c r="D141" i="1"/>
  <c r="D148" i="1"/>
  <c r="D153" i="1"/>
  <c r="D12" i="1"/>
  <c r="D11" i="1"/>
  <c r="D18" i="1"/>
  <c r="D25" i="1"/>
  <c r="D33" i="1"/>
  <c r="D32" i="1"/>
  <c r="D42" i="1"/>
  <c r="D40" i="1" s="1"/>
  <c r="D52" i="1"/>
  <c r="D58" i="1"/>
  <c r="D63" i="1"/>
  <c r="D106" i="1"/>
  <c r="D101" i="1" s="1"/>
  <c r="D136" i="1" s="1"/>
  <c r="D119" i="1"/>
  <c r="D127" i="1"/>
  <c r="D122" i="1"/>
  <c r="D99" i="1"/>
  <c r="C123" i="1"/>
  <c r="C122" i="1" s="1"/>
  <c r="C115" i="116"/>
  <c r="I7" i="61"/>
  <c r="C118" i="3"/>
  <c r="C118" i="119"/>
  <c r="E116" i="87"/>
  <c r="E25" i="24"/>
  <c r="E29" i="24" s="1"/>
  <c r="E31" i="24" s="1"/>
  <c r="D25" i="24"/>
  <c r="O25" i="24" s="1"/>
  <c r="C120" i="1"/>
  <c r="C12" i="1"/>
  <c r="C11" i="1" s="1"/>
  <c r="C28" i="116"/>
  <c r="C27" i="116"/>
  <c r="C26" i="116"/>
  <c r="C6" i="116"/>
  <c r="C27" i="117"/>
  <c r="C112" i="117"/>
  <c r="C111" i="117"/>
  <c r="I12" i="73"/>
  <c r="I19" i="73" s="1"/>
  <c r="I31" i="73" s="1"/>
  <c r="C115" i="3"/>
  <c r="C9" i="3"/>
  <c r="C31" i="119"/>
  <c r="C9" i="119"/>
  <c r="C8" i="119" s="1"/>
  <c r="C30" i="120"/>
  <c r="C115" i="120"/>
  <c r="C114" i="120" s="1"/>
  <c r="E113" i="87"/>
  <c r="E6" i="87"/>
  <c r="N24" i="24"/>
  <c r="D7" i="24"/>
  <c r="O7" i="24" s="1"/>
  <c r="C125" i="1"/>
  <c r="C32" i="116"/>
  <c r="C117" i="116"/>
  <c r="I9" i="61"/>
  <c r="I18" i="61" s="1"/>
  <c r="I32" i="61" s="1"/>
  <c r="C120" i="3"/>
  <c r="C35" i="119"/>
  <c r="C120" i="119"/>
  <c r="C117" i="119" s="1"/>
  <c r="E118" i="87"/>
  <c r="A2" i="2"/>
  <c r="C127" i="1"/>
  <c r="C119" i="1"/>
  <c r="C102" i="1"/>
  <c r="C103" i="1"/>
  <c r="C101" i="1" s="1"/>
  <c r="C136" i="1" s="1"/>
  <c r="C104" i="1"/>
  <c r="C106" i="1"/>
  <c r="C42" i="1"/>
  <c r="C40" i="1" s="1"/>
  <c r="C96" i="116"/>
  <c r="C95" i="116"/>
  <c r="C93" i="116" s="1"/>
  <c r="C128" i="116" s="1"/>
  <c r="C94" i="116"/>
  <c r="C36" i="116"/>
  <c r="C76" i="119"/>
  <c r="C75" i="119" s="1"/>
  <c r="C89" i="119" s="1"/>
  <c r="C33" i="119"/>
  <c r="C30" i="119"/>
  <c r="C29" i="119" s="1"/>
  <c r="C118" i="120"/>
  <c r="C117" i="120" s="1"/>
  <c r="C99" i="120"/>
  <c r="C98" i="120"/>
  <c r="C99" i="119"/>
  <c r="C98" i="119"/>
  <c r="C97" i="119"/>
  <c r="C113" i="120"/>
  <c r="C97" i="120"/>
  <c r="C113" i="119"/>
  <c r="C101" i="119"/>
  <c r="C108" i="119"/>
  <c r="C100" i="120"/>
  <c r="C100" i="119"/>
  <c r="C108" i="120"/>
  <c r="C43" i="120"/>
  <c r="C43" i="119"/>
  <c r="C37" i="119" s="1"/>
  <c r="J21" i="24"/>
  <c r="I21" i="24"/>
  <c r="O21" i="24" s="1"/>
  <c r="H21" i="24"/>
  <c r="E97" i="87"/>
  <c r="C99" i="3"/>
  <c r="C96" i="3"/>
  <c r="I9" i="73"/>
  <c r="G18" i="61"/>
  <c r="G19" i="61"/>
  <c r="C119" i="116"/>
  <c r="C114" i="116"/>
  <c r="D99" i="87"/>
  <c r="D120" i="87"/>
  <c r="D115" i="87" s="1"/>
  <c r="D27" i="87"/>
  <c r="D26" i="87" s="1"/>
  <c r="D34" i="87"/>
  <c r="E28" i="87"/>
  <c r="E120" i="87"/>
  <c r="E112" i="87"/>
  <c r="E94" i="87" s="1"/>
  <c r="E99" i="87"/>
  <c r="E27" i="87"/>
  <c r="E26" i="87" s="1"/>
  <c r="D19" i="87"/>
  <c r="C5" i="87"/>
  <c r="C12" i="87"/>
  <c r="C19" i="87"/>
  <c r="C27" i="87"/>
  <c r="C26" i="87" s="1"/>
  <c r="C34" i="87"/>
  <c r="C46" i="87"/>
  <c r="C52" i="87"/>
  <c r="C57" i="87"/>
  <c r="C63" i="87"/>
  <c r="C67" i="87"/>
  <c r="C72" i="87"/>
  <c r="C75" i="87"/>
  <c r="C79" i="87"/>
  <c r="C28" i="24"/>
  <c r="J20" i="24"/>
  <c r="J29" i="24" s="1"/>
  <c r="I20" i="24"/>
  <c r="H20" i="24"/>
  <c r="O20" i="24" s="1"/>
  <c r="J19" i="24"/>
  <c r="I19" i="24"/>
  <c r="I29" i="24" s="1"/>
  <c r="H19" i="24"/>
  <c r="H29" i="24" s="1"/>
  <c r="C8" i="24"/>
  <c r="O8" i="24" s="1"/>
  <c r="D8" i="24"/>
  <c r="D16" i="24"/>
  <c r="D31" i="24" s="1"/>
  <c r="E10" i="24"/>
  <c r="E16" i="24"/>
  <c r="K11" i="24"/>
  <c r="K16" i="24"/>
  <c r="K31" i="24" s="1"/>
  <c r="J11" i="24"/>
  <c r="O11" i="24" s="1"/>
  <c r="I11" i="24"/>
  <c r="H11" i="24"/>
  <c r="B32" i="2"/>
  <c r="B17" i="2"/>
  <c r="B8" i="2"/>
  <c r="B6" i="2" s="1"/>
  <c r="B41" i="2" s="1"/>
  <c r="C69" i="1"/>
  <c r="C92" i="1" s="1"/>
  <c r="C73" i="1"/>
  <c r="C78" i="1"/>
  <c r="C81" i="1"/>
  <c r="C85" i="1"/>
  <c r="C137" i="1"/>
  <c r="C161" i="1" s="1"/>
  <c r="C141" i="1"/>
  <c r="C148" i="1"/>
  <c r="C153" i="1"/>
  <c r="C18" i="1"/>
  <c r="C25" i="1"/>
  <c r="C33" i="1"/>
  <c r="C32" i="1"/>
  <c r="C52" i="1"/>
  <c r="C58" i="1"/>
  <c r="C63" i="1"/>
  <c r="C99" i="1"/>
  <c r="C63" i="116"/>
  <c r="C86" i="116" s="1"/>
  <c r="C159" i="116" s="1"/>
  <c r="C67" i="116"/>
  <c r="C72" i="116"/>
  <c r="C75" i="116"/>
  <c r="C79" i="116"/>
  <c r="C129" i="116"/>
  <c r="C133" i="116"/>
  <c r="C140" i="116"/>
  <c r="C153" i="116" s="1"/>
  <c r="C145" i="116"/>
  <c r="C5" i="116"/>
  <c r="C12" i="116"/>
  <c r="C19" i="116"/>
  <c r="C62" i="116" s="1"/>
  <c r="C34" i="116"/>
  <c r="C46" i="116"/>
  <c r="C52" i="116"/>
  <c r="C57" i="116"/>
  <c r="C98" i="116"/>
  <c r="C91" i="116"/>
  <c r="C98" i="117"/>
  <c r="C93" i="117" s="1"/>
  <c r="C119" i="117"/>
  <c r="C114" i="117" s="1"/>
  <c r="C129" i="117"/>
  <c r="C153" i="117" s="1"/>
  <c r="C133" i="117"/>
  <c r="C140" i="117"/>
  <c r="C145" i="117"/>
  <c r="C91" i="117"/>
  <c r="C5" i="117"/>
  <c r="C62" i="117" s="1"/>
  <c r="C12" i="117"/>
  <c r="C19" i="117"/>
  <c r="C26" i="117"/>
  <c r="C34" i="117"/>
  <c r="C46" i="117"/>
  <c r="C52" i="117"/>
  <c r="C57" i="117"/>
  <c r="C63" i="117"/>
  <c r="C86" i="117" s="1"/>
  <c r="C67" i="117"/>
  <c r="C72" i="117"/>
  <c r="C75" i="117"/>
  <c r="C79" i="117"/>
  <c r="C101" i="3"/>
  <c r="C114" i="3"/>
  <c r="C122" i="3"/>
  <c r="C117" i="3" s="1"/>
  <c r="C132" i="3"/>
  <c r="C136" i="3"/>
  <c r="C143" i="3"/>
  <c r="C156" i="3" s="1"/>
  <c r="C148" i="3"/>
  <c r="C8" i="3"/>
  <c r="C15" i="3"/>
  <c r="C22" i="3"/>
  <c r="C30" i="3"/>
  <c r="C29" i="3"/>
  <c r="C37" i="3"/>
  <c r="C49" i="3"/>
  <c r="C55" i="3"/>
  <c r="C60" i="3"/>
  <c r="C66" i="3"/>
  <c r="C70" i="3"/>
  <c r="C75" i="3"/>
  <c r="C78" i="3"/>
  <c r="C82" i="3"/>
  <c r="C89" i="3" s="1"/>
  <c r="C122" i="119"/>
  <c r="C132" i="119"/>
  <c r="C136" i="119"/>
  <c r="C156" i="119" s="1"/>
  <c r="C143" i="119"/>
  <c r="C148" i="119"/>
  <c r="C94" i="119"/>
  <c r="C15" i="119"/>
  <c r="C22" i="119"/>
  <c r="C49" i="119"/>
  <c r="C55" i="119"/>
  <c r="C60" i="119"/>
  <c r="C66" i="119"/>
  <c r="C70" i="119"/>
  <c r="C78" i="119"/>
  <c r="C82" i="119"/>
  <c r="C101" i="120"/>
  <c r="C96" i="120" s="1"/>
  <c r="C131" i="120" s="1"/>
  <c r="C122" i="120"/>
  <c r="C132" i="120"/>
  <c r="C136" i="120"/>
  <c r="C156" i="120" s="1"/>
  <c r="C143" i="120"/>
  <c r="C148" i="120"/>
  <c r="C94" i="120"/>
  <c r="C8" i="120"/>
  <c r="C65" i="120" s="1"/>
  <c r="C15" i="120"/>
  <c r="C22" i="120"/>
  <c r="C29" i="120"/>
  <c r="C37" i="120"/>
  <c r="C49" i="120"/>
  <c r="C55" i="120"/>
  <c r="C60" i="120"/>
  <c r="C66" i="120"/>
  <c r="C89" i="120" s="1"/>
  <c r="C70" i="120"/>
  <c r="C75" i="120"/>
  <c r="C78" i="120"/>
  <c r="C82" i="120"/>
  <c r="C16" i="24"/>
  <c r="F16" i="24"/>
  <c r="G16" i="24"/>
  <c r="G31" i="24" s="1"/>
  <c r="I16" i="24"/>
  <c r="J16" i="24"/>
  <c r="L16" i="24"/>
  <c r="M16" i="24"/>
  <c r="M31" i="24"/>
  <c r="N16" i="24"/>
  <c r="D29" i="24"/>
  <c r="F29" i="24"/>
  <c r="G29" i="24"/>
  <c r="K29" i="24"/>
  <c r="L29" i="24"/>
  <c r="L31" i="24" s="1"/>
  <c r="M29" i="24"/>
  <c r="N29" i="24"/>
  <c r="N31" i="24" s="1"/>
  <c r="F31" i="24"/>
  <c r="O27" i="24"/>
  <c r="O26" i="24"/>
  <c r="O24" i="24"/>
  <c r="O23" i="24"/>
  <c r="O22" i="24"/>
  <c r="O15" i="24"/>
  <c r="O14" i="24"/>
  <c r="O13" i="24"/>
  <c r="O12" i="24"/>
  <c r="O9" i="24"/>
  <c r="B16" i="2"/>
  <c r="B19" i="2"/>
  <c r="B24" i="2"/>
  <c r="B29" i="2"/>
  <c r="B37" i="2"/>
  <c r="I30" i="73"/>
  <c r="G25" i="73"/>
  <c r="G30" i="73" s="1"/>
  <c r="I31" i="61"/>
  <c r="D94" i="87"/>
  <c r="D129" i="87" s="1"/>
  <c r="D130" i="87"/>
  <c r="D134" i="87"/>
  <c r="D141" i="87"/>
  <c r="D146" i="87"/>
  <c r="E130" i="87"/>
  <c r="E134" i="87"/>
  <c r="E141" i="87"/>
  <c r="E146" i="87"/>
  <c r="C115" i="87"/>
  <c r="C94" i="87"/>
  <c r="C130" i="87"/>
  <c r="C134" i="87"/>
  <c r="C141" i="87"/>
  <c r="C146" i="87"/>
  <c r="D5" i="87"/>
  <c r="D12" i="87"/>
  <c r="D46" i="87"/>
  <c r="D52" i="87"/>
  <c r="D57" i="87"/>
  <c r="D72" i="87"/>
  <c r="D75" i="87"/>
  <c r="D63" i="87"/>
  <c r="D67" i="87"/>
  <c r="D79" i="87"/>
  <c r="E52" i="87"/>
  <c r="E57" i="87"/>
  <c r="E5" i="87"/>
  <c r="E12" i="87"/>
  <c r="E19" i="87"/>
  <c r="E34" i="87"/>
  <c r="E46" i="87"/>
  <c r="E63" i="87"/>
  <c r="E67" i="87"/>
  <c r="E72" i="87"/>
  <c r="E75" i="87"/>
  <c r="E79" i="87"/>
  <c r="J5" i="64"/>
  <c r="J6" i="64"/>
  <c r="J8" i="64"/>
  <c r="J10" i="64"/>
  <c r="J24" i="64" s="1"/>
  <c r="J11" i="64"/>
  <c r="J12" i="64"/>
  <c r="J13" i="64"/>
  <c r="J14" i="64"/>
  <c r="J15" i="64"/>
  <c r="J16" i="64"/>
  <c r="J17" i="64"/>
  <c r="J18" i="64"/>
  <c r="J19" i="64"/>
  <c r="J20" i="64"/>
  <c r="J21" i="64"/>
  <c r="J22" i="64"/>
  <c r="J23" i="64"/>
  <c r="E24" i="64"/>
  <c r="D24" i="64"/>
  <c r="B24" i="64"/>
  <c r="J45" i="63"/>
  <c r="D45" i="63"/>
  <c r="B45" i="63"/>
  <c r="C146" i="121"/>
  <c r="C140" i="121"/>
  <c r="C129" i="121"/>
  <c r="C133" i="121"/>
  <c r="C154" i="121" s="1"/>
  <c r="C93" i="121"/>
  <c r="C114" i="121"/>
  <c r="C128" i="121" s="1"/>
  <c r="E26" i="128"/>
  <c r="D26" i="128"/>
  <c r="C26" i="128"/>
  <c r="C29" i="128"/>
  <c r="C33" i="128" s="1"/>
  <c r="C35" i="128" s="1"/>
  <c r="C8" i="128"/>
  <c r="C20" i="128"/>
  <c r="C22" i="128" s="1"/>
  <c r="C82" i="121"/>
  <c r="C78" i="121"/>
  <c r="C75" i="121"/>
  <c r="C70" i="121"/>
  <c r="C66" i="121"/>
  <c r="C60" i="121"/>
  <c r="C55" i="121"/>
  <c r="C49" i="121"/>
  <c r="C37" i="121"/>
  <c r="C30" i="121"/>
  <c r="C29" i="121"/>
  <c r="C22" i="121"/>
  <c r="C15" i="121"/>
  <c r="C8" i="121"/>
  <c r="C65" i="121" s="1"/>
  <c r="C90" i="121" s="1"/>
  <c r="C145" i="118"/>
  <c r="C140" i="118"/>
  <c r="C133" i="118"/>
  <c r="C129" i="118"/>
  <c r="C114" i="118"/>
  <c r="C128" i="118"/>
  <c r="C154" i="118" s="1"/>
  <c r="C93" i="118"/>
  <c r="C79" i="118"/>
  <c r="C75" i="118"/>
  <c r="C86" i="118"/>
  <c r="C159" i="118" s="1"/>
  <c r="C72" i="118"/>
  <c r="C67" i="118"/>
  <c r="C63" i="118"/>
  <c r="C57" i="118"/>
  <c r="C52" i="118"/>
  <c r="C46" i="118"/>
  <c r="C34" i="118"/>
  <c r="C27" i="118"/>
  <c r="C26" i="118" s="1"/>
  <c r="C19" i="118"/>
  <c r="C12" i="118"/>
  <c r="C5" i="118"/>
  <c r="C91" i="118"/>
  <c r="H4" i="66"/>
  <c r="G4" i="66"/>
  <c r="F4" i="66"/>
  <c r="E4" i="66"/>
  <c r="D3" i="66"/>
  <c r="C92" i="87"/>
  <c r="D92" i="87"/>
  <c r="D14" i="71"/>
  <c r="D27" i="71" s="1"/>
  <c r="D37" i="71" s="1"/>
  <c r="C14" i="71"/>
  <c r="C27" i="71"/>
  <c r="C37" i="71" s="1"/>
  <c r="B14" i="71"/>
  <c r="B27" i="71" s="1"/>
  <c r="B37" i="71" s="1"/>
  <c r="H16" i="66"/>
  <c r="G16" i="66"/>
  <c r="F16" i="66"/>
  <c r="E16" i="66"/>
  <c r="D16" i="66"/>
  <c r="I16" i="66" s="1"/>
  <c r="H14" i="66"/>
  <c r="G14" i="66"/>
  <c r="F14" i="66"/>
  <c r="E14" i="66"/>
  <c r="I14" i="66" s="1"/>
  <c r="D14" i="66"/>
  <c r="H12" i="66"/>
  <c r="G12" i="66"/>
  <c r="F12" i="66"/>
  <c r="F18" i="66" s="1"/>
  <c r="E12" i="66"/>
  <c r="D12" i="66"/>
  <c r="I12" i="66" s="1"/>
  <c r="H9" i="66"/>
  <c r="G9" i="66"/>
  <c r="F9" i="66"/>
  <c r="E9" i="66"/>
  <c r="D9" i="66"/>
  <c r="I9" i="66" s="1"/>
  <c r="H6" i="66"/>
  <c r="H18" i="66" s="1"/>
  <c r="G6" i="66"/>
  <c r="G18" i="66"/>
  <c r="F6" i="66"/>
  <c r="E6" i="66"/>
  <c r="D6" i="66"/>
  <c r="I6" i="66" s="1"/>
  <c r="D30" i="88"/>
  <c r="C30" i="88"/>
  <c r="G25" i="61"/>
  <c r="G31" i="61" s="1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I17" i="66"/>
  <c r="B35" i="71"/>
  <c r="E28" i="71"/>
  <c r="E35" i="71" s="1"/>
  <c r="E30" i="71"/>
  <c r="E31" i="71"/>
  <c r="E32" i="71"/>
  <c r="E33" i="71"/>
  <c r="E34" i="71"/>
  <c r="D35" i="71"/>
  <c r="C35" i="71"/>
  <c r="E5" i="71"/>
  <c r="E7" i="71"/>
  <c r="E12" i="71" s="1"/>
  <c r="E8" i="71"/>
  <c r="E9" i="71"/>
  <c r="E10" i="71"/>
  <c r="E11" i="71"/>
  <c r="D12" i="71"/>
  <c r="C12" i="71"/>
  <c r="B12" i="71"/>
  <c r="E6" i="71"/>
  <c r="E15" i="71"/>
  <c r="E16" i="71"/>
  <c r="E17" i="71"/>
  <c r="E22" i="71" s="1"/>
  <c r="E18" i="71"/>
  <c r="E19" i="71"/>
  <c r="E20" i="71"/>
  <c r="E21" i="71"/>
  <c r="B22" i="71"/>
  <c r="C22" i="71"/>
  <c r="D22" i="71"/>
  <c r="E29" i="71"/>
  <c r="E38" i="71"/>
  <c r="E39" i="71"/>
  <c r="E40" i="71"/>
  <c r="E45" i="71" s="1"/>
  <c r="E41" i="71"/>
  <c r="E42" i="71"/>
  <c r="E43" i="71"/>
  <c r="E44" i="71"/>
  <c r="B45" i="71"/>
  <c r="C45" i="71"/>
  <c r="D45" i="71"/>
  <c r="D52" i="71"/>
  <c r="I7" i="66"/>
  <c r="I8" i="66"/>
  <c r="I10" i="66"/>
  <c r="I11" i="66"/>
  <c r="I13" i="66"/>
  <c r="I15" i="66"/>
  <c r="G16" i="89"/>
  <c r="E92" i="87"/>
  <c r="F11" i="62"/>
  <c r="O10" i="24"/>
  <c r="J137" i="24"/>
  <c r="F159" i="118"/>
  <c r="E173" i="24"/>
  <c r="K124" i="24"/>
  <c r="C139" i="24"/>
  <c r="F86" i="117"/>
  <c r="D137" i="24"/>
  <c r="O133" i="24"/>
  <c r="F89" i="119"/>
  <c r="F156" i="119"/>
  <c r="F89" i="3"/>
  <c r="G96" i="120"/>
  <c r="G131" i="120" s="1"/>
  <c r="G157" i="120" s="1"/>
  <c r="F16" i="2"/>
  <c r="F41" i="2" s="1"/>
  <c r="J171" i="24"/>
  <c r="O170" i="24"/>
  <c r="G171" i="24"/>
  <c r="G154" i="121"/>
  <c r="G155" i="121"/>
  <c r="G156" i="120"/>
  <c r="G156" i="119"/>
  <c r="F31" i="61"/>
  <c r="F32" i="61"/>
  <c r="F30" i="73"/>
  <c r="M171" i="24"/>
  <c r="O171" i="24" s="1"/>
  <c r="O149" i="24"/>
  <c r="M158" i="24"/>
  <c r="M173" i="24" s="1"/>
  <c r="G101" i="3"/>
  <c r="G96" i="3" s="1"/>
  <c r="G131" i="3" s="1"/>
  <c r="G157" i="3" s="1"/>
  <c r="M18" i="61"/>
  <c r="M32" i="61" s="1"/>
  <c r="G92" i="1"/>
  <c r="G167" i="1" s="1"/>
  <c r="E93" i="116"/>
  <c r="E128" i="116" s="1"/>
  <c r="E154" i="116" s="1"/>
  <c r="C49" i="24"/>
  <c r="K95" i="24"/>
  <c r="O86" i="24"/>
  <c r="D153" i="116"/>
  <c r="D154" i="121"/>
  <c r="D155" i="121" s="1"/>
  <c r="M64" i="24"/>
  <c r="O127" i="24"/>
  <c r="I137" i="24"/>
  <c r="G137" i="24"/>
  <c r="O131" i="24"/>
  <c r="I139" i="24"/>
  <c r="F96" i="120"/>
  <c r="F131" i="120"/>
  <c r="F157" i="120" s="1"/>
  <c r="G93" i="116"/>
  <c r="O118" i="24"/>
  <c r="E18" i="66"/>
  <c r="C89" i="121"/>
  <c r="D93" i="117"/>
  <c r="D128" i="117" s="1"/>
  <c r="D154" i="117" s="1"/>
  <c r="C31" i="61"/>
  <c r="D8" i="119"/>
  <c r="D65" i="119"/>
  <c r="D90" i="119" s="1"/>
  <c r="E153" i="116"/>
  <c r="E154" i="121"/>
  <c r="E155" i="121" s="1"/>
  <c r="E65" i="3"/>
  <c r="E90" i="3" s="1"/>
  <c r="E41" i="2"/>
  <c r="G26" i="116"/>
  <c r="C65" i="3"/>
  <c r="C90" i="3" s="1"/>
  <c r="H16" i="24"/>
  <c r="H31" i="24" s="1"/>
  <c r="C153" i="118"/>
  <c r="C29" i="24"/>
  <c r="O29" i="24" s="1"/>
  <c r="O28" i="24"/>
  <c r="C96" i="119"/>
  <c r="C131" i="119" s="1"/>
  <c r="C157" i="119" s="1"/>
  <c r="D156" i="120"/>
  <c r="O61" i="24"/>
  <c r="G49" i="24"/>
  <c r="O53" i="24"/>
  <c r="K19" i="73"/>
  <c r="K31" i="73"/>
  <c r="F29" i="3"/>
  <c r="F65" i="3"/>
  <c r="F90" i="3" s="1"/>
  <c r="G45" i="63"/>
  <c r="O162" i="24"/>
  <c r="E96" i="3"/>
  <c r="G89" i="121"/>
  <c r="D36" i="242"/>
  <c r="D41" i="242" s="1"/>
  <c r="K171" i="24"/>
  <c r="E156" i="3"/>
  <c r="E89" i="120"/>
  <c r="E65" i="121"/>
  <c r="E90" i="121"/>
  <c r="E153" i="117"/>
  <c r="K137" i="24"/>
  <c r="K139" i="24"/>
  <c r="G124" i="24"/>
  <c r="G139" i="24"/>
  <c r="O115" i="24"/>
  <c r="F32" i="2"/>
  <c r="G65" i="121"/>
  <c r="G90" i="121" s="1"/>
  <c r="E41" i="239"/>
  <c r="D41" i="240"/>
  <c r="D46" i="246"/>
  <c r="D58" i="246" s="1"/>
  <c r="E65" i="120"/>
  <c r="E90" i="120" s="1"/>
  <c r="J82" i="24"/>
  <c r="E30" i="73"/>
  <c r="G19" i="73"/>
  <c r="G31" i="73" s="1"/>
  <c r="E86" i="116"/>
  <c r="E159" i="116" s="1"/>
  <c r="E156" i="119"/>
  <c r="E156" i="120"/>
  <c r="O76" i="24"/>
  <c r="K82" i="24"/>
  <c r="K97" i="24"/>
  <c r="D31" i="61"/>
  <c r="D32" i="61"/>
  <c r="F62" i="118"/>
  <c r="F37" i="3"/>
  <c r="F30" i="119"/>
  <c r="F29" i="119"/>
  <c r="D37" i="244"/>
  <c r="D42" i="244"/>
  <c r="D37" i="246"/>
  <c r="D42" i="246"/>
  <c r="F32" i="1"/>
  <c r="F40" i="1"/>
  <c r="F68" i="1" s="1"/>
  <c r="I171" i="24"/>
  <c r="O161" i="24"/>
  <c r="J158" i="24"/>
  <c r="J173" i="24" s="1"/>
  <c r="F36" i="241"/>
  <c r="F41" i="241"/>
  <c r="E58" i="244"/>
  <c r="E37" i="247"/>
  <c r="E42" i="247" s="1"/>
  <c r="F128" i="117"/>
  <c r="F154" i="117" s="1"/>
  <c r="F101" i="1"/>
  <c r="F136" i="1" s="1"/>
  <c r="F162" i="1" s="1"/>
  <c r="F29" i="120"/>
  <c r="F65" i="120"/>
  <c r="F90" i="120" s="1"/>
  <c r="K158" i="24"/>
  <c r="K173" i="24" s="1"/>
  <c r="I173" i="24"/>
  <c r="G8" i="3"/>
  <c r="C36" i="239"/>
  <c r="C41" i="239" s="1"/>
  <c r="D36" i="239"/>
  <c r="D41" i="239" s="1"/>
  <c r="F36" i="240"/>
  <c r="F41" i="240" s="1"/>
  <c r="C57" i="242"/>
  <c r="C58" i="243"/>
  <c r="C37" i="244"/>
  <c r="C42" i="244" s="1"/>
  <c r="D58" i="248"/>
  <c r="N171" i="24"/>
  <c r="N173" i="24" s="1"/>
  <c r="I34" i="87"/>
  <c r="G8" i="119"/>
  <c r="G37" i="120"/>
  <c r="G65" i="120" s="1"/>
  <c r="G90" i="120" s="1"/>
  <c r="G96" i="119"/>
  <c r="G37" i="3"/>
  <c r="G86" i="117"/>
  <c r="G87" i="117"/>
  <c r="G93" i="117"/>
  <c r="G128" i="117"/>
  <c r="G153" i="117"/>
  <c r="G65" i="3"/>
  <c r="G90" i="3" s="1"/>
  <c r="C64" i="24"/>
  <c r="O16" i="24"/>
  <c r="O31" i="24" s="1"/>
  <c r="G154" i="117"/>
  <c r="F158" i="118"/>
  <c r="F87" i="118"/>
  <c r="C31" i="24"/>
  <c r="H136" i="1"/>
  <c r="H166" i="1" s="1"/>
  <c r="H93" i="1"/>
  <c r="H62" i="116"/>
  <c r="H87" i="116" s="1"/>
  <c r="G128" i="116"/>
  <c r="G58" i="243"/>
  <c r="G37" i="243"/>
  <c r="G42" i="243"/>
  <c r="G58" i="244"/>
  <c r="G58" i="246"/>
  <c r="G32" i="61" l="1"/>
  <c r="F87" i="116"/>
  <c r="F96" i="3"/>
  <c r="F131" i="3" s="1"/>
  <c r="F157" i="3" s="1"/>
  <c r="C158" i="116"/>
  <c r="C87" i="116"/>
  <c r="C167" i="1"/>
  <c r="C154" i="116"/>
  <c r="C65" i="119"/>
  <c r="C90" i="119" s="1"/>
  <c r="C68" i="1"/>
  <c r="D167" i="1"/>
  <c r="D157" i="3"/>
  <c r="J31" i="73"/>
  <c r="E158" i="118"/>
  <c r="E87" i="118"/>
  <c r="C62" i="118"/>
  <c r="C155" i="121"/>
  <c r="J31" i="24"/>
  <c r="C157" i="120"/>
  <c r="C128" i="117"/>
  <c r="C154" i="117" s="1"/>
  <c r="C131" i="3"/>
  <c r="C157" i="3" s="1"/>
  <c r="C162" i="1"/>
  <c r="D68" i="1"/>
  <c r="D62" i="116"/>
  <c r="D154" i="118"/>
  <c r="D90" i="120"/>
  <c r="D41" i="2"/>
  <c r="F166" i="1"/>
  <c r="I18" i="66"/>
  <c r="I31" i="24"/>
  <c r="C90" i="120"/>
  <c r="C87" i="117"/>
  <c r="D162" i="1"/>
  <c r="D62" i="117"/>
  <c r="D87" i="117" s="1"/>
  <c r="D158" i="118"/>
  <c r="D87" i="118"/>
  <c r="D159" i="118"/>
  <c r="M31" i="73"/>
  <c r="H162" i="1"/>
  <c r="D65" i="121"/>
  <c r="D90" i="121" s="1"/>
  <c r="D49" i="24"/>
  <c r="D64" i="24" s="1"/>
  <c r="G62" i="24"/>
  <c r="O62" i="24" s="1"/>
  <c r="O52" i="24"/>
  <c r="E92" i="1"/>
  <c r="E167" i="1" s="1"/>
  <c r="E62" i="116"/>
  <c r="E86" i="117"/>
  <c r="E62" i="117"/>
  <c r="O89" i="24"/>
  <c r="G95" i="24"/>
  <c r="E117" i="3"/>
  <c r="E131" i="3" s="1"/>
  <c r="E157" i="3" s="1"/>
  <c r="J124" i="24"/>
  <c r="J139" i="24" s="1"/>
  <c r="M137" i="24"/>
  <c r="M139" i="24" s="1"/>
  <c r="O166" i="24"/>
  <c r="C37" i="243"/>
  <c r="C42" i="243" s="1"/>
  <c r="O124" i="24"/>
  <c r="D86" i="87"/>
  <c r="D89" i="121"/>
  <c r="H62" i="24"/>
  <c r="H64" i="24" s="1"/>
  <c r="L64" i="24"/>
  <c r="F64" i="24"/>
  <c r="F45" i="63"/>
  <c r="D117" i="119"/>
  <c r="D131" i="119" s="1"/>
  <c r="D157" i="119" s="1"/>
  <c r="E153" i="118"/>
  <c r="E154" i="118" s="1"/>
  <c r="N97" i="24"/>
  <c r="E11" i="1"/>
  <c r="E68" i="1" s="1"/>
  <c r="J95" i="24"/>
  <c r="J97" i="24" s="1"/>
  <c r="F101" i="119"/>
  <c r="G153" i="116"/>
  <c r="G154" i="116" s="1"/>
  <c r="H167" i="1"/>
  <c r="O82" i="24"/>
  <c r="O19" i="24"/>
  <c r="D18" i="66"/>
  <c r="C129" i="87"/>
  <c r="I62" i="24"/>
  <c r="I64" i="24" s="1"/>
  <c r="E49" i="24"/>
  <c r="E64" i="24" s="1"/>
  <c r="O44" i="24"/>
  <c r="E96" i="120"/>
  <c r="E131" i="120" s="1"/>
  <c r="E157" i="120" s="1"/>
  <c r="O132" i="24"/>
  <c r="L139" i="24"/>
  <c r="F153" i="116"/>
  <c r="F159" i="116" s="1"/>
  <c r="F92" i="1"/>
  <c r="F167" i="1" s="1"/>
  <c r="F99" i="87"/>
  <c r="G154" i="87"/>
  <c r="O116" i="24"/>
  <c r="F96" i="119"/>
  <c r="F131" i="119" s="1"/>
  <c r="F157" i="119" s="1"/>
  <c r="O163" i="24"/>
  <c r="O165" i="24"/>
  <c r="O155" i="24"/>
  <c r="G158" i="24"/>
  <c r="D173" i="24"/>
  <c r="G68" i="1"/>
  <c r="F36" i="242"/>
  <c r="F41" i="242" s="1"/>
  <c r="D37" i="243"/>
  <c r="D42" i="243" s="1"/>
  <c r="E37" i="244"/>
  <c r="E42" i="244" s="1"/>
  <c r="F46" i="246"/>
  <c r="F58" i="246" s="1"/>
  <c r="G101" i="1"/>
  <c r="G136" i="1" s="1"/>
  <c r="G162" i="1" s="1"/>
  <c r="H93" i="116"/>
  <c r="H128" i="116" s="1"/>
  <c r="H115" i="87"/>
  <c r="E19" i="73"/>
  <c r="E31" i="73" s="1"/>
  <c r="O150" i="24"/>
  <c r="I154" i="87"/>
  <c r="G62" i="118"/>
  <c r="G41" i="239"/>
  <c r="G57" i="241"/>
  <c r="C37" i="247"/>
  <c r="C42" i="247" s="1"/>
  <c r="G30" i="119"/>
  <c r="G29" i="119" s="1"/>
  <c r="G65" i="119" s="1"/>
  <c r="G90" i="119" s="1"/>
  <c r="G34" i="116"/>
  <c r="G62" i="116" s="1"/>
  <c r="G34" i="87"/>
  <c r="L19" i="73"/>
  <c r="L31" i="73" s="1"/>
  <c r="F114" i="116"/>
  <c r="F128" i="116" s="1"/>
  <c r="I86" i="87"/>
  <c r="H45" i="63"/>
  <c r="C45" i="239"/>
  <c r="C57" i="239" s="1"/>
  <c r="C36" i="240"/>
  <c r="C41" i="240" s="1"/>
  <c r="H153" i="116"/>
  <c r="H159" i="116" s="1"/>
  <c r="I5" i="87"/>
  <c r="I26" i="87"/>
  <c r="I115" i="87"/>
  <c r="E154" i="87"/>
  <c r="F86" i="87"/>
  <c r="F154" i="87"/>
  <c r="F115" i="87"/>
  <c r="F94" i="87"/>
  <c r="G99" i="87"/>
  <c r="G94" i="87" s="1"/>
  <c r="G129" i="87" s="1"/>
  <c r="G156" i="87" s="1"/>
  <c r="I99" i="87"/>
  <c r="I94" i="87" s="1"/>
  <c r="I129" i="87" s="1"/>
  <c r="I156" i="87" s="1"/>
  <c r="E62" i="87"/>
  <c r="E115" i="87"/>
  <c r="E129" i="87" s="1"/>
  <c r="E156" i="87" s="1"/>
  <c r="C86" i="87"/>
  <c r="D62" i="87"/>
  <c r="H86" i="87"/>
  <c r="E86" i="87"/>
  <c r="C154" i="87"/>
  <c r="C156" i="87" s="1"/>
  <c r="D154" i="87"/>
  <c r="D156" i="87" s="1"/>
  <c r="G86" i="87"/>
  <c r="H154" i="87"/>
  <c r="H94" i="87"/>
  <c r="H5" i="87"/>
  <c r="H34" i="87"/>
  <c r="G62" i="87"/>
  <c r="C62" i="87"/>
  <c r="C88" i="87" s="1"/>
  <c r="D88" i="87"/>
  <c r="F62" i="87"/>
  <c r="F88" i="87" s="1"/>
  <c r="H129" i="87"/>
  <c r="H156" i="87" s="1"/>
  <c r="I62" i="87"/>
  <c r="I88" i="87" s="1"/>
  <c r="G158" i="116" l="1"/>
  <c r="G87" i="116"/>
  <c r="F154" i="116"/>
  <c r="F158" i="116"/>
  <c r="E88" i="87"/>
  <c r="F129" i="87"/>
  <c r="F156" i="87" s="1"/>
  <c r="G93" i="1"/>
  <c r="G166" i="1"/>
  <c r="E87" i="117"/>
  <c r="G64" i="24"/>
  <c r="D87" i="116"/>
  <c r="D158" i="116"/>
  <c r="C87" i="118"/>
  <c r="C158" i="118"/>
  <c r="E159" i="118"/>
  <c r="G158" i="118"/>
  <c r="G87" i="118"/>
  <c r="D166" i="1"/>
  <c r="D93" i="1"/>
  <c r="O137" i="24"/>
  <c r="O139" i="24" s="1"/>
  <c r="H154" i="116"/>
  <c r="H158" i="116"/>
  <c r="G173" i="24"/>
  <c r="O158" i="24"/>
  <c r="O173" i="24" s="1"/>
  <c r="E93" i="1"/>
  <c r="E166" i="1"/>
  <c r="G97" i="24"/>
  <c r="O95" i="24"/>
  <c r="O97" i="24" s="1"/>
  <c r="E158" i="116"/>
  <c r="E87" i="116"/>
  <c r="O49" i="24"/>
  <c r="O64" i="24" s="1"/>
  <c r="F93" i="1"/>
  <c r="C93" i="1"/>
  <c r="C166" i="1"/>
  <c r="G159" i="116"/>
  <c r="H62" i="87"/>
  <c r="H88" i="87" s="1"/>
  <c r="G88" i="87"/>
</calcChain>
</file>

<file path=xl/sharedStrings.xml><?xml version="1.0" encoding="utf-8"?>
<sst xmlns="http://schemas.openxmlformats.org/spreadsheetml/2006/main" count="5430" uniqueCount="731">
  <si>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</si>
  <si>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</si>
  <si>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</si>
  <si>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</si>
  <si>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</si>
  <si>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</si>
  <si>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</si>
  <si>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</si>
  <si>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</si>
  <si>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</si>
  <si>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</si>
  <si>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</si>
  <si>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</si>
  <si>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</si>
  <si>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</si>
  <si>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</si>
  <si>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</si>
  <si>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</si>
  <si>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</si>
  <si>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</si>
  <si>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</si>
  <si>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</si>
  <si>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</si>
  <si>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</si>
  <si>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</si>
  <si>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</si>
  <si>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</si>
  <si>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</si>
  <si>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</si>
  <si>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</si>
  <si>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</si>
  <si>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</si>
  <si>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</si>
  <si>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</si>
  <si>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</si>
  <si>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</si>
  <si>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</si>
  <si>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</si>
  <si>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</si>
  <si>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</si>
  <si>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</si>
  <si>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</si>
  <si>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</si>
  <si>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</si>
  <si>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</si>
  <si>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</si>
  <si>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</si>
  <si>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</si>
  <si>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</si>
  <si>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</si>
  <si>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</si>
  <si>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</si>
  <si>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</si>
  <si>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</si>
  <si>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</si>
  <si>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</si>
  <si>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</si>
  <si>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</si>
  <si>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</si>
  <si>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</si>
  <si>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</si>
  <si>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</si>
  <si>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</si>
  <si>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</si>
  <si>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</si>
  <si>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</si>
  <si>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</si>
  <si>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</si>
  <si>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</si>
  <si>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</si>
  <si>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</si>
  <si>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</si>
  <si>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</si>
  <si>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</si>
  <si>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</si>
  <si>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</si>
  <si>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</si>
  <si>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</si>
  <si>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</si>
  <si>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</si>
  <si>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</si>
  <si>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</si>
  <si>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</si>
  <si>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</si>
  <si>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</si>
  <si>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</si>
  <si>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</si>
  <si>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</si>
  <si>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</si>
  <si>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</si>
  <si>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</si>
  <si>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</si>
  <si>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</si>
  <si>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</si>
  <si>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</si>
  <si>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</si>
  <si>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</si>
  <si>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</si>
  <si>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</si>
  <si>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</si>
  <si>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</si>
  <si>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</si>
  <si>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</si>
  <si>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</si>
  <si>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</si>
  <si>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</si>
  <si>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</si>
  <si>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</si>
  <si>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</si>
  <si>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</si>
  <si>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</si>
  <si>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</si>
  <si>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</si>
  <si>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</si>
  <si>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</si>
  <si>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</si>
  <si>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</si>
  <si>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</si>
  <si>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</si>
  <si>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</si>
  <si>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</si>
  <si>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</si>
  <si>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</si>
  <si>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</si>
  <si>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</si>
  <si>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</si>
  <si>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</si>
  <si>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</si>
  <si>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</si>
  <si>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</si>
  <si>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</si>
  <si>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</si>
  <si>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</si>
  <si>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</si>
  <si>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</si>
  <si>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</si>
  <si>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</si>
  <si>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</si>
  <si>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</si>
  <si>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</si>
  <si>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</si>
  <si>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</si>
  <si>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</si>
  <si>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</si>
  <si>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</si>
  <si>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</si>
  <si>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</si>
  <si>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</si>
  <si>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</si>
  <si>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</si>
  <si>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</si>
  <si>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</si>
  <si>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</si>
  <si>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</si>
  <si>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</si>
  <si>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</si>
  <si>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</si>
  <si>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</si>
  <si>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</si>
  <si>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</si>
  <si>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</si>
  <si>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</si>
  <si>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</si>
  <si>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</si>
  <si>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</si>
  <si>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</si>
  <si>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</si>
  <si>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</si>
  <si>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</si>
  <si>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</si>
  <si>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</si>
  <si>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</si>
  <si>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</si>
  <si>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</si>
  <si>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</si>
  <si>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</si>
  <si>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</si>
  <si>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</si>
  <si>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</si>
  <si>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</si>
  <si>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</si>
  <si>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</si>
  <si>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</si>
  <si>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</si>
  <si>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</si>
  <si>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</si>
  <si>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</si>
  <si>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</si>
  <si>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</si>
  <si>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</si>
  <si>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</si>
  <si>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</si>
  <si>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</si>
  <si>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</si>
  <si>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</si>
  <si>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</si>
  <si>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</si>
  <si>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</si>
  <si>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</si>
  <si>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</si>
  <si>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</si>
  <si>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</si>
  <si>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</si>
  <si>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</si>
  <si>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</si>
  <si>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</si>
  <si>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</si>
  <si>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</si>
  <si>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</si>
  <si>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</si>
  <si>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</si>
  <si>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</si>
  <si>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</si>
  <si>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</si>
  <si>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</si>
  <si>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</si>
  <si>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</si>
  <si>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</si>
  <si>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</si>
  <si>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</si>
  <si>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</si>
  <si>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</si>
  <si>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</si>
  <si>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</si>
  <si>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</si>
  <si>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</si>
  <si>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</si>
  <si>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</si>
  <si>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</si>
  <si>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</si>
  <si>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</si>
  <si>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</si>
  <si>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</si>
  <si>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</si>
  <si>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</si>
  <si>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</si>
  <si>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</si>
  <si>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</si>
  <si>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</si>
  <si>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</si>
  <si>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</si>
  <si>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</si>
  <si>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</si>
  <si>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</si>
  <si>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</si>
  <si>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</si>
  <si>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</si>
  <si>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</si>
  <si>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</si>
  <si>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</si>
  <si>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</si>
  <si>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</si>
  <si>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</si>
  <si>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</si>
  <si>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</si>
  <si>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</si>
  <si>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</si>
  <si>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</si>
  <si>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</si>
  <si>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</si>
  <si>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</si>
  <si>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</si>
  <si>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</si>
  <si>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</si>
  <si>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</si>
  <si>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</si>
  <si>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</si>
  <si>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</si>
  <si>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</si>
  <si>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</si>
  <si>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</si>
  <si>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</si>
  <si>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</si>
  <si>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</si>
  <si>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</si>
  <si>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</si>
  <si>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</si>
  <si>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</si>
  <si>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</si>
  <si>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</si>
  <si>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</si>
  <si>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</si>
  <si>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</si>
  <si>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</si>
  <si>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</si>
  <si>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</si>
  <si>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</si>
  <si>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</si>
  <si>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</si>
  <si>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</si>
  <si>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</si>
  <si>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</si>
  <si>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</si>
  <si>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</si>
  <si>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</si>
  <si>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</si>
  <si>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</si>
  <si>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</si>
  <si>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</si>
  <si>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</si>
  <si>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</si>
  <si>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</si>
  <si>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</si>
  <si>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</si>
  <si>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</si>
  <si>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</si>
  <si>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</si>
  <si>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</si>
  <si>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</si>
  <si>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</si>
  <si>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</si>
  <si>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</si>
  <si>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</si>
  <si>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</si>
  <si>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</si>
  <si>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</si>
  <si>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</si>
  <si>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</si>
  <si>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</si>
  <si>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</si>
  <si>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</si>
  <si>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</si>
  <si>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</si>
  <si>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</si>
  <si>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</si>
  <si>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</si>
  <si>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</si>
  <si>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</si>
  <si>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</si>
  <si>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</si>
  <si>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</si>
  <si>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</si>
  <si>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</si>
  <si>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</si>
  <si>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</si>
  <si>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</si>
  <si>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</si>
  <si>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</si>
  <si>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</si>
  <si>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</si>
  <si>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</si>
  <si>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</si>
  <si>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</si>
  <si>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</si>
  <si>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</si>
  <si>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</si>
  <si>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</si>
  <si>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</si>
  <si>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</si>
  <si>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</si>
  <si>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</si>
  <si>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</si>
  <si>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</si>
  <si>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</si>
  <si>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</si>
  <si>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</si>
  <si>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</si>
  <si>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</si>
  <si>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</si>
  <si>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</si>
  <si>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</si>
  <si>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</si>
  <si>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</si>
  <si>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</si>
  <si>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</si>
  <si>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</si>
  <si>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</si>
  <si>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</si>
  <si>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</si>
  <si>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</si>
  <si>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</si>
  <si>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</si>
  <si>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</si>
  <si>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</si>
  <si>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</si>
  <si>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</si>
  <si>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</si>
  <si>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</si>
  <si>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</si>
  <si>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</si>
  <si>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</si>
  <si>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</si>
  <si>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</si>
  <si>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</si>
  <si>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</si>
  <si>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</si>
  <si>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</si>
  <si>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</si>
  <si>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</si>
  <si>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</si>
  <si>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</si>
  <si>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</si>
  <si>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</si>
  <si>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</si>
  <si>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</si>
  <si>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</si>
  <si>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</si>
  <si>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</si>
  <si>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</si>
  <si>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</si>
  <si>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</si>
  <si>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</si>
  <si>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</si>
  <si>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</si>
  <si>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</si>
  <si>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</si>
  <si>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</si>
  <si>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</si>
  <si>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</si>
  <si>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</si>
  <si>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</si>
  <si>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</si>
  <si>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</si>
  <si>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</si>
  <si>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</si>
  <si>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</si>
  <si>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</si>
  <si>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</si>
  <si>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</si>
  <si>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</si>
  <si>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</si>
  <si>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</si>
  <si>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</si>
  <si>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</si>
  <si>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</si>
  <si>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</si>
  <si>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</si>
  <si>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</si>
  <si>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</si>
  <si>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</si>
  <si>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</si>
  <si>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</si>
  <si>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</si>
  <si>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</si>
  <si>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</si>
  <si>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</si>
  <si>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</si>
  <si>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</si>
  <si>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</si>
  <si>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</si>
  <si>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</si>
  <si>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</si>
  <si>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</si>
  <si>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</si>
  <si>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</si>
  <si>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</si>
  <si>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</si>
  <si>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</si>
  <si>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</si>
  <si>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</si>
  <si>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</si>
  <si>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</si>
  <si>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</si>
  <si>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</si>
  <si>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</si>
  <si>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</si>
  <si>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</si>
  <si>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</si>
  <si>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</si>
  <si>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</si>
  <si>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</si>
  <si>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</si>
  <si>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</si>
  <si>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</si>
  <si>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</si>
  <si>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</si>
  <si>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</si>
  <si>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</si>
  <si>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</si>
  <si>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</si>
  <si>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</si>
  <si>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</si>
  <si>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</si>
  <si>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</si>
  <si>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</si>
  <si>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</si>
  <si>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</si>
  <si>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</si>
  <si>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</si>
  <si>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</si>
  <si>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</si>
  <si>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</si>
  <si>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</si>
  <si>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</si>
  <si>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</si>
  <si>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</si>
  <si>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</si>
  <si>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</si>
  <si>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</si>
  <si>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</si>
  <si>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</si>
  <si>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</si>
  <si>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</si>
  <si>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</si>
  <si>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</si>
  <si>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</si>
  <si>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</si>
  <si>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</si>
  <si>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</si>
  <si>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</si>
  <si>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</si>
  <si>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</si>
  <si>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</si>
  <si>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</si>
  <si>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</si>
  <si>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</si>
  <si>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</si>
  <si>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</si>
  <si>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</si>
  <si>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</si>
  <si>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</si>
  <si>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</si>
  <si>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</si>
  <si>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</si>
  <si>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</si>
  <si>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</si>
  <si>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</si>
  <si>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</si>
  <si>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</si>
  <si>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</si>
  <si>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</si>
  <si>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</si>
  <si>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</si>
  <si>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</si>
  <si>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</si>
  <si>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</si>
  <si>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</si>
  <si>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</si>
  <si>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</si>
  <si>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</si>
  <si>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</si>
  <si>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</si>
  <si>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</si>
  <si>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</si>
  <si>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</si>
  <si>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</si>
  <si>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</si>
  <si>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</si>
  <si>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</si>
  <si>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</si>
  <si>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</si>
  <si>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</si>
  <si>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</si>
  <si>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</si>
  <si>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</si>
  <si>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</si>
  <si>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</si>
  <si>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</si>
  <si>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</si>
  <si>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</si>
  <si>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</si>
  <si>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</si>
  <si>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</si>
  <si>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</si>
  <si>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</si>
  <si>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</si>
  <si>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</si>
  <si>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</si>
  <si>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</si>
  <si>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</si>
  <si>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</si>
  <si>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Sportkör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</si>
  <si>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</si>
  <si>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</si>
  <si>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</si>
  <si>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</si>
  <si>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Tartalék</t>
  </si>
  <si>
    <t>Függő, átfutó, kiegyenlítő bevételek</t>
  </si>
  <si>
    <t>Függő, átfutó, kiegyenlítő kiadások</t>
  </si>
  <si>
    <t>Helyi adók</t>
  </si>
  <si>
    <t>Díjak, pótlékok, bírságok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</si>
  <si>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</si>
  <si>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</si>
  <si>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</si>
  <si>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</si>
  <si>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</si>
  <si>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</si>
  <si>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</si>
  <si>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</si>
  <si>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</si>
  <si>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</si>
  <si>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</si>
  <si>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</si>
  <si>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</si>
  <si>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</si>
  <si>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</si>
  <si>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Gyermekétkeztetés dolgozói bértámogatása</t>
  </si>
  <si>
    <t>Gyermekétkeztetés üzemeltetési támogatása</t>
  </si>
  <si>
    <t>Üdülőhelyi feladatok</t>
  </si>
  <si>
    <t>Prémium Éves program támogatás</t>
  </si>
  <si>
    <t>Bérkompenzáció</t>
  </si>
  <si>
    <t>Lakossági víz-csatorna támogatása</t>
  </si>
  <si>
    <t>Központi, irányítószervi támogatás</t>
  </si>
  <si>
    <t>Medicopter Alapítvány</t>
  </si>
  <si>
    <t>Vonyarcvashegyi Kézilabda Utánpótlás Szakosztály</t>
  </si>
  <si>
    <t>működési költségek</t>
  </si>
  <si>
    <t>Lakossági közműfejlesztési támogatás</t>
  </si>
  <si>
    <t>Egyéb áruhasználati és szolgáltatási adók (idegenforgalmi adó)</t>
  </si>
  <si>
    <t>Egyéb közhatalmi bevételek (pótlék, bírság)</t>
  </si>
  <si>
    <t>ÁHT-on belüli megelőlegezések visszafizetése</t>
  </si>
  <si>
    <t>BEVÉTELEK</t>
  </si>
  <si>
    <t>ezer forint</t>
  </si>
  <si>
    <t>2016. évi előirányzat (2016.01)</t>
  </si>
  <si>
    <t>2017. évi</t>
  </si>
  <si>
    <t>2018. évi</t>
  </si>
  <si>
    <t>2019. évi</t>
  </si>
  <si>
    <t>e Ft</t>
  </si>
  <si>
    <t>Támogatás összege (2016.01)</t>
  </si>
  <si>
    <t>Sorszám</t>
  </si>
  <si>
    <t>Len-Ki Baba Kft</t>
  </si>
  <si>
    <t>Római Katolikus Egyházközség</t>
  </si>
  <si>
    <t>Általános Iskola Alapítványa</t>
  </si>
  <si>
    <t xml:space="preserve">Sportegyesület </t>
  </si>
  <si>
    <t xml:space="preserve">K I M U T A T Á S </t>
  </si>
  <si>
    <t>a 2016. évben céljelleggel juttatott támogatásokról</t>
  </si>
  <si>
    <t>Ft</t>
  </si>
  <si>
    <t>személyes szabadság korlátozása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</si>
  <si>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</si>
  <si>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</si>
  <si>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</si>
  <si>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</si>
  <si>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</si>
  <si>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</si>
  <si>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2016. évi támogatás (2016.01)</t>
  </si>
  <si>
    <t>Előirányzat-felhasználási terv 2016. évre</t>
  </si>
  <si>
    <t>(2016.01)</t>
  </si>
  <si>
    <t>Működési célú támogatások</t>
  </si>
  <si>
    <t>2014. évi tény</t>
  </si>
  <si>
    <t>2015. évi várható</t>
  </si>
  <si>
    <t>Vonyarcvashegy, 2016. .......................... hó .....nap</t>
  </si>
  <si>
    <t>2016.</t>
  </si>
  <si>
    <t>2017.</t>
  </si>
  <si>
    <t>2017. után</t>
  </si>
  <si>
    <t>Önkormányzaton kívüli EU-s projektekhez történő hozzájárulás 2016. évi előirányzat</t>
  </si>
  <si>
    <t>Felhasználás 2015.12.31-ig</t>
  </si>
  <si>
    <t>2016. év utáni szükséglet</t>
  </si>
  <si>
    <t>Vonyarcvashegy Nagyközség Önkormányzata  2016. évi adósságot keletkeztető fejlesztési céljai</t>
  </si>
  <si>
    <t>2018.</t>
  </si>
  <si>
    <t>Eredeti előirányzat (2016.01)</t>
  </si>
  <si>
    <t>Kossuth L. u. járda</t>
  </si>
  <si>
    <t>2015-2016</t>
  </si>
  <si>
    <t>Közös Hivatal épületének gépészeti felújítása (adósságkonszolidáció)</t>
  </si>
  <si>
    <t>Temetői kőkeresztek felújítása</t>
  </si>
  <si>
    <t>2016-2016</t>
  </si>
  <si>
    <t>e  Ft</t>
  </si>
  <si>
    <t>Kisértékű és tárgyi eszköz beszerzés (konyha)</t>
  </si>
  <si>
    <t>Digitális mázsa (konyha)</t>
  </si>
  <si>
    <t>Fénymásológép (konyha)</t>
  </si>
  <si>
    <t>Kisértékű és tárgyi eszköz beszerzés (iskola)</t>
  </si>
  <si>
    <t>Padok beszerzése (iskola)</t>
  </si>
  <si>
    <t>Kisértékű és tárgyi eszköz beszerzés - informatikai eszköz (polgárm)</t>
  </si>
  <si>
    <t>Kisértékű és tárgyi eszköz beszerzés - gép, berendezés (polgárm)</t>
  </si>
  <si>
    <t>Arany János utcai ivóvízhálózat tervezése (város- és községgazdálkodás)</t>
  </si>
  <si>
    <t>MÁV kerítés építés (város- és községgazdálkodás)</t>
  </si>
  <si>
    <t>Óvoda épületének tetőtér beépítése (adósságkonszolidáció) (város- és községgazdálkodás)</t>
  </si>
  <si>
    <t>Rendezési terv (város- és községgazdálkodás)</t>
  </si>
  <si>
    <t>Ingatlan-nyilvántartási térkép (város- és községgazdálkodás)</t>
  </si>
  <si>
    <t>Településfejlesztési koncepció (adósságkonszolidáció) (város- és községgazdálkodás)</t>
  </si>
  <si>
    <t>Informatikai eszköz (laptop-főépítész)(város- és községgazdálkodás)</t>
  </si>
  <si>
    <t>Kisértékű és tárgyi eszközök (város- és községgazdálkodás)</t>
  </si>
  <si>
    <t>Tolólap (város- és községgazdálkodás)</t>
  </si>
  <si>
    <t>Pótkocsi (város- és községgazdálkodás)</t>
  </si>
  <si>
    <t>Kisértékű és tárgyi eszközök (háziorvos)</t>
  </si>
  <si>
    <t>Kisértékű és tárgyi eszközök (gyermekorvos)</t>
  </si>
  <si>
    <t>Kisértékű és tárgyi eszközök (védőnő)</t>
  </si>
  <si>
    <t>Viziközmű kiépítése, gazdasági bejárattól K-re (strand)</t>
  </si>
  <si>
    <t>Napvitorla (strand)</t>
  </si>
  <si>
    <t>Kalózhajó (strand)</t>
  </si>
  <si>
    <t>Magasles (strand)</t>
  </si>
  <si>
    <t>Játszótér melletti padok (1.pénztár) (strand)</t>
  </si>
  <si>
    <t>Szemétgyűjtő (strand)</t>
  </si>
  <si>
    <t>Templom körüli térkő kialakítása (temető)</t>
  </si>
  <si>
    <t>Temetői urnasír vásárlása (temető)</t>
  </si>
  <si>
    <t>Arany János utcai járda építése (905/1 Hrsz) (adósságkonszolidáció) (út)</t>
  </si>
  <si>
    <t>Vashegyi gyalogos járda és rézsü megerősítése (út)</t>
  </si>
  <si>
    <t>Csapadékvíz elvezető rendszer kiépítésének tervezése (út)</t>
  </si>
  <si>
    <t>- Vagyoni típusú adók (építményadó)</t>
  </si>
  <si>
    <t>Vashegy utcai ivóvízhálózat (tűzcsap) (közösségi tér)</t>
  </si>
  <si>
    <t>Bérkompenzáció (2015. év)</t>
  </si>
  <si>
    <t>Éves eredeti kiadási előirányzat: 663.399 ezer Ft</t>
  </si>
  <si>
    <t>Fő u. járda térkövezése</t>
  </si>
  <si>
    <t>Módosított előirányzat (2016.05)</t>
  </si>
  <si>
    <t>11749039-15432436</t>
  </si>
  <si>
    <t>(2016.05)</t>
  </si>
  <si>
    <t>2016. évi támogatás (2016.05)</t>
  </si>
  <si>
    <t>Támogatás összege (2016.05)</t>
  </si>
  <si>
    <t>Egyéb kulturális támogatás (könyvtári érdekeltségnövelő támogatás)</t>
  </si>
  <si>
    <t>Polgári Védelmi Szövetség Zala Megyei Szervezete</t>
  </si>
  <si>
    <t>Katasztrófavédelmi Ifjúsági Verseny költségei</t>
  </si>
  <si>
    <t>felhalmozási kiadások (Magyar Kézilabda Szövetséghez pályázati önrész)</t>
  </si>
  <si>
    <t>felhalmozási kiadások (NKA pályázati önrész)</t>
  </si>
  <si>
    <t>felhalmozási kiadások (Magyar Labdarúgó Szövetséghez pályázati önrész)</t>
  </si>
  <si>
    <t>O17/4 Hrsz ingatlan kisajátítása (kártalanítás)</t>
  </si>
  <si>
    <t>Szerver számítógép (Közös Hivatal)</t>
  </si>
  <si>
    <t>Vajda János Öregdiákok Egyesülete</t>
  </si>
  <si>
    <t>15 vonyarcvashegyi tanuló támogatása</t>
  </si>
  <si>
    <t>Támogatás összege (2016.09)</t>
  </si>
  <si>
    <t>(2016.09)</t>
  </si>
  <si>
    <t>2016. évi támogatás (2016.09)</t>
  </si>
  <si>
    <t>Módosított előirányzat (2016.09)</t>
  </si>
  <si>
    <t>Forint</t>
  </si>
  <si>
    <t>Működési célú költségvetési és kiegészítő támogatások</t>
  </si>
  <si>
    <t>Hálózati csatlakozás (E.ON) (Vonyarcvashegy, Kossuth L. u. 913/3 Hrsz, 1290/3 Hrsz)</t>
  </si>
  <si>
    <t>Strandigazolvány Nyilvántartó adatfelvivő szoftver</t>
  </si>
  <si>
    <t>Egyéb gép, berendezés (széf, klíma, szivattyú, óra, napernyő, hűtő) (strand)</t>
  </si>
  <si>
    <t>működési költségek (TDM pályázathoz önrész)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</si>
  <si>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</si>
  <si>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Támogatás összege (2016.11)</t>
  </si>
  <si>
    <t>2016. évi támogatás (2016.11)</t>
  </si>
  <si>
    <t>(2016.11)</t>
  </si>
  <si>
    <t>Módosított előirányzat (2016.11)</t>
  </si>
  <si>
    <t>9.1.3. melléklet a ……/2016.() önkormányzati rendelethez</t>
  </si>
  <si>
    <t>9.1.2. melléklet a ……/2016.() önkormányzati rendelethez</t>
  </si>
  <si>
    <t>9.1.1. melléklet a ……/2016.() önkormányzati rendelethez</t>
  </si>
  <si>
    <t>9.1. melléklet a ……/2016.() önkormányzati rendelethez</t>
  </si>
  <si>
    <t>2.2. melléklet a …./2016.() önkormányzati rendelethez</t>
  </si>
  <si>
    <t>2.1. melléklet a …./2016.() önkormányzati rendelethez</t>
  </si>
  <si>
    <t>Felső-Tisza Vidéki Többcélú Kistérségi Társulás</t>
  </si>
  <si>
    <t>jégkár</t>
  </si>
  <si>
    <t>Eszközök (ASP)</t>
  </si>
  <si>
    <t>Támogatás összege (2016.12)</t>
  </si>
  <si>
    <t>2016. évi támogatás (2016.12)</t>
  </si>
  <si>
    <t>(2016.12)</t>
  </si>
  <si>
    <t>Módosított előirányzat (2016.12)</t>
  </si>
  <si>
    <t>Fő u. 7-27, Vashegy (1400/3, 1482/2 Hrsz) járdaburkolat felújítása</t>
  </si>
  <si>
    <t>Strandi sétány (911/14 Hrsz) járdaburkolat felújítása</t>
  </si>
  <si>
    <t>Fő u.. 82-84/1 (1400/16 Hrsz) járdaburkolat felújítása</t>
  </si>
  <si>
    <t>Fő u. 50-62/2 (185/6 Hrsz) járdaburkolat felújítása</t>
  </si>
  <si>
    <t>Kandelláber (2 db)</t>
  </si>
  <si>
    <r>
      <t xml:space="preserve">   Működési költségvetés kiadásai </t>
    </r>
    <r>
      <rPr>
        <sz val="12"/>
        <rFont val="Times New Roman CE"/>
        <charset val="238"/>
      </rPr>
      <t>(1.1+…+1.5.+1.18.)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</si>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</sst>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2"/>
      <name val="Times New Roman CE"/>
      <charset val="238"/>
    </font>
    <font>
      <i/>
      <sz val="9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</font>
    <font>
      <i/>
      <sz val="12"/>
      <name val="Times New Roman CE"/>
      <charset val="238"/>
    </font>
    <font>
      <b/>
      <sz val="12"/>
      <name val="Arial"/>
      <family val="2"/>
      <charset val="238"/>
    </font>
    <font>
      <b/>
      <sz val="10"/>
      <name val="Times New Roman CE"/>
      <charset val="238"/>
    </font>
    <font>
      <b/>
      <i/>
      <sz val="12"/>
      <name val="Arial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4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6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0" xfId="0" applyFont="1" applyFill="1" applyBorder="1" applyAlignment="1" applyProtection="1">
      <alignment vertical="center" wrapTex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2" xfId="5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 applyProtection="1">
      <alignment horizontal="right"/>
    </xf>
    <xf numFmtId="164" fontId="34" fillId="0" borderId="24" xfId="4" applyNumberFormat="1" applyFont="1" applyFill="1" applyBorder="1" applyAlignment="1" applyProtection="1">
      <alignment horizontal="left" vertical="center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0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165" fontId="15" fillId="0" borderId="18" xfId="1" applyNumberFormat="1" applyFont="1" applyFill="1" applyBorder="1"/>
    <xf numFmtId="165" fontId="15" fillId="0" borderId="19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25" xfId="4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30" fillId="0" borderId="26" xfId="0" applyFont="1" applyFill="1" applyBorder="1" applyAlignment="1" applyProtection="1">
      <alignment vertical="center" wrapText="1"/>
    </xf>
    <xf numFmtId="164" fontId="28" fillId="0" borderId="26" xfId="0" applyNumberFormat="1" applyFont="1" applyFill="1" applyBorder="1" applyAlignment="1" applyProtection="1">
      <alignment vertical="center" wrapText="1"/>
    </xf>
    <xf numFmtId="164" fontId="28" fillId="0" borderId="27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8" xfId="0" applyNumberFormat="1" applyFont="1" applyFill="1" applyBorder="1" applyAlignment="1" applyProtection="1">
      <alignment vertical="center"/>
    </xf>
    <xf numFmtId="49" fontId="32" fillId="0" borderId="8" xfId="0" quotePrefix="1" applyNumberFormat="1" applyFont="1" applyFill="1" applyBorder="1" applyAlignment="1" applyProtection="1">
      <alignment horizontal="left" vertical="center" indent="1"/>
    </xf>
    <xf numFmtId="3" fontId="32" fillId="0" borderId="19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19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4" xfId="0" applyFont="1" applyFill="1" applyBorder="1" applyAlignment="1" applyProtection="1">
      <alignment vertical="center" wrapText="1"/>
    </xf>
    <xf numFmtId="0" fontId="39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18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19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35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0" fillId="0" borderId="36" xfId="0" applyFill="1" applyBorder="1" applyProtection="1"/>
    <xf numFmtId="0" fontId="6" fillId="0" borderId="36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9" xfId="0" applyNumberFormat="1" applyFont="1" applyFill="1" applyBorder="1" applyAlignment="1" applyProtection="1">
      <alignment horizontal="left" vertical="center" wrapText="1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40" xfId="0" applyFont="1" applyBorder="1" applyAlignment="1" applyProtection="1">
      <alignment horizontal="left" vertical="center" wrapText="1" indent="1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5" fontId="29" fillId="0" borderId="42" xfId="1" applyNumberFormat="1" applyFont="1" applyFill="1" applyBorder="1" applyProtection="1">
      <protection locked="0"/>
    </xf>
    <xf numFmtId="165" fontId="29" fillId="0" borderId="37" xfId="1" applyNumberFormat="1" applyFont="1" applyFill="1" applyBorder="1" applyProtection="1">
      <protection locked="0"/>
    </xf>
    <xf numFmtId="165" fontId="29" fillId="0" borderId="38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28" xfId="0" quotePrefix="1" applyFont="1" applyFill="1" applyBorder="1" applyAlignment="1" applyProtection="1">
      <alignment horizontal="right" vertical="center" indent="1"/>
    </xf>
    <xf numFmtId="0" fontId="8" fillId="0" borderId="22" xfId="0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</xf>
    <xf numFmtId="0" fontId="7" fillId="0" borderId="43" xfId="4" applyFont="1" applyFill="1" applyBorder="1" applyAlignment="1" applyProtection="1">
      <alignment horizontal="center" vertical="center" wrapText="1"/>
    </xf>
    <xf numFmtId="0" fontId="7" fillId="0" borderId="43" xfId="4" applyFont="1" applyFill="1" applyBorder="1" applyAlignment="1" applyProtection="1">
      <alignment vertical="center" wrapText="1"/>
    </xf>
    <xf numFmtId="164" fontId="7" fillId="0" borderId="43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0" xfId="0" applyFont="1" applyBorder="1" applyAlignment="1">
      <alignment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34" xfId="4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2" xfId="4" applyFont="1" applyFill="1" applyBorder="1" applyAlignment="1" applyProtection="1">
      <alignment horizontal="center" vertical="center" wrapText="1"/>
    </xf>
    <xf numFmtId="164" fontId="22" fillId="0" borderId="18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22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6" xfId="0" applyFont="1" applyBorder="1" applyAlignment="1" applyProtection="1">
      <alignment wrapText="1"/>
    </xf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40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25" xfId="4" applyFont="1" applyFill="1" applyBorder="1" applyAlignment="1" applyProtection="1">
      <alignment horizontal="center" vertical="center" wrapText="1"/>
    </xf>
    <xf numFmtId="164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40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20" fillId="0" borderId="40" xfId="4" applyFont="1" applyFill="1" applyBorder="1" applyAlignment="1" applyProtection="1">
      <alignment horizontal="left" vertical="center" wrapText="1" indent="1"/>
    </xf>
    <xf numFmtId="0" fontId="20" fillId="0" borderId="26" xfId="4" applyFont="1" applyFill="1" applyBorder="1" applyAlignment="1" applyProtection="1">
      <alignment vertical="center" wrapText="1"/>
    </xf>
    <xf numFmtId="164" fontId="20" fillId="0" borderId="27" xfId="4" applyNumberFormat="1" applyFont="1" applyFill="1" applyBorder="1" applyAlignment="1" applyProtection="1">
      <alignment horizontal="right" vertical="center" wrapText="1" indent="1"/>
    </xf>
    <xf numFmtId="0" fontId="22" fillId="0" borderId="20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46" xfId="4" applyFont="1" applyFill="1" applyBorder="1" applyAlignment="1" applyProtection="1">
      <alignment horizontal="center" vertical="center" wrapText="1"/>
    </xf>
    <xf numFmtId="0" fontId="28" fillId="0" borderId="26" xfId="4" applyFont="1" applyFill="1" applyBorder="1" applyAlignment="1" applyProtection="1">
      <alignment vertical="center" wrapText="1"/>
    </xf>
    <xf numFmtId="164" fontId="28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43" xfId="4" applyFont="1" applyFill="1" applyBorder="1" applyAlignment="1" applyProtection="1">
      <alignment horizontal="right" vertical="center" wrapText="1" indent="1"/>
    </xf>
    <xf numFmtId="164" fontId="29" fillId="0" borderId="4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8" fillId="0" borderId="26" xfId="4" applyFont="1" applyFill="1" applyBorder="1" applyAlignment="1" applyProtection="1">
      <alignment horizontal="left" vertical="center" wrapText="1" indent="1"/>
    </xf>
    <xf numFmtId="0" fontId="24" fillId="0" borderId="0" xfId="5" applyFont="1" applyFill="1" applyAlignment="1" applyProtection="1">
      <alignment horizontal="center" wrapText="1"/>
    </xf>
    <xf numFmtId="0" fontId="41" fillId="0" borderId="0" xfId="0" applyFont="1" applyAlignment="1" applyProtection="1">
      <alignment horizontal="right" vertical="top"/>
      <protection locked="0"/>
    </xf>
    <xf numFmtId="0" fontId="12" fillId="0" borderId="0" xfId="0" applyFont="1"/>
    <xf numFmtId="0" fontId="12" fillId="0" borderId="0" xfId="0" applyFont="1" applyProtection="1"/>
    <xf numFmtId="0" fontId="24" fillId="0" borderId="16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right" vertical="center" indent="1"/>
    </xf>
    <xf numFmtId="0" fontId="12" fillId="0" borderId="4" xfId="0" applyFont="1" applyBorder="1" applyAlignment="1" applyProtection="1">
      <alignment horizontal="left" vertical="center" indent="1"/>
      <protection locked="0"/>
    </xf>
    <xf numFmtId="3" fontId="12" fillId="0" borderId="28" xfId="0" applyNumberFormat="1" applyFont="1" applyBorder="1" applyAlignment="1" applyProtection="1">
      <alignment horizontal="righ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3" fontId="12" fillId="0" borderId="19" xfId="0" applyNumberFormat="1" applyFont="1" applyBorder="1" applyAlignment="1" applyProtection="1">
      <alignment horizontal="right" vertical="center" inden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24" fillId="0" borderId="32" xfId="0" applyFont="1" applyBorder="1" applyAlignment="1" applyProtection="1">
      <alignment vertical="center"/>
    </xf>
    <xf numFmtId="3" fontId="40" fillId="0" borderId="34" xfId="0" applyNumberFormat="1" applyFont="1" applyBorder="1" applyAlignment="1">
      <alignment vertical="center"/>
    </xf>
    <xf numFmtId="0" fontId="43" fillId="0" borderId="0" xfId="0" applyFont="1" applyFill="1" applyBorder="1" applyAlignment="1" applyProtection="1">
      <alignment horizontal="right"/>
    </xf>
    <xf numFmtId="0" fontId="12" fillId="0" borderId="0" xfId="0" applyFont="1" applyFill="1" applyBorder="1"/>
    <xf numFmtId="0" fontId="1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0" fontId="45" fillId="0" borderId="0" xfId="0" applyFont="1" applyFill="1" applyBorder="1" applyAlignment="1">
      <alignment vertic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164" fontId="46" fillId="0" borderId="2" xfId="0" applyNumberFormat="1" applyFont="1" applyFill="1" applyBorder="1" applyAlignment="1" applyProtection="1">
      <alignment horizontal="right" vertical="center" wrapText="1"/>
    </xf>
    <xf numFmtId="0" fontId="42" fillId="0" borderId="2" xfId="0" applyFont="1" applyFill="1" applyBorder="1" applyAlignment="1" applyProtection="1">
      <alignment horizontal="left" vertical="center" wrapText="1"/>
      <protection locked="0"/>
    </xf>
    <xf numFmtId="164" fontId="4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2" xfId="0" applyFont="1" applyFill="1" applyBorder="1" applyAlignment="1" applyProtection="1">
      <alignment horizontal="right" vertical="center" wrapText="1"/>
      <protection locked="0"/>
    </xf>
    <xf numFmtId="3" fontId="4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2" xfId="0" applyFont="1" applyFill="1" applyBorder="1" applyAlignment="1" applyProtection="1">
      <alignment horizontal="center" vertical="center" wrapText="1"/>
      <protection locked="0"/>
    </xf>
    <xf numFmtId="164" fontId="4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42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2" fillId="0" borderId="2" xfId="0" applyNumberFormat="1" applyFont="1" applyFill="1" applyBorder="1"/>
    <xf numFmtId="0" fontId="42" fillId="0" borderId="2" xfId="0" applyFont="1" applyFill="1" applyBorder="1" applyAlignment="1" applyProtection="1">
      <alignment vertical="center" wrapText="1"/>
      <protection locked="0"/>
    </xf>
    <xf numFmtId="164" fontId="42" fillId="0" borderId="2" xfId="0" applyNumberFormat="1" applyFont="1" applyFill="1" applyBorder="1" applyAlignment="1" applyProtection="1">
      <alignment vertical="center" wrapText="1"/>
      <protection locked="0"/>
    </xf>
    <xf numFmtId="3" fontId="4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46" fillId="0" borderId="2" xfId="0" applyFont="1" applyFill="1" applyBorder="1" applyAlignment="1" applyProtection="1">
      <alignment vertical="center" wrapText="1"/>
    </xf>
    <xf numFmtId="0" fontId="12" fillId="0" borderId="0" xfId="5" applyFont="1" applyFill="1" applyProtection="1">
      <protection locked="0"/>
    </xf>
    <xf numFmtId="0" fontId="12" fillId="0" borderId="0" xfId="5" applyFont="1" applyFill="1" applyProtection="1"/>
    <xf numFmtId="0" fontId="31" fillId="0" borderId="0" xfId="0" applyFont="1" applyFill="1" applyAlignment="1">
      <alignment horizontal="right"/>
    </xf>
    <xf numFmtId="0" fontId="28" fillId="0" borderId="13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vertical="center"/>
    </xf>
    <xf numFmtId="0" fontId="29" fillId="0" borderId="11" xfId="5" applyFont="1" applyFill="1" applyBorder="1" applyAlignment="1" applyProtection="1">
      <alignment horizontal="left" vertical="center" indent="1"/>
    </xf>
    <xf numFmtId="0" fontId="29" fillId="0" borderId="1" xfId="5" applyFont="1" applyFill="1" applyBorder="1" applyAlignment="1" applyProtection="1">
      <alignment horizontal="left" vertical="center" wrapText="1" indent="1"/>
    </xf>
    <xf numFmtId="164" fontId="29" fillId="0" borderId="1" xfId="5" applyNumberFormat="1" applyFont="1" applyFill="1" applyBorder="1" applyAlignment="1" applyProtection="1">
      <alignment vertical="center"/>
      <protection locked="0"/>
    </xf>
    <xf numFmtId="0" fontId="12" fillId="0" borderId="0" xfId="5" applyFont="1" applyFill="1" applyAlignment="1" applyProtection="1">
      <alignment vertical="center"/>
    </xf>
    <xf numFmtId="0" fontId="29" fillId="0" borderId="8" xfId="5" applyFont="1" applyFill="1" applyBorder="1" applyAlignment="1" applyProtection="1">
      <alignment horizontal="left" vertical="center" indent="1"/>
    </xf>
    <xf numFmtId="0" fontId="29" fillId="0" borderId="2" xfId="5" applyFont="1" applyFill="1" applyBorder="1" applyAlignment="1" applyProtection="1">
      <alignment horizontal="left" vertical="center" wrapText="1" indent="1"/>
    </xf>
    <xf numFmtId="164" fontId="29" fillId="0" borderId="2" xfId="5" applyNumberFormat="1" applyFont="1" applyFill="1" applyBorder="1" applyAlignment="1" applyProtection="1">
      <alignment vertical="center"/>
      <protection locked="0"/>
    </xf>
    <xf numFmtId="0" fontId="12" fillId="0" borderId="0" xfId="5" applyFont="1" applyFill="1" applyAlignment="1" applyProtection="1">
      <alignment vertical="center"/>
      <protection locked="0"/>
    </xf>
    <xf numFmtId="0" fontId="29" fillId="0" borderId="3" xfId="5" applyFont="1" applyFill="1" applyBorder="1" applyAlignment="1" applyProtection="1">
      <alignment horizontal="left" vertical="center" wrapText="1" indent="1"/>
    </xf>
    <xf numFmtId="164" fontId="29" fillId="0" borderId="3" xfId="5" applyNumberFormat="1" applyFont="1" applyFill="1" applyBorder="1" applyAlignment="1" applyProtection="1">
      <alignment vertical="center"/>
      <protection locked="0"/>
    </xf>
    <xf numFmtId="0" fontId="29" fillId="0" borderId="2" xfId="5" applyFont="1" applyFill="1" applyBorder="1" applyAlignment="1" applyProtection="1">
      <alignment horizontal="left" vertical="center" indent="1"/>
    </xf>
    <xf numFmtId="0" fontId="29" fillId="0" borderId="12" xfId="5" applyFont="1" applyFill="1" applyBorder="1" applyAlignment="1" applyProtection="1">
      <alignment horizontal="left" vertical="center" indent="1"/>
    </xf>
    <xf numFmtId="0" fontId="29" fillId="0" borderId="13" xfId="5" applyFont="1" applyFill="1" applyBorder="1" applyAlignment="1" applyProtection="1">
      <alignment horizontal="left" vertical="center" indent="1"/>
    </xf>
    <xf numFmtId="0" fontId="30" fillId="0" borderId="14" xfId="5" applyFont="1" applyFill="1" applyBorder="1" applyAlignment="1" applyProtection="1">
      <alignment horizontal="left" vertical="center" indent="1"/>
    </xf>
    <xf numFmtId="164" fontId="28" fillId="0" borderId="14" xfId="5" applyNumberFormat="1" applyFont="1" applyFill="1" applyBorder="1" applyAlignment="1" applyProtection="1">
      <alignment vertical="center"/>
    </xf>
    <xf numFmtId="164" fontId="28" fillId="0" borderId="17" xfId="5" applyNumberFormat="1" applyFont="1" applyFill="1" applyBorder="1" applyAlignment="1" applyProtection="1">
      <alignment vertical="center"/>
    </xf>
    <xf numFmtId="0" fontId="29" fillId="0" borderId="33" xfId="5" applyFont="1" applyFill="1" applyBorder="1" applyAlignment="1" applyProtection="1">
      <alignment horizontal="left" vertical="center" indent="1"/>
    </xf>
    <xf numFmtId="0" fontId="30" fillId="0" borderId="33" xfId="5" applyFont="1" applyFill="1" applyBorder="1" applyAlignment="1" applyProtection="1">
      <alignment horizontal="left" vertical="center" indent="1"/>
    </xf>
    <xf numFmtId="164" fontId="28" fillId="0" borderId="33" xfId="5" applyNumberFormat="1" applyFont="1" applyFill="1" applyBorder="1" applyAlignment="1" applyProtection="1">
      <alignment vertical="center"/>
    </xf>
    <xf numFmtId="0" fontId="29" fillId="0" borderId="9" xfId="5" applyFont="1" applyFill="1" applyBorder="1" applyAlignment="1" applyProtection="1">
      <alignment horizontal="left" vertical="center" indent="1"/>
    </xf>
    <xf numFmtId="0" fontId="29" fillId="0" borderId="3" xfId="5" applyFont="1" applyFill="1" applyBorder="1" applyAlignment="1" applyProtection="1">
      <alignment horizontal="left" vertical="center" indent="1"/>
    </xf>
    <xf numFmtId="0" fontId="29" fillId="0" borderId="47" xfId="5" applyFont="1" applyFill="1" applyBorder="1" applyAlignment="1" applyProtection="1">
      <alignment horizontal="left" vertical="center" indent="1"/>
    </xf>
    <xf numFmtId="164" fontId="28" fillId="0" borderId="41" xfId="5" applyNumberFormat="1" applyFont="1" applyFill="1" applyBorder="1" applyAlignment="1" applyProtection="1">
      <alignment vertical="center"/>
    </xf>
    <xf numFmtId="164" fontId="28" fillId="0" borderId="19" xfId="5" applyNumberFormat="1" applyFont="1" applyFill="1" applyBorder="1" applyAlignment="1" applyProtection="1">
      <alignment vertical="center"/>
    </xf>
    <xf numFmtId="164" fontId="28" fillId="0" borderId="18" xfId="5" applyNumberFormat="1" applyFont="1" applyFill="1" applyBorder="1" applyAlignment="1" applyProtection="1">
      <alignment vertical="center"/>
    </xf>
    <xf numFmtId="0" fontId="24" fillId="0" borderId="0" xfId="5" applyFont="1" applyFill="1" applyProtection="1"/>
    <xf numFmtId="0" fontId="17" fillId="0" borderId="0" xfId="0" applyFont="1" applyFill="1" applyAlignment="1">
      <alignment vertical="center" wrapText="1"/>
    </xf>
    <xf numFmtId="164" fontId="31" fillId="0" borderId="0" xfId="0" applyNumberFormat="1" applyFont="1" applyFill="1" applyAlignment="1" applyProtection="1">
      <alignment horizontal="right"/>
    </xf>
    <xf numFmtId="164" fontId="33" fillId="0" borderId="0" xfId="0" applyNumberFormat="1" applyFont="1" applyFill="1" applyAlignment="1" applyProtection="1">
      <alignment vertical="center"/>
    </xf>
    <xf numFmtId="164" fontId="30" fillId="0" borderId="48" xfId="0" applyNumberFormat="1" applyFont="1" applyFill="1" applyBorder="1" applyAlignment="1" applyProtection="1">
      <alignment horizontal="center" vertical="center"/>
    </xf>
    <xf numFmtId="164" fontId="30" fillId="0" borderId="21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vertical="center"/>
    </xf>
    <xf numFmtId="164" fontId="28" fillId="0" borderId="32" xfId="0" applyNumberFormat="1" applyFont="1" applyFill="1" applyBorder="1" applyAlignment="1" applyProtection="1">
      <alignment horizontal="center" vertical="center" wrapText="1"/>
    </xf>
    <xf numFmtId="164" fontId="28" fillId="0" borderId="49" xfId="0" applyNumberFormat="1" applyFont="1" applyFill="1" applyBorder="1" applyAlignment="1" applyProtection="1">
      <alignment horizontal="center" vertical="center" wrapText="1"/>
    </xf>
    <xf numFmtId="164" fontId="28" fillId="0" borderId="50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9" xfId="0" applyNumberFormat="1" applyFont="1" applyFill="1" applyBorder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 wrapText="1"/>
    </xf>
    <xf numFmtId="164" fontId="29" fillId="0" borderId="17" xfId="0" applyNumberFormat="1" applyFont="1" applyFill="1" applyBorder="1" applyAlignment="1" applyProtection="1">
      <alignment vertical="center" wrapText="1"/>
    </xf>
    <xf numFmtId="164" fontId="28" fillId="0" borderId="8" xfId="0" applyNumberFormat="1" applyFont="1" applyFill="1" applyBorder="1" applyAlignment="1" applyProtection="1">
      <alignment horizontal="center" vertical="center" wrapText="1"/>
    </xf>
    <xf numFmtId="164" fontId="29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51" xfId="0" applyNumberFormat="1" applyFont="1" applyFill="1" applyBorder="1" applyAlignment="1" applyProtection="1">
      <alignment vertical="center" wrapText="1"/>
      <protection locked="0"/>
    </xf>
    <xf numFmtId="164" fontId="29" fillId="0" borderId="8" xfId="0" applyNumberFormat="1" applyFont="1" applyFill="1" applyBorder="1" applyAlignment="1" applyProtection="1">
      <alignment vertical="center" wrapText="1"/>
      <protection locked="0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164" fontId="29" fillId="0" borderId="19" xfId="0" applyNumberFormat="1" applyFont="1" applyFill="1" applyBorder="1" applyAlignment="1" applyProtection="1">
      <alignment vertical="center" wrapText="1"/>
      <protection locked="0"/>
    </xf>
    <xf numFmtId="164" fontId="29" fillId="0" borderId="51" xfId="0" applyNumberFormat="1" applyFont="1" applyFill="1" applyBorder="1" applyAlignment="1" applyProtection="1">
      <alignment vertical="center" wrapText="1"/>
    </xf>
    <xf numFmtId="164" fontId="28" fillId="0" borderId="10" xfId="0" applyNumberFormat="1" applyFont="1" applyFill="1" applyBorder="1" applyAlignment="1" applyProtection="1">
      <alignment horizontal="center" vertical="center" wrapText="1"/>
    </xf>
    <xf numFmtId="164" fontId="29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52" xfId="0" applyNumberFormat="1" applyFont="1" applyFill="1" applyBorder="1" applyAlignment="1" applyProtection="1">
      <alignment vertical="center" wrapText="1"/>
      <protection locked="0"/>
    </xf>
    <xf numFmtId="164" fontId="29" fillId="0" borderId="10" xfId="0" applyNumberFormat="1" applyFont="1" applyFill="1" applyBorder="1" applyAlignment="1" applyProtection="1">
      <alignment vertical="center" wrapText="1"/>
      <protection locked="0"/>
    </xf>
    <xf numFmtId="164" fontId="29" fillId="0" borderId="6" xfId="0" applyNumberFormat="1" applyFont="1" applyFill="1" applyBorder="1" applyAlignment="1" applyProtection="1">
      <alignment vertical="center" wrapText="1"/>
      <protection locked="0"/>
    </xf>
    <xf numFmtId="164" fontId="29" fillId="0" borderId="35" xfId="0" applyNumberFormat="1" applyFont="1" applyFill="1" applyBorder="1" applyAlignment="1" applyProtection="1">
      <alignment vertical="center" wrapText="1"/>
      <protection locked="0"/>
    </xf>
    <xf numFmtId="164" fontId="29" fillId="0" borderId="52" xfId="0" applyNumberFormat="1" applyFont="1" applyFill="1" applyBorder="1" applyAlignment="1" applyProtection="1">
      <alignment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9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50" xfId="0" applyNumberFormat="1" applyFont="1" applyFill="1" applyBorder="1" applyAlignment="1" applyProtection="1">
      <alignment vertical="center" wrapText="1"/>
      <protection locked="0"/>
    </xf>
    <xf numFmtId="164" fontId="29" fillId="0" borderId="7" xfId="0" applyNumberFormat="1" applyFont="1" applyFill="1" applyBorder="1" applyAlignment="1" applyProtection="1">
      <alignment vertical="center" wrapText="1"/>
      <protection locked="0"/>
    </xf>
    <xf numFmtId="164" fontId="29" fillId="0" borderId="1" xfId="0" applyNumberFormat="1" applyFont="1" applyFill="1" applyBorder="1" applyAlignment="1" applyProtection="1">
      <alignment vertical="center" wrapText="1"/>
      <protection locked="0"/>
    </xf>
    <xf numFmtId="164" fontId="29" fillId="0" borderId="41" xfId="0" applyNumberFormat="1" applyFont="1" applyFill="1" applyBorder="1" applyAlignment="1" applyProtection="1">
      <alignment vertical="center" wrapText="1"/>
      <protection locked="0"/>
    </xf>
    <xf numFmtId="164" fontId="29" fillId="0" borderId="50" xfId="0" applyNumberFormat="1" applyFont="1" applyFill="1" applyBorder="1" applyAlignment="1" applyProtection="1">
      <alignment vertical="center" wrapText="1"/>
    </xf>
    <xf numFmtId="164" fontId="20" fillId="0" borderId="17" xfId="4" applyNumberFormat="1" applyFont="1" applyFill="1" applyBorder="1" applyAlignment="1" applyProtection="1">
      <alignment horizontal="right" vertical="center" wrapText="1"/>
    </xf>
    <xf numFmtId="164" fontId="22" fillId="0" borderId="18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35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/>
    </xf>
    <xf numFmtId="164" fontId="20" fillId="0" borderId="17" xfId="4" applyNumberFormat="1" applyFont="1" applyFill="1" applyBorder="1" applyAlignment="1" applyProtection="1">
      <alignment horizontal="right" vertical="center" wrapText="1"/>
      <protection locked="0"/>
    </xf>
    <xf numFmtId="164" fontId="20" fillId="0" borderId="14" xfId="4" applyNumberFormat="1" applyFont="1" applyFill="1" applyBorder="1" applyAlignment="1" applyProtection="1">
      <alignment horizontal="right" vertical="center" wrapText="1"/>
    </xf>
    <xf numFmtId="164" fontId="22" fillId="0" borderId="3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/>
      <protection locked="0"/>
    </xf>
    <xf numFmtId="166" fontId="4" fillId="0" borderId="6" xfId="4" applyNumberFormat="1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/>
    <xf numFmtId="165" fontId="4" fillId="0" borderId="14" xfId="4" applyNumberFormat="1" applyFont="1" applyFill="1" applyBorder="1"/>
    <xf numFmtId="165" fontId="4" fillId="0" borderId="17" xfId="4" applyNumberFormat="1" applyFont="1" applyFill="1" applyBorder="1"/>
    <xf numFmtId="0" fontId="5" fillId="0" borderId="0" xfId="4" applyFont="1" applyFill="1"/>
    <xf numFmtId="0" fontId="12" fillId="0" borderId="0" xfId="4" applyFont="1" applyFill="1" applyAlignment="1" applyProtection="1"/>
    <xf numFmtId="164" fontId="24" fillId="0" borderId="0" xfId="0" applyNumberFormat="1" applyFont="1" applyFill="1" applyAlignment="1">
      <alignment horizontal="center" vertical="center" wrapText="1"/>
    </xf>
    <xf numFmtId="164" fontId="31" fillId="0" borderId="0" xfId="0" applyNumberFormat="1" applyFont="1" applyFill="1" applyAlignment="1" applyProtection="1">
      <alignment horizontal="right" wrapText="1"/>
    </xf>
    <xf numFmtId="164" fontId="30" fillId="0" borderId="13" xfId="0" applyNumberFormat="1" applyFont="1" applyFill="1" applyBorder="1" applyAlignment="1" applyProtection="1">
      <alignment horizontal="center" vertical="center" wrapText="1"/>
    </xf>
    <xf numFmtId="164" fontId="30" fillId="0" borderId="14" xfId="0" applyNumberFormat="1" applyFont="1" applyFill="1" applyBorder="1" applyAlignment="1" applyProtection="1">
      <alignment horizontal="center" vertical="center" wrapText="1"/>
    </xf>
    <xf numFmtId="164" fontId="30" fillId="0" borderId="17" xfId="0" applyNumberFormat="1" applyFont="1" applyFill="1" applyBorder="1" applyAlignment="1" applyProtection="1">
      <alignment horizontal="center" vertical="center" wrapText="1"/>
    </xf>
    <xf numFmtId="164" fontId="47" fillId="0" borderId="0" xfId="0" applyNumberFormat="1" applyFont="1" applyFill="1" applyAlignment="1">
      <alignment horizontal="center" vertical="center" wrapText="1"/>
    </xf>
    <xf numFmtId="164" fontId="28" fillId="0" borderId="40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36" fillId="0" borderId="8" xfId="0" applyNumberFormat="1" applyFont="1" applyFill="1" applyBorder="1" applyAlignment="1" applyProtection="1">
      <alignment vertical="center" wrapText="1"/>
      <protection locked="0"/>
    </xf>
    <xf numFmtId="164" fontId="36" fillId="0" borderId="2" xfId="0" applyNumberFormat="1" applyFont="1" applyFill="1" applyBorder="1" applyAlignment="1" applyProtection="1">
      <alignment vertical="center" wrapText="1"/>
      <protection locked="0"/>
    </xf>
    <xf numFmtId="49" fontId="3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19" xfId="0" applyNumberFormat="1" applyFont="1" applyFill="1" applyBorder="1" applyAlignment="1" applyProtection="1">
      <alignment vertical="center" wrapText="1"/>
    </xf>
    <xf numFmtId="164" fontId="36" fillId="0" borderId="10" xfId="0" applyNumberFormat="1" applyFont="1" applyFill="1" applyBorder="1" applyAlignment="1" applyProtection="1">
      <alignment vertical="center" wrapText="1"/>
      <protection locked="0"/>
    </xf>
    <xf numFmtId="164" fontId="36" fillId="0" borderId="6" xfId="0" applyNumberFormat="1" applyFont="1" applyFill="1" applyBorder="1" applyAlignment="1" applyProtection="1">
      <alignment vertical="center" wrapText="1"/>
      <protection locked="0"/>
    </xf>
    <xf numFmtId="49" fontId="3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5" xfId="0" applyNumberFormat="1" applyFont="1" applyFill="1" applyBorder="1" applyAlignment="1" applyProtection="1">
      <alignment vertical="center" wrapText="1"/>
    </xf>
    <xf numFmtId="164" fontId="30" fillId="0" borderId="13" xfId="0" applyNumberFormat="1" applyFont="1" applyFill="1" applyBorder="1" applyAlignment="1" applyProtection="1">
      <alignment horizontal="left" vertical="center" wrapText="1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0" fillId="2" borderId="14" xfId="0" applyNumberFormat="1" applyFont="1" applyFill="1" applyBorder="1" applyAlignment="1" applyProtection="1">
      <alignment vertical="center" wrapText="1"/>
    </xf>
    <xf numFmtId="164" fontId="30" fillId="0" borderId="17" xfId="0" applyNumberFormat="1" applyFont="1" applyFill="1" applyBorder="1" applyAlignment="1" applyProtection="1">
      <alignment vertical="center" wrapText="1"/>
    </xf>
    <xf numFmtId="164" fontId="47" fillId="0" borderId="0" xfId="0" applyNumberFormat="1" applyFont="1" applyFill="1" applyAlignment="1">
      <alignment vertical="center" wrapText="1"/>
    </xf>
    <xf numFmtId="0" fontId="20" fillId="0" borderId="11" xfId="4" applyFont="1" applyFill="1" applyBorder="1" applyAlignment="1" applyProtection="1">
      <alignment horizontal="center" vertical="center" wrapText="1"/>
    </xf>
    <xf numFmtId="0" fontId="20" fillId="0" borderId="4" xfId="4" applyFont="1" applyFill="1" applyBorder="1" applyAlignment="1" applyProtection="1">
      <alignment horizontal="center" vertical="center" wrapText="1"/>
    </xf>
    <xf numFmtId="0" fontId="20" fillId="0" borderId="28" xfId="4" applyFont="1" applyFill="1" applyBorder="1" applyAlignment="1" applyProtection="1">
      <alignment horizontal="center" vertical="center" wrapText="1"/>
    </xf>
    <xf numFmtId="0" fontId="22" fillId="0" borderId="13" xfId="4" applyFont="1" applyFill="1" applyBorder="1" applyAlignment="1" applyProtection="1">
      <alignment horizontal="center" vertical="center"/>
    </xf>
    <xf numFmtId="0" fontId="22" fillId="0" borderId="14" xfId="4" applyFont="1" applyFill="1" applyBorder="1" applyAlignment="1" applyProtection="1">
      <alignment horizontal="center" vertical="center"/>
    </xf>
    <xf numFmtId="0" fontId="22" fillId="0" borderId="17" xfId="4" applyFont="1" applyFill="1" applyBorder="1" applyAlignment="1" applyProtection="1">
      <alignment horizontal="center" vertical="center"/>
    </xf>
    <xf numFmtId="0" fontId="22" fillId="0" borderId="11" xfId="4" applyFont="1" applyFill="1" applyBorder="1" applyAlignment="1" applyProtection="1">
      <alignment horizontal="center" vertical="center"/>
    </xf>
    <xf numFmtId="0" fontId="22" fillId="0" borderId="4" xfId="4" applyFont="1" applyFill="1" applyBorder="1" applyProtection="1">
      <protection locked="0"/>
    </xf>
    <xf numFmtId="165" fontId="22" fillId="0" borderId="28" xfId="1" applyNumberFormat="1" applyFont="1" applyFill="1" applyBorder="1" applyProtection="1">
      <protection locked="0"/>
    </xf>
    <xf numFmtId="0" fontId="22" fillId="0" borderId="8" xfId="4" applyFont="1" applyFill="1" applyBorder="1" applyAlignment="1" applyProtection="1">
      <alignment horizontal="center" vertical="center"/>
    </xf>
    <xf numFmtId="0" fontId="22" fillId="0" borderId="2" xfId="4" applyFont="1" applyFill="1" applyBorder="1" applyProtection="1">
      <protection locked="0"/>
    </xf>
    <xf numFmtId="165" fontId="22" fillId="0" borderId="19" xfId="1" applyNumberFormat="1" applyFont="1" applyFill="1" applyBorder="1" applyProtection="1">
      <protection locked="0"/>
    </xf>
    <xf numFmtId="0" fontId="22" fillId="0" borderId="10" xfId="4" applyFont="1" applyFill="1" applyBorder="1" applyAlignment="1" applyProtection="1">
      <alignment horizontal="center" vertical="center"/>
    </xf>
    <xf numFmtId="0" fontId="22" fillId="0" borderId="6" xfId="4" applyFont="1" applyFill="1" applyBorder="1" applyProtection="1">
      <protection locked="0"/>
    </xf>
    <xf numFmtId="165" fontId="22" fillId="0" borderId="35" xfId="1" applyNumberFormat="1" applyFont="1" applyFill="1" applyBorder="1" applyProtection="1">
      <protection locked="0"/>
    </xf>
    <xf numFmtId="0" fontId="20" fillId="0" borderId="13" xfId="4" applyFont="1" applyFill="1" applyBorder="1" applyAlignment="1" applyProtection="1">
      <alignment horizontal="center" vertical="center"/>
    </xf>
    <xf numFmtId="0" fontId="20" fillId="0" borderId="14" xfId="4" applyFont="1" applyFill="1" applyBorder="1" applyAlignment="1" applyProtection="1">
      <alignment horizontal="left" vertical="center" wrapText="1"/>
    </xf>
    <xf numFmtId="165" fontId="20" fillId="0" borderId="17" xfId="1" applyNumberFormat="1" applyFont="1" applyFill="1" applyBorder="1" applyProtection="1"/>
    <xf numFmtId="164" fontId="12" fillId="0" borderId="8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164" fontId="40" fillId="0" borderId="0" xfId="0" applyNumberFormat="1" applyFont="1" applyFill="1" applyAlignment="1" applyProtection="1">
      <alignment horizontal="right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40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Fill="1" applyBorder="1" applyAlignment="1" applyProtection="1">
      <alignment vertical="center" wrapText="1"/>
    </xf>
    <xf numFmtId="164" fontId="24" fillId="0" borderId="13" xfId="0" applyNumberFormat="1" applyFont="1" applyFill="1" applyBorder="1" applyAlignment="1" applyProtection="1">
      <alignment horizontal="left" vertical="center" wrapText="1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24" fillId="0" borderId="17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49" fontId="26" fillId="0" borderId="2" xfId="0" applyNumberFormat="1" applyFont="1" applyBorder="1" applyAlignment="1" applyProtection="1">
      <alignment horizontal="left" wrapText="1" indent="1"/>
    </xf>
    <xf numFmtId="0" fontId="22" fillId="0" borderId="2" xfId="4" applyFont="1" applyFill="1" applyBorder="1" applyAlignment="1" applyProtection="1">
      <alignment horizontal="left" vertical="center" wrapText="1" indent="7"/>
    </xf>
    <xf numFmtId="49" fontId="18" fillId="0" borderId="0" xfId="0" applyNumberFormat="1" applyFont="1" applyFill="1" applyAlignment="1" applyProtection="1">
      <alignment horizontal="center" vertical="center"/>
    </xf>
    <xf numFmtId="164" fontId="24" fillId="0" borderId="0" xfId="0" applyNumberFormat="1" applyFont="1" applyFill="1" applyAlignment="1" applyProtection="1">
      <alignment horizontal="centerContinuous" vertical="center" wrapText="1"/>
    </xf>
    <xf numFmtId="164" fontId="31" fillId="0" borderId="0" xfId="0" applyNumberFormat="1" applyFont="1" applyFill="1" applyAlignment="1" applyProtection="1">
      <alignment horizontal="right" vertical="center"/>
    </xf>
    <xf numFmtId="164" fontId="30" fillId="0" borderId="13" xfId="0" applyNumberFormat="1" applyFont="1" applyFill="1" applyBorder="1" applyAlignment="1" applyProtection="1">
      <alignment horizontal="centerContinuous" vertical="center" wrapText="1"/>
    </xf>
    <xf numFmtId="164" fontId="30" fillId="0" borderId="14" xfId="0" applyNumberFormat="1" applyFont="1" applyFill="1" applyBorder="1" applyAlignment="1" applyProtection="1">
      <alignment horizontal="centerContinuous" vertical="center" wrapText="1"/>
    </xf>
    <xf numFmtId="164" fontId="30" fillId="0" borderId="17" xfId="0" applyNumberFormat="1" applyFont="1" applyFill="1" applyBorder="1" applyAlignment="1" applyProtection="1">
      <alignment horizontal="centerContinuous" vertical="center" wrapText="1"/>
    </xf>
    <xf numFmtId="164" fontId="47" fillId="0" borderId="0" xfId="0" applyNumberFormat="1" applyFont="1" applyFill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47" fillId="0" borderId="39" xfId="0" applyNumberFormat="1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10" xfId="0" applyNumberFormat="1" applyFont="1" applyFill="1" applyBorder="1" applyAlignment="1" applyProtection="1">
      <alignment horizontal="left" vertical="center" wrapText="1" indent="2"/>
    </xf>
    <xf numFmtId="164" fontId="47" fillId="0" borderId="13" xfId="0" applyNumberFormat="1" applyFont="1" applyFill="1" applyBorder="1" applyAlignment="1" applyProtection="1">
      <alignment horizontal="left" vertical="center" wrapText="1" indent="1"/>
    </xf>
    <xf numFmtId="164" fontId="47" fillId="0" borderId="25" xfId="0" applyNumberFormat="1" applyFont="1" applyFill="1" applyBorder="1" applyAlignment="1" applyProtection="1">
      <alignment horizontal="right" vertical="center" wrapText="1" inden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29" fillId="0" borderId="56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>
      <alignment horizontal="right" vertical="top"/>
      <protection locked="0"/>
    </xf>
    <xf numFmtId="0" fontId="45" fillId="0" borderId="0" xfId="4" applyFont="1" applyFill="1" applyAlignment="1" applyProtection="1">
      <alignment horizontal="right"/>
    </xf>
    <xf numFmtId="0" fontId="24" fillId="0" borderId="0" xfId="4" applyFont="1" applyFill="1" applyAlignment="1" applyProtection="1"/>
    <xf numFmtId="0" fontId="16" fillId="0" borderId="0" xfId="0" applyFont="1" applyFill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30" fillId="0" borderId="17" xfId="4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42" xfId="1" applyNumberFormat="1" applyFont="1" applyFill="1" applyBorder="1" applyProtection="1">
      <protection locked="0"/>
    </xf>
    <xf numFmtId="165" fontId="22" fillId="0" borderId="37" xfId="1" applyNumberFormat="1" applyFont="1" applyFill="1" applyBorder="1" applyProtection="1">
      <protection locked="0"/>
    </xf>
    <xf numFmtId="165" fontId="22" fillId="0" borderId="38" xfId="1" applyNumberFormat="1" applyFont="1" applyFill="1" applyBorder="1" applyProtection="1">
      <protection locked="0"/>
    </xf>
    <xf numFmtId="0" fontId="3" fillId="0" borderId="0" xfId="0" applyFont="1" applyFill="1" applyBorder="1"/>
    <xf numFmtId="0" fontId="15" fillId="0" borderId="0" xfId="0" applyFont="1" applyFill="1" applyAlignment="1">
      <alignment vertical="center" wrapText="1"/>
    </xf>
    <xf numFmtId="0" fontId="3" fillId="0" borderId="0" xfId="4" applyFont="1" applyFill="1" applyProtection="1"/>
    <xf numFmtId="164" fontId="48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8" fillId="0" borderId="2" xfId="0" applyNumberFormat="1" applyFont="1" applyFill="1" applyBorder="1"/>
    <xf numFmtId="0" fontId="45" fillId="0" borderId="0" xfId="0" applyFont="1" applyFill="1" applyBorder="1"/>
    <xf numFmtId="0" fontId="37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49" fontId="8" fillId="0" borderId="28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8" fillId="0" borderId="29" xfId="0" applyFont="1" applyFill="1" applyBorder="1" applyAlignment="1" applyProtection="1">
      <alignment horizontal="center" vertical="center" wrapText="1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Alignment="1" applyProtection="1">
      <alignment vertical="center" wrapTex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9" fillId="0" borderId="26" xfId="4" applyFont="1" applyFill="1" applyBorder="1" applyAlignment="1" applyProtection="1">
      <alignment horizontal="left" vertical="center" wrapText="1" inden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25" fillId="0" borderId="34" xfId="0" applyFont="1" applyBorder="1" applyAlignment="1" applyProtection="1">
      <alignment horizontal="left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right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49" xfId="0" applyNumberFormat="1" applyFont="1" applyFill="1" applyBorder="1" applyAlignment="1" applyProtection="1">
      <alignment horizontal="left" vertical="center" wrapText="1" indent="2"/>
    </xf>
    <xf numFmtId="0" fontId="0" fillId="0" borderId="0" xfId="0" applyFont="1" applyFill="1" applyProtection="1"/>
    <xf numFmtId="0" fontId="0" fillId="0" borderId="0" xfId="0" applyFont="1" applyFill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0" fillId="0" borderId="53" xfId="0" applyNumberFormat="1" applyFont="1" applyFill="1" applyBorder="1" applyAlignment="1" applyProtection="1">
      <alignment horizontal="left" vertical="center" wrapText="1" indent="1"/>
    </xf>
    <xf numFmtId="164" fontId="0" fillId="0" borderId="51" xfId="0" applyNumberFormat="1" applyFont="1" applyFill="1" applyBorder="1" applyAlignment="1" applyProtection="1">
      <alignment horizontal="left" vertical="center" wrapText="1" indent="1"/>
    </xf>
    <xf numFmtId="164" fontId="0" fillId="0" borderId="50" xfId="0" applyNumberFormat="1" applyFont="1" applyFill="1" applyBorder="1" applyAlignment="1" applyProtection="1">
      <alignment horizontal="left" vertical="center" wrapText="1" indent="1"/>
    </xf>
    <xf numFmtId="0" fontId="38" fillId="0" borderId="24" xfId="0" applyFont="1" applyFill="1" applyBorder="1" applyAlignment="1" applyProtection="1">
      <alignment horizontal="right" vertical="center"/>
    </xf>
    <xf numFmtId="0" fontId="7" fillId="0" borderId="13" xfId="4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</xf>
    <xf numFmtId="0" fontId="7" fillId="0" borderId="17" xfId="4" applyFont="1" applyFill="1" applyBorder="1" applyAlignment="1" applyProtection="1">
      <alignment horizontal="center" vertical="center" wrapTex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7" fillId="0" borderId="22" xfId="4" applyFont="1" applyFill="1" applyBorder="1" applyAlignment="1" applyProtection="1">
      <alignment horizontal="center" vertical="center" wrapText="1"/>
    </xf>
    <xf numFmtId="0" fontId="7" fillId="0" borderId="13" xfId="4" applyFont="1" applyFill="1" applyBorder="1" applyAlignment="1" applyProtection="1">
      <alignment horizontal="left" vertical="center" wrapText="1" indent="1"/>
    </xf>
    <xf numFmtId="0" fontId="7" fillId="0" borderId="14" xfId="4" applyFont="1" applyFill="1" applyBorder="1" applyAlignment="1" applyProtection="1">
      <alignment horizontal="left" vertical="center" wrapText="1" indent="1"/>
    </xf>
    <xf numFmtId="164" fontId="7" fillId="0" borderId="17" xfId="4" applyNumberFormat="1" applyFont="1" applyFill="1" applyBorder="1" applyAlignment="1" applyProtection="1">
      <alignment horizontal="right" vertical="center" wrapText="1" indent="1"/>
    </xf>
    <xf numFmtId="49" fontId="3" fillId="0" borderId="9" xfId="4" applyNumberFormat="1" applyFont="1" applyFill="1" applyBorder="1" applyAlignment="1" applyProtection="1">
      <alignment horizontal="left" vertical="center" wrapText="1" indent="1"/>
    </xf>
    <xf numFmtId="0" fontId="49" fillId="0" borderId="3" xfId="0" applyFont="1" applyBorder="1" applyAlignment="1" applyProtection="1">
      <alignment horizontal="left" wrapText="1" indent="1"/>
    </xf>
    <xf numFmtId="164" fontId="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8" xfId="4" applyNumberFormat="1" applyFont="1" applyFill="1" applyBorder="1" applyAlignment="1" applyProtection="1">
      <alignment horizontal="left" vertical="center" wrapText="1" indent="1"/>
    </xf>
    <xf numFmtId="0" fontId="49" fillId="0" borderId="2" xfId="0" applyFont="1" applyBorder="1" applyAlignment="1" applyProtection="1">
      <alignment horizontal="left" wrapText="1" indent="1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" xfId="0" applyFont="1" applyBorder="1" applyAlignment="1" applyProtection="1">
      <alignment horizontal="left" vertical="center" wrapText="1" indent="1"/>
    </xf>
    <xf numFmtId="49" fontId="3" fillId="0" borderId="10" xfId="4" applyNumberFormat="1" applyFont="1" applyFill="1" applyBorder="1" applyAlignment="1" applyProtection="1">
      <alignment horizontal="left" vertical="center" wrapText="1" indent="1"/>
    </xf>
    <xf numFmtId="0" fontId="49" fillId="0" borderId="6" xfId="0" applyFont="1" applyBorder="1" applyAlignment="1" applyProtection="1">
      <alignment horizontal="left" vertical="center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164" fontId="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6" xfId="0" applyFont="1" applyBorder="1" applyAlignment="1" applyProtection="1">
      <alignment horizontal="left" wrapText="1" indent="1"/>
    </xf>
    <xf numFmtId="164" fontId="24" fillId="0" borderId="17" xfId="4" applyNumberFormat="1" applyFont="1" applyFill="1" applyBorder="1" applyAlignment="1" applyProtection="1">
      <alignment horizontal="right" vertical="center" wrapText="1" indent="1"/>
    </xf>
    <xf numFmtId="164" fontId="3" fillId="0" borderId="18" xfId="4" applyNumberFormat="1" applyFont="1" applyFill="1" applyBorder="1" applyAlignment="1" applyProtection="1">
      <alignment horizontal="right" vertical="center" wrapText="1" indent="1"/>
    </xf>
    <xf numFmtId="0" fontId="49" fillId="0" borderId="2" xfId="0" quotePrefix="1" applyFont="1" applyBorder="1" applyAlignment="1" applyProtection="1">
      <alignment horizontal="left" wrapText="1" indent="1"/>
    </xf>
    <xf numFmtId="164" fontId="1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4" applyFont="1" applyFill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vertical="center" wrapText="1"/>
    </xf>
    <xf numFmtId="0" fontId="49" fillId="0" borderId="6" xfId="0" applyFont="1" applyBorder="1" applyAlignment="1" applyProtection="1">
      <alignment vertical="center" wrapText="1"/>
    </xf>
    <xf numFmtId="0" fontId="49" fillId="0" borderId="9" xfId="0" applyFont="1" applyBorder="1" applyAlignment="1" applyProtection="1">
      <alignment wrapText="1"/>
    </xf>
    <xf numFmtId="0" fontId="49" fillId="0" borderId="8" xfId="0" applyFont="1" applyBorder="1" applyAlignment="1" applyProtection="1">
      <alignment wrapText="1"/>
    </xf>
    <xf numFmtId="0" fontId="49" fillId="0" borderId="10" xfId="0" applyFont="1" applyBorder="1" applyAlignment="1" applyProtection="1">
      <alignment wrapText="1"/>
    </xf>
    <xf numFmtId="164" fontId="7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40" xfId="0" applyFont="1" applyBorder="1" applyAlignment="1" applyProtection="1">
      <alignment vertical="center" wrapText="1"/>
    </xf>
    <xf numFmtId="0" fontId="16" fillId="0" borderId="26" xfId="0" applyFont="1" applyBorder="1" applyAlignment="1" applyProtection="1">
      <alignment wrapText="1"/>
    </xf>
    <xf numFmtId="0" fontId="49" fillId="0" borderId="0" xfId="0" applyFont="1" applyBorder="1" applyAlignment="1" applyProtection="1">
      <alignment wrapText="1"/>
    </xf>
    <xf numFmtId="0" fontId="49" fillId="0" borderId="0" xfId="0" applyFont="1" applyBorder="1" applyAlignment="1" applyProtection="1">
      <alignment horizontal="left" wrapText="1" indent="1"/>
    </xf>
    <xf numFmtId="164" fontId="1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Border="1" applyProtection="1"/>
    <xf numFmtId="0" fontId="38" fillId="0" borderId="24" xfId="0" applyFont="1" applyFill="1" applyBorder="1" applyAlignment="1" applyProtection="1">
      <alignment horizontal="right"/>
    </xf>
    <xf numFmtId="0" fontId="7" fillId="0" borderId="15" xfId="4" applyFont="1" applyFill="1" applyBorder="1" applyAlignment="1" applyProtection="1">
      <alignment horizontal="left" vertical="center" wrapText="1" indent="1"/>
    </xf>
    <xf numFmtId="0" fontId="7" fillId="0" borderId="16" xfId="4" applyFont="1" applyFill="1" applyBorder="1" applyAlignment="1" applyProtection="1">
      <alignment vertical="center" wrapText="1"/>
    </xf>
    <xf numFmtId="164" fontId="7" fillId="0" borderId="22" xfId="4" applyNumberFormat="1" applyFont="1" applyFill="1" applyBorder="1" applyAlignment="1" applyProtection="1">
      <alignment horizontal="right" vertical="center" wrapText="1" indent="1"/>
    </xf>
    <xf numFmtId="49" fontId="3" fillId="0" borderId="11" xfId="4" applyNumberFormat="1" applyFont="1" applyFill="1" applyBorder="1" applyAlignment="1" applyProtection="1">
      <alignment horizontal="left" vertical="center" wrapText="1" indent="1"/>
    </xf>
    <xf numFmtId="0" fontId="3" fillId="0" borderId="4" xfId="4" applyFont="1" applyFill="1" applyBorder="1" applyAlignment="1" applyProtection="1">
      <alignment horizontal="left" vertical="center" wrapText="1" indent="1"/>
    </xf>
    <xf numFmtId="164" fontId="3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4" applyFont="1" applyFill="1" applyBorder="1" applyAlignment="1" applyProtection="1">
      <alignment horizontal="left" vertical="center" wrapText="1" indent="1"/>
    </xf>
    <xf numFmtId="0" fontId="3" fillId="0" borderId="5" xfId="4" applyFont="1" applyFill="1" applyBorder="1" applyAlignment="1" applyProtection="1">
      <alignment horizontal="left" vertical="center" wrapText="1" inden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0" borderId="6" xfId="4" applyFont="1" applyFill="1" applyBorder="1" applyAlignment="1" applyProtection="1">
      <alignment horizontal="left" vertical="center" wrapText="1" indent="6"/>
    </xf>
    <xf numFmtId="0" fontId="3" fillId="0" borderId="2" xfId="4" applyFont="1" applyFill="1" applyBorder="1" applyAlignment="1" applyProtection="1">
      <alignment horizontal="left" indent="6"/>
    </xf>
    <xf numFmtId="0" fontId="3" fillId="0" borderId="2" xfId="4" applyFont="1" applyFill="1" applyBorder="1" applyAlignment="1" applyProtection="1">
      <alignment horizontal="left" vertical="center" wrapText="1" indent="6"/>
    </xf>
    <xf numFmtId="49" fontId="3" fillId="0" borderId="7" xfId="4" applyNumberFormat="1" applyFont="1" applyFill="1" applyBorder="1" applyAlignment="1" applyProtection="1">
      <alignment horizontal="left" vertical="center" wrapText="1" indent="1"/>
    </xf>
    <xf numFmtId="49" fontId="3" fillId="0" borderId="12" xfId="4" applyNumberFormat="1" applyFont="1" applyFill="1" applyBorder="1" applyAlignment="1" applyProtection="1">
      <alignment horizontal="left" vertical="center" wrapText="1" indent="1"/>
    </xf>
    <xf numFmtId="0" fontId="3" fillId="0" borderId="20" xfId="4" applyFont="1" applyFill="1" applyBorder="1" applyAlignment="1" applyProtection="1">
      <alignment horizontal="left" vertical="center" wrapText="1" indent="7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0" xfId="4" applyFont="1" applyFill="1" applyBorder="1" applyAlignment="1" applyProtection="1">
      <alignment horizontal="left" vertical="center" wrapText="1" indent="1"/>
    </xf>
    <xf numFmtId="0" fontId="7" fillId="0" borderId="26" xfId="4" applyFont="1" applyFill="1" applyBorder="1" applyAlignment="1" applyProtection="1">
      <alignment vertical="center" wrapText="1"/>
    </xf>
    <xf numFmtId="164" fontId="7" fillId="0" borderId="27" xfId="4" applyNumberFormat="1" applyFont="1" applyFill="1" applyBorder="1" applyAlignment="1" applyProtection="1">
      <alignment horizontal="right" vertical="center" wrapText="1" indent="1"/>
    </xf>
    <xf numFmtId="0" fontId="3" fillId="0" borderId="6" xfId="4" applyFont="1" applyFill="1" applyBorder="1" applyAlignment="1" applyProtection="1">
      <alignment horizontal="left" vertical="center" wrapText="1" indent="1"/>
    </xf>
    <xf numFmtId="164" fontId="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" xfId="4" applyFont="1" applyFill="1" applyBorder="1" applyAlignment="1" applyProtection="1">
      <alignment horizontal="left" vertical="center" wrapText="1" indent="6"/>
    </xf>
    <xf numFmtId="164" fontId="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0" fontId="3" fillId="0" borderId="3" xfId="4" applyFont="1" applyFill="1" applyBorder="1" applyAlignment="1" applyProtection="1">
      <alignment horizontal="left" vertical="center" wrapText="1" indent="1"/>
    </xf>
    <xf numFmtId="0" fontId="3" fillId="0" borderId="1" xfId="4" applyFont="1" applyFill="1" applyBorder="1" applyAlignment="1" applyProtection="1">
      <alignment horizontal="lef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7" xfId="0" quotePrefix="1" applyNumberFormat="1" applyFont="1" applyBorder="1" applyAlignment="1" applyProtection="1">
      <alignment horizontal="right" vertical="center" wrapText="1" indent="1"/>
    </xf>
    <xf numFmtId="0" fontId="16" fillId="0" borderId="40" xfId="0" applyFont="1" applyBorder="1" applyAlignment="1" applyProtection="1">
      <alignment horizontal="left" vertical="center" wrapText="1" indent="1"/>
    </xf>
    <xf numFmtId="0" fontId="16" fillId="0" borderId="26" xfId="0" applyFont="1" applyBorder="1" applyAlignment="1" applyProtection="1">
      <alignment horizontal="left" vertical="center" wrapText="1" indent="1"/>
    </xf>
    <xf numFmtId="0" fontId="7" fillId="0" borderId="14" xfId="4" applyFont="1" applyFill="1" applyBorder="1" applyAlignment="1" applyProtection="1">
      <alignment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wrapText="1"/>
    </xf>
    <xf numFmtId="164" fontId="20" fillId="0" borderId="43" xfId="4" applyNumberFormat="1" applyFont="1" applyFill="1" applyBorder="1" applyAlignment="1" applyProtection="1">
      <alignment horizontal="right" vertical="center" wrapText="1"/>
    </xf>
    <xf numFmtId="164" fontId="20" fillId="0" borderId="0" xfId="4" applyNumberFormat="1" applyFont="1" applyFill="1" applyBorder="1" applyAlignment="1" applyProtection="1">
      <alignment horizontal="right" vertical="center" wrapText="1"/>
    </xf>
    <xf numFmtId="164" fontId="40" fillId="0" borderId="24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40" fillId="0" borderId="24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4" fillId="0" borderId="24" xfId="4" applyNumberFormat="1" applyFont="1" applyFill="1" applyBorder="1" applyAlignment="1" applyProtection="1">
      <alignment horizontal="left" vertical="center"/>
    </xf>
    <xf numFmtId="164" fontId="34" fillId="0" borderId="24" xfId="4" applyNumberFormat="1" applyFont="1" applyFill="1" applyBorder="1" applyAlignment="1" applyProtection="1">
      <alignment horizontal="left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35" fillId="0" borderId="4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horizontal="right" vertical="center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4" fillId="0" borderId="28" xfId="4" applyFont="1" applyFill="1" applyBorder="1" applyAlignment="1">
      <alignment horizontal="center" vertical="center" wrapText="1"/>
    </xf>
    <xf numFmtId="0" fontId="4" fillId="0" borderId="35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2" fillId="0" borderId="4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0" fillId="0" borderId="32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30" fillId="0" borderId="34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8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35" xfId="0" applyFont="1" applyFill="1" applyBorder="1" applyAlignment="1" applyProtection="1">
      <alignment horizontal="right" indent="1"/>
      <protection locked="0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2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30" fillId="0" borderId="43" xfId="0" applyFont="1" applyFill="1" applyBorder="1" applyAlignment="1" applyProtection="1">
      <alignment horizontal="center"/>
    </xf>
    <xf numFmtId="0" fontId="30" fillId="0" borderId="62" xfId="0" applyFont="1" applyFill="1" applyBorder="1" applyAlignment="1" applyProtection="1">
      <alignment horizontal="center"/>
    </xf>
    <xf numFmtId="0" fontId="29" fillId="0" borderId="44" xfId="0" applyFont="1" applyFill="1" applyBorder="1" applyAlignment="1" applyProtection="1">
      <alignment horizontal="left" indent="1"/>
      <protection locked="0"/>
    </xf>
    <xf numFmtId="0" fontId="29" fillId="0" borderId="63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65" xfId="0" applyFont="1" applyFill="1" applyBorder="1" applyAlignment="1" applyProtection="1">
      <alignment horizontal="left" indent="1"/>
      <protection locked="0"/>
    </xf>
    <xf numFmtId="0" fontId="0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7" fillId="0" borderId="43" xfId="4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30" fillId="0" borderId="32" xfId="0" applyNumberFormat="1" applyFont="1" applyFill="1" applyBorder="1" applyAlignment="1" applyProtection="1">
      <alignment horizontal="left" vertical="center" wrapText="1" indent="2"/>
    </xf>
    <xf numFmtId="164" fontId="30" fillId="0" borderId="25" xfId="0" applyNumberFormat="1" applyFont="1" applyFill="1" applyBorder="1" applyAlignment="1" applyProtection="1">
      <alignment horizontal="left" vertical="center" wrapText="1" indent="2"/>
    </xf>
    <xf numFmtId="164" fontId="30" fillId="0" borderId="57" xfId="0" applyNumberFormat="1" applyFont="1" applyFill="1" applyBorder="1" applyAlignment="1" applyProtection="1">
      <alignment horizontal="center" vertical="center"/>
    </xf>
    <xf numFmtId="164" fontId="30" fillId="0" borderId="58" xfId="0" applyNumberFormat="1" applyFont="1" applyFill="1" applyBorder="1" applyAlignment="1" applyProtection="1">
      <alignment horizontal="center" vertical="center"/>
    </xf>
    <xf numFmtId="164" fontId="30" fillId="0" borderId="44" xfId="0" applyNumberFormat="1" applyFont="1" applyFill="1" applyBorder="1" applyAlignment="1" applyProtection="1">
      <alignment horizontal="center" vertical="center"/>
    </xf>
    <xf numFmtId="164" fontId="30" fillId="0" borderId="63" xfId="0" applyNumberFormat="1" applyFont="1" applyFill="1" applyBorder="1" applyAlignment="1" applyProtection="1">
      <alignment horizontal="center" vertical="center"/>
    </xf>
    <xf numFmtId="164" fontId="30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34" fillId="0" borderId="49" xfId="5" applyFont="1" applyFill="1" applyBorder="1" applyAlignment="1" applyProtection="1">
      <alignment horizontal="left" vertical="center" indent="1"/>
    </xf>
    <xf numFmtId="0" fontId="34" fillId="0" borderId="33" xfId="5" applyFont="1" applyFill="1" applyBorder="1" applyAlignment="1" applyProtection="1">
      <alignment horizontal="left" vertical="center" indent="1"/>
    </xf>
    <xf numFmtId="0" fontId="34" fillId="0" borderId="25" xfId="5" applyFont="1" applyFill="1" applyBorder="1" applyAlignment="1" applyProtection="1">
      <alignment horizontal="left" vertical="center" indent="1"/>
    </xf>
    <xf numFmtId="0" fontId="40" fillId="0" borderId="0" xfId="0" applyFont="1" applyAlignment="1" applyProtection="1">
      <alignment horizontal="right"/>
    </xf>
    <xf numFmtId="0" fontId="24" fillId="0" borderId="0" xfId="0" applyFont="1" applyAlignment="1">
      <alignment horizontal="center" wrapText="1"/>
    </xf>
    <xf numFmtId="0" fontId="24" fillId="0" borderId="32" xfId="0" applyFont="1" applyBorder="1" applyAlignment="1" applyProtection="1">
      <alignment horizontal="left" vertical="center" indent="2"/>
    </xf>
    <xf numFmtId="0" fontId="24" fillId="0" borderId="34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nzugy3/Asztal/K&#246;lts&#233;gvet&#233;s/K&#246;lts&#233;gvet&#233;s-2015/Ktgv-2015-K&#246;z&#246;s/Ktgv-1.m&#243;d-2015.09-K&#246;z&#246;s/Ktgv.1.m&#243;d-2015.09-K&#246;z&#246;s%20(ervik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nzugy3/Asztal/K&#246;lts&#233;gvet&#233;s/K&#246;lts&#233;gvet&#233;s-2015/Ktgv-2015-M&#369;v.H&#225;z/Ktgv.2.m&#243;d-2015.09-M&#369;v.H&#225;z/Ktgv.2.m&#243;d-2015.09-M&#369;v.H&#225;z/Ktgv.2.m&#243;d-ervik-M&#369;v.H-2015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nzugy3/Asztal/K&#246;lts&#233;gvet&#233;s/K&#246;lts&#233;gvet&#233;s-2015/Ktgv-2015-&#214;nkorm/Ktgv.4.m&#243;d-2015.12-&#214;nk/Ktgv.4.m&#243;d-2015.12-&#214;nk/Ktgv.4.m&#243;d-ervik-&#214;nk-2015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ÖSSZEFÜGGÉSEK"/>
      <sheetName val="ELLENŐRZÉS-1.sz.2.a.sz.2.b.sz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"/>
      <sheetName val="2.2.sz.mell"/>
      <sheetName val="3.sz.mell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ÖSSZEFÜGGÉSEK"/>
      <sheetName val="ELLENŐRZÉS-1.sz.2.a.sz.2.b.sz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7:H167"/>
  <sheetViews>
    <sheetView tabSelected="1" topLeftCell="C118" zoomScaleNormal="100" zoomScaleSheetLayoutView="100" workbookViewId="0">
      <selection activeCell="L125" sqref="L125"/>
    </sheetView>
  </sheetViews>
  <sheetFormatPr defaultColWidth="9.33203125" defaultRowHeight="15.6" x14ac:dyDescent="0.3"/>
  <cols>
    <col min="1" max="1" width="9.44140625" style="214" customWidth="1"/>
    <col min="2" max="2" width="71.6640625" style="214" customWidth="1"/>
    <col min="3" max="8" width="21.6640625" style="215" customWidth="1"/>
    <col min="9" max="16384" width="9.33203125" style="214"/>
  </cols>
  <sheetData>
    <row r="7" spans="1:8" x14ac:dyDescent="0.3">
      <c r="A7" s="672" t="s">
        <v>13</v>
      </c>
      <c r="B7" s="672"/>
      <c r="C7" s="214"/>
      <c r="D7" s="214"/>
      <c r="E7" s="214"/>
      <c r="F7" s="214"/>
      <c r="G7" s="214"/>
      <c r="H7" s="214"/>
    </row>
    <row r="8" spans="1:8" ht="16.8" thickBot="1" x14ac:dyDescent="0.35">
      <c r="A8" s="671" t="s">
        <v>147</v>
      </c>
      <c r="B8" s="671"/>
      <c r="C8" s="592" t="s">
        <v>606</v>
      </c>
      <c r="D8" s="592" t="s">
        <v>606</v>
      </c>
      <c r="E8" s="592" t="s">
        <v>615</v>
      </c>
      <c r="F8" s="592" t="s">
        <v>615</v>
      </c>
      <c r="G8" s="592" t="s">
        <v>615</v>
      </c>
      <c r="H8" s="592" t="s">
        <v>615</v>
      </c>
    </row>
    <row r="9" spans="1:8" ht="31.8" thickBot="1" x14ac:dyDescent="0.35">
      <c r="A9" s="593" t="s">
        <v>67</v>
      </c>
      <c r="B9" s="594" t="s">
        <v>15</v>
      </c>
      <c r="C9" s="595" t="s">
        <v>638</v>
      </c>
      <c r="D9" s="595" t="s">
        <v>681</v>
      </c>
      <c r="E9" s="595" t="s">
        <v>699</v>
      </c>
      <c r="F9" s="595" t="s">
        <v>710</v>
      </c>
      <c r="G9" s="595" t="s">
        <v>723</v>
      </c>
      <c r="H9" s="595" t="s">
        <v>723</v>
      </c>
    </row>
    <row r="10" spans="1:8" s="531" customFormat="1" ht="16.2" thickBot="1" x14ac:dyDescent="0.35">
      <c r="A10" s="596" t="s">
        <v>494</v>
      </c>
      <c r="B10" s="597" t="s">
        <v>495</v>
      </c>
      <c r="C10" s="598" t="s">
        <v>496</v>
      </c>
      <c r="D10" s="598" t="s">
        <v>496</v>
      </c>
      <c r="E10" s="598" t="s">
        <v>496</v>
      </c>
      <c r="F10" s="598" t="s">
        <v>496</v>
      </c>
      <c r="G10" s="598" t="s">
        <v>496</v>
      </c>
      <c r="H10" s="598" t="s">
        <v>496</v>
      </c>
    </row>
    <row r="11" spans="1:8" s="531" customFormat="1" ht="16.2" thickBot="1" x14ac:dyDescent="0.35">
      <c r="A11" s="599" t="s">
        <v>16</v>
      </c>
      <c r="B11" s="600" t="s">
        <v>248</v>
      </c>
      <c r="C11" s="601">
        <f t="shared" ref="C11:H11" si="0">+C12+C13+C14+C15+C16+C17</f>
        <v>220726</v>
      </c>
      <c r="D11" s="601">
        <f t="shared" si="0"/>
        <v>222684</v>
      </c>
      <c r="E11" s="601">
        <f t="shared" si="0"/>
        <v>238913095</v>
      </c>
      <c r="F11" s="601">
        <f t="shared" si="0"/>
        <v>241120656</v>
      </c>
      <c r="G11" s="601">
        <f t="shared" si="0"/>
        <v>242303330</v>
      </c>
      <c r="H11" s="601">
        <f t="shared" si="0"/>
        <v>242303330</v>
      </c>
    </row>
    <row r="12" spans="1:8" s="531" customFormat="1" x14ac:dyDescent="0.3">
      <c r="A12" s="602" t="s">
        <v>96</v>
      </c>
      <c r="B12" s="603" t="s">
        <v>249</v>
      </c>
      <c r="C12" s="604">
        <f>129684+352</f>
        <v>130036</v>
      </c>
      <c r="D12" s="604">
        <f>129684+352</f>
        <v>130036</v>
      </c>
      <c r="E12" s="604">
        <v>130036203</v>
      </c>
      <c r="F12" s="604">
        <v>130036203</v>
      </c>
      <c r="G12" s="604">
        <v>130036203</v>
      </c>
      <c r="H12" s="604">
        <v>130036203</v>
      </c>
    </row>
    <row r="13" spans="1:8" s="531" customFormat="1" x14ac:dyDescent="0.3">
      <c r="A13" s="605" t="s">
        <v>97</v>
      </c>
      <c r="B13" s="606" t="s">
        <v>250</v>
      </c>
      <c r="C13" s="607">
        <v>51222</v>
      </c>
      <c r="D13" s="607">
        <v>51222</v>
      </c>
      <c r="E13" s="607">
        <f>51222140-914933</f>
        <v>50307207</v>
      </c>
      <c r="F13" s="607">
        <v>51550240</v>
      </c>
      <c r="G13" s="607">
        <v>51550240</v>
      </c>
      <c r="H13" s="607">
        <v>51550240</v>
      </c>
    </row>
    <row r="14" spans="1:8" s="531" customFormat="1" x14ac:dyDescent="0.3">
      <c r="A14" s="605" t="s">
        <v>98</v>
      </c>
      <c r="B14" s="606" t="s">
        <v>251</v>
      </c>
      <c r="C14" s="607">
        <v>36662</v>
      </c>
      <c r="D14" s="607">
        <v>36662</v>
      </c>
      <c r="E14" s="607">
        <v>36662252</v>
      </c>
      <c r="F14" s="607">
        <v>36856952</v>
      </c>
      <c r="G14" s="607">
        <v>37799442</v>
      </c>
      <c r="H14" s="607">
        <v>37799442</v>
      </c>
    </row>
    <row r="15" spans="1:8" s="531" customFormat="1" x14ac:dyDescent="0.3">
      <c r="A15" s="605" t="s">
        <v>99</v>
      </c>
      <c r="B15" s="606" t="s">
        <v>252</v>
      </c>
      <c r="C15" s="607">
        <v>2806</v>
      </c>
      <c r="D15" s="607">
        <v>3496</v>
      </c>
      <c r="E15" s="607">
        <v>3495417</v>
      </c>
      <c r="F15" s="607">
        <v>3495417</v>
      </c>
      <c r="G15" s="607">
        <v>3495417</v>
      </c>
      <c r="H15" s="607">
        <v>3495417</v>
      </c>
    </row>
    <row r="16" spans="1:8" s="531" customFormat="1" x14ac:dyDescent="0.3">
      <c r="A16" s="605" t="s">
        <v>144</v>
      </c>
      <c r="B16" s="608" t="s">
        <v>436</v>
      </c>
      <c r="C16" s="607"/>
      <c r="D16" s="607">
        <v>1268</v>
      </c>
      <c r="E16" s="607">
        <f>1268057+15721200+342000+738759+342000</f>
        <v>18412016</v>
      </c>
      <c r="F16" s="607">
        <v>19181844</v>
      </c>
      <c r="G16" s="607">
        <v>19422028</v>
      </c>
      <c r="H16" s="607">
        <v>19422028</v>
      </c>
    </row>
    <row r="17" spans="1:8" s="531" customFormat="1" ht="16.2" thickBot="1" x14ac:dyDescent="0.35">
      <c r="A17" s="609" t="s">
        <v>100</v>
      </c>
      <c r="B17" s="610" t="s">
        <v>437</v>
      </c>
      <c r="C17" s="607"/>
      <c r="D17" s="607"/>
      <c r="E17" s="607"/>
      <c r="F17" s="607"/>
      <c r="G17" s="607"/>
      <c r="H17" s="607"/>
    </row>
    <row r="18" spans="1:8" s="531" customFormat="1" ht="16.2" thickBot="1" x14ac:dyDescent="0.35">
      <c r="A18" s="599" t="s">
        <v>17</v>
      </c>
      <c r="B18" s="611" t="s">
        <v>253</v>
      </c>
      <c r="C18" s="601">
        <f t="shared" ref="C18:H18" si="1">+C19+C20+C21+C22+C23</f>
        <v>46768</v>
      </c>
      <c r="D18" s="601">
        <f t="shared" si="1"/>
        <v>52468</v>
      </c>
      <c r="E18" s="601">
        <f t="shared" si="1"/>
        <v>53653585</v>
      </c>
      <c r="F18" s="601">
        <f t="shared" si="1"/>
        <v>57004921</v>
      </c>
      <c r="G18" s="601">
        <f t="shared" si="1"/>
        <v>60854921</v>
      </c>
      <c r="H18" s="601">
        <f t="shared" si="1"/>
        <v>60854921</v>
      </c>
    </row>
    <row r="19" spans="1:8" s="531" customFormat="1" x14ac:dyDescent="0.3">
      <c r="A19" s="602" t="s">
        <v>102</v>
      </c>
      <c r="B19" s="603" t="s">
        <v>254</v>
      </c>
      <c r="C19" s="604"/>
      <c r="D19" s="604"/>
      <c r="E19" s="604"/>
      <c r="F19" s="604"/>
      <c r="G19" s="604"/>
      <c r="H19" s="604"/>
    </row>
    <row r="20" spans="1:8" s="531" customFormat="1" x14ac:dyDescent="0.3">
      <c r="A20" s="605" t="s">
        <v>103</v>
      </c>
      <c r="B20" s="606" t="s">
        <v>255</v>
      </c>
      <c r="C20" s="607"/>
      <c r="D20" s="607"/>
      <c r="E20" s="607"/>
      <c r="F20" s="607"/>
      <c r="G20" s="607"/>
      <c r="H20" s="607"/>
    </row>
    <row r="21" spans="1:8" s="531" customFormat="1" x14ac:dyDescent="0.3">
      <c r="A21" s="605" t="s">
        <v>104</v>
      </c>
      <c r="B21" s="606" t="s">
        <v>426</v>
      </c>
      <c r="C21" s="607"/>
      <c r="D21" s="607"/>
      <c r="E21" s="607"/>
      <c r="F21" s="607"/>
      <c r="G21" s="607"/>
      <c r="H21" s="607"/>
    </row>
    <row r="22" spans="1:8" s="531" customFormat="1" x14ac:dyDescent="0.3">
      <c r="A22" s="605" t="s">
        <v>105</v>
      </c>
      <c r="B22" s="606" t="s">
        <v>427</v>
      </c>
      <c r="C22" s="607"/>
      <c r="D22" s="607"/>
      <c r="E22" s="607"/>
      <c r="F22" s="607"/>
      <c r="G22" s="607"/>
      <c r="H22" s="607"/>
    </row>
    <row r="23" spans="1:8" s="531" customFormat="1" x14ac:dyDescent="0.3">
      <c r="A23" s="605" t="s">
        <v>106</v>
      </c>
      <c r="B23" s="606" t="s">
        <v>256</v>
      </c>
      <c r="C23" s="607">
        <v>46768</v>
      </c>
      <c r="D23" s="607">
        <v>52468</v>
      </c>
      <c r="E23" s="607">
        <f>785946+52867639</f>
        <v>53653585</v>
      </c>
      <c r="F23" s="607">
        <f>817838+56187083</f>
        <v>57004921</v>
      </c>
      <c r="G23" s="607">
        <f>817838+60037083</f>
        <v>60854921</v>
      </c>
      <c r="H23" s="607">
        <f>817838+60037083</f>
        <v>60854921</v>
      </c>
    </row>
    <row r="24" spans="1:8" s="531" customFormat="1" ht="16.2" thickBot="1" x14ac:dyDescent="0.35">
      <c r="A24" s="609" t="s">
        <v>115</v>
      </c>
      <c r="B24" s="610" t="s">
        <v>257</v>
      </c>
      <c r="C24" s="612"/>
      <c r="D24" s="612"/>
      <c r="E24" s="612"/>
      <c r="F24" s="612"/>
      <c r="G24" s="612"/>
      <c r="H24" s="612"/>
    </row>
    <row r="25" spans="1:8" s="531" customFormat="1" ht="16.2" thickBot="1" x14ac:dyDescent="0.35">
      <c r="A25" s="599" t="s">
        <v>18</v>
      </c>
      <c r="B25" s="600" t="s">
        <v>258</v>
      </c>
      <c r="C25" s="601">
        <f t="shared" ref="C25:H25" si="2">+C26+C27+C28+C29+C30</f>
        <v>0</v>
      </c>
      <c r="D25" s="601">
        <f t="shared" si="2"/>
        <v>0</v>
      </c>
      <c r="E25" s="601">
        <f t="shared" si="2"/>
        <v>0</v>
      </c>
      <c r="F25" s="601">
        <f t="shared" si="2"/>
        <v>0</v>
      </c>
      <c r="G25" s="601">
        <f t="shared" si="2"/>
        <v>46961784</v>
      </c>
      <c r="H25" s="601">
        <f t="shared" si="2"/>
        <v>46961784</v>
      </c>
    </row>
    <row r="26" spans="1:8" s="531" customFormat="1" x14ac:dyDescent="0.3">
      <c r="A26" s="602" t="s">
        <v>85</v>
      </c>
      <c r="B26" s="603" t="s">
        <v>259</v>
      </c>
      <c r="C26" s="604"/>
      <c r="D26" s="604"/>
      <c r="E26" s="604"/>
      <c r="F26" s="604"/>
      <c r="G26" s="604">
        <v>43811784</v>
      </c>
      <c r="H26" s="604">
        <v>43811784</v>
      </c>
    </row>
    <row r="27" spans="1:8" s="531" customFormat="1" x14ac:dyDescent="0.3">
      <c r="A27" s="605" t="s">
        <v>86</v>
      </c>
      <c r="B27" s="606" t="s">
        <v>260</v>
      </c>
      <c r="C27" s="607"/>
      <c r="D27" s="607"/>
      <c r="E27" s="607"/>
      <c r="F27" s="607"/>
      <c r="G27" s="607"/>
      <c r="H27" s="607"/>
    </row>
    <row r="28" spans="1:8" s="531" customFormat="1" x14ac:dyDescent="0.3">
      <c r="A28" s="605" t="s">
        <v>87</v>
      </c>
      <c r="B28" s="606" t="s">
        <v>428</v>
      </c>
      <c r="C28" s="607"/>
      <c r="D28" s="607"/>
      <c r="E28" s="607"/>
      <c r="F28" s="607"/>
      <c r="G28" s="607"/>
      <c r="H28" s="607"/>
    </row>
    <row r="29" spans="1:8" s="531" customFormat="1" x14ac:dyDescent="0.3">
      <c r="A29" s="605" t="s">
        <v>88</v>
      </c>
      <c r="B29" s="606" t="s">
        <v>429</v>
      </c>
      <c r="C29" s="607"/>
      <c r="D29" s="607"/>
      <c r="E29" s="607"/>
      <c r="F29" s="607"/>
      <c r="G29" s="607"/>
      <c r="H29" s="607"/>
    </row>
    <row r="30" spans="1:8" s="531" customFormat="1" x14ac:dyDescent="0.3">
      <c r="A30" s="605" t="s">
        <v>165</v>
      </c>
      <c r="B30" s="606" t="s">
        <v>261</v>
      </c>
      <c r="C30" s="607"/>
      <c r="D30" s="607"/>
      <c r="E30" s="607"/>
      <c r="F30" s="607"/>
      <c r="G30" s="607">
        <v>3150000</v>
      </c>
      <c r="H30" s="607">
        <v>3150000</v>
      </c>
    </row>
    <row r="31" spans="1:8" s="531" customFormat="1" ht="16.2" thickBot="1" x14ac:dyDescent="0.35">
      <c r="A31" s="609" t="s">
        <v>166</v>
      </c>
      <c r="B31" s="613" t="s">
        <v>262</v>
      </c>
      <c r="C31" s="612"/>
      <c r="D31" s="612"/>
      <c r="E31" s="612"/>
      <c r="F31" s="612"/>
      <c r="G31" s="612"/>
      <c r="H31" s="612"/>
    </row>
    <row r="32" spans="1:8" s="531" customFormat="1" ht="16.2" thickBot="1" x14ac:dyDescent="0.35">
      <c r="A32" s="599" t="s">
        <v>167</v>
      </c>
      <c r="B32" s="600" t="s">
        <v>263</v>
      </c>
      <c r="C32" s="614">
        <f t="shared" ref="C32:H32" si="3">+C33+C37+C38+C39</f>
        <v>120530</v>
      </c>
      <c r="D32" s="614">
        <f t="shared" si="3"/>
        <v>120530</v>
      </c>
      <c r="E32" s="614">
        <f t="shared" si="3"/>
        <v>120545000</v>
      </c>
      <c r="F32" s="614">
        <f t="shared" si="3"/>
        <v>127980000</v>
      </c>
      <c r="G32" s="614">
        <f t="shared" si="3"/>
        <v>133715000</v>
      </c>
      <c r="H32" s="614">
        <f t="shared" si="3"/>
        <v>133715000</v>
      </c>
    </row>
    <row r="33" spans="1:8" s="531" customFormat="1" x14ac:dyDescent="0.3">
      <c r="A33" s="602" t="s">
        <v>264</v>
      </c>
      <c r="B33" s="603" t="s">
        <v>443</v>
      </c>
      <c r="C33" s="615">
        <f t="shared" ref="C33:H33" si="4">+C34+C35+C36</f>
        <v>86000</v>
      </c>
      <c r="D33" s="615">
        <f t="shared" si="4"/>
        <v>86000</v>
      </c>
      <c r="E33" s="615">
        <f t="shared" si="4"/>
        <v>86000000</v>
      </c>
      <c r="F33" s="615">
        <f t="shared" si="4"/>
        <v>90950000</v>
      </c>
      <c r="G33" s="615">
        <f t="shared" si="4"/>
        <v>95242000</v>
      </c>
      <c r="H33" s="615">
        <f t="shared" si="4"/>
        <v>95242000</v>
      </c>
    </row>
    <row r="34" spans="1:8" s="531" customFormat="1" x14ac:dyDescent="0.3">
      <c r="A34" s="605" t="s">
        <v>265</v>
      </c>
      <c r="B34" s="606" t="s">
        <v>270</v>
      </c>
      <c r="C34" s="607">
        <v>51000</v>
      </c>
      <c r="D34" s="607">
        <v>51000</v>
      </c>
      <c r="E34" s="607">
        <v>51000000</v>
      </c>
      <c r="F34" s="607">
        <v>55950000</v>
      </c>
      <c r="G34" s="607">
        <v>56430000</v>
      </c>
      <c r="H34" s="607">
        <v>56430000</v>
      </c>
    </row>
    <row r="35" spans="1:8" s="531" customFormat="1" x14ac:dyDescent="0.3">
      <c r="A35" s="605" t="s">
        <v>266</v>
      </c>
      <c r="B35" s="606" t="s">
        <v>271</v>
      </c>
      <c r="C35" s="607"/>
      <c r="D35" s="607"/>
      <c r="E35" s="607"/>
      <c r="F35" s="607"/>
      <c r="G35" s="607"/>
      <c r="H35" s="607"/>
    </row>
    <row r="36" spans="1:8" s="531" customFormat="1" x14ac:dyDescent="0.3">
      <c r="A36" s="605" t="s">
        <v>441</v>
      </c>
      <c r="B36" s="616" t="s">
        <v>442</v>
      </c>
      <c r="C36" s="607">
        <v>35000</v>
      </c>
      <c r="D36" s="607">
        <v>35000</v>
      </c>
      <c r="E36" s="607">
        <v>35000000</v>
      </c>
      <c r="F36" s="607">
        <v>35000000</v>
      </c>
      <c r="G36" s="607">
        <v>38812000</v>
      </c>
      <c r="H36" s="607">
        <v>38812000</v>
      </c>
    </row>
    <row r="37" spans="1:8" s="531" customFormat="1" x14ac:dyDescent="0.3">
      <c r="A37" s="605" t="s">
        <v>267</v>
      </c>
      <c r="B37" s="606" t="s">
        <v>272</v>
      </c>
      <c r="C37" s="607">
        <v>7400</v>
      </c>
      <c r="D37" s="607">
        <v>7400</v>
      </c>
      <c r="E37" s="607">
        <v>7400000</v>
      </c>
      <c r="F37" s="607">
        <v>8310000</v>
      </c>
      <c r="G37" s="607">
        <v>8436000</v>
      </c>
      <c r="H37" s="607">
        <v>8436000</v>
      </c>
    </row>
    <row r="38" spans="1:8" s="531" customFormat="1" x14ac:dyDescent="0.3">
      <c r="A38" s="605" t="s">
        <v>268</v>
      </c>
      <c r="B38" s="606" t="s">
        <v>273</v>
      </c>
      <c r="C38" s="607">
        <v>27000</v>
      </c>
      <c r="D38" s="607">
        <v>27000</v>
      </c>
      <c r="E38" s="607">
        <v>27000000</v>
      </c>
      <c r="F38" s="607">
        <v>28460000</v>
      </c>
      <c r="G38" s="607">
        <v>29777000</v>
      </c>
      <c r="H38" s="607">
        <v>29777000</v>
      </c>
    </row>
    <row r="39" spans="1:8" s="531" customFormat="1" ht="16.2" thickBot="1" x14ac:dyDescent="0.35">
      <c r="A39" s="609" t="s">
        <v>269</v>
      </c>
      <c r="B39" s="613" t="s">
        <v>274</v>
      </c>
      <c r="C39" s="612">
        <v>130</v>
      </c>
      <c r="D39" s="612">
        <v>130</v>
      </c>
      <c r="E39" s="612">
        <f>15000+130000</f>
        <v>145000</v>
      </c>
      <c r="F39" s="612">
        <f>15000+245000</f>
        <v>260000</v>
      </c>
      <c r="G39" s="612">
        <f>245000+15000</f>
        <v>260000</v>
      </c>
      <c r="H39" s="612">
        <f>245000+15000</f>
        <v>260000</v>
      </c>
    </row>
    <row r="40" spans="1:8" s="531" customFormat="1" ht="16.2" thickBot="1" x14ac:dyDescent="0.35">
      <c r="A40" s="599" t="s">
        <v>20</v>
      </c>
      <c r="B40" s="600" t="s">
        <v>438</v>
      </c>
      <c r="C40" s="601">
        <f t="shared" ref="C40:H40" si="5">SUM(C41:C51)</f>
        <v>113148</v>
      </c>
      <c r="D40" s="601">
        <f t="shared" si="5"/>
        <v>115466</v>
      </c>
      <c r="E40" s="601">
        <f t="shared" si="5"/>
        <v>128382482</v>
      </c>
      <c r="F40" s="601">
        <f t="shared" si="5"/>
        <v>138212002</v>
      </c>
      <c r="G40" s="601">
        <f t="shared" si="5"/>
        <v>140424874</v>
      </c>
      <c r="H40" s="601">
        <f t="shared" si="5"/>
        <v>140424874</v>
      </c>
    </row>
    <row r="41" spans="1:8" s="531" customFormat="1" x14ac:dyDescent="0.3">
      <c r="A41" s="602" t="s">
        <v>89</v>
      </c>
      <c r="B41" s="603" t="s">
        <v>277</v>
      </c>
      <c r="C41" s="604"/>
      <c r="D41" s="604"/>
      <c r="E41" s="604"/>
      <c r="F41" s="604"/>
      <c r="G41" s="604">
        <v>72900</v>
      </c>
      <c r="H41" s="604">
        <v>72900</v>
      </c>
    </row>
    <row r="42" spans="1:8" s="531" customFormat="1" x14ac:dyDescent="0.3">
      <c r="A42" s="605" t="s">
        <v>90</v>
      </c>
      <c r="B42" s="606" t="s">
        <v>278</v>
      </c>
      <c r="C42" s="607">
        <f>2120+76644</f>
        <v>78764</v>
      </c>
      <c r="D42" s="607">
        <f>2120+76644</f>
        <v>78764</v>
      </c>
      <c r="E42" s="607">
        <f>2120000+86775048</f>
        <v>88895048</v>
      </c>
      <c r="F42" s="607">
        <f>94134576+2120000</f>
        <v>96254576</v>
      </c>
      <c r="G42" s="607">
        <f>95331576+2151026+7</f>
        <v>97482609</v>
      </c>
      <c r="H42" s="607">
        <f>95331576+2151026+7</f>
        <v>97482609</v>
      </c>
    </row>
    <row r="43" spans="1:8" s="531" customFormat="1" x14ac:dyDescent="0.3">
      <c r="A43" s="605" t="s">
        <v>91</v>
      </c>
      <c r="B43" s="606" t="s">
        <v>279</v>
      </c>
      <c r="C43" s="607">
        <v>1200</v>
      </c>
      <c r="D43" s="607">
        <f>1200+1800</f>
        <v>3000</v>
      </c>
      <c r="E43" s="607">
        <f>50000+3000000</f>
        <v>3050000</v>
      </c>
      <c r="F43" s="607">
        <f>50000+3470000</f>
        <v>3520000</v>
      </c>
      <c r="G43" s="607">
        <f>3670000+67018</f>
        <v>3737018</v>
      </c>
      <c r="H43" s="607">
        <f>3670000+67018</f>
        <v>3737018</v>
      </c>
    </row>
    <row r="44" spans="1:8" s="531" customFormat="1" x14ac:dyDescent="0.3">
      <c r="A44" s="605" t="s">
        <v>169</v>
      </c>
      <c r="B44" s="606" t="s">
        <v>280</v>
      </c>
      <c r="C44" s="607"/>
      <c r="D44" s="607"/>
      <c r="E44" s="607"/>
      <c r="F44" s="607"/>
      <c r="G44" s="607"/>
      <c r="H44" s="607"/>
    </row>
    <row r="45" spans="1:8" s="531" customFormat="1" x14ac:dyDescent="0.3">
      <c r="A45" s="605" t="s">
        <v>170</v>
      </c>
      <c r="B45" s="606" t="s">
        <v>281</v>
      </c>
      <c r="C45" s="607">
        <v>10000</v>
      </c>
      <c r="D45" s="607">
        <v>10000</v>
      </c>
      <c r="E45" s="607">
        <v>10000000</v>
      </c>
      <c r="F45" s="607">
        <v>10000000</v>
      </c>
      <c r="G45" s="607">
        <v>10000000</v>
      </c>
      <c r="H45" s="607">
        <v>10000000</v>
      </c>
    </row>
    <row r="46" spans="1:8" s="531" customFormat="1" x14ac:dyDescent="0.3">
      <c r="A46" s="605" t="s">
        <v>171</v>
      </c>
      <c r="B46" s="606" t="s">
        <v>282</v>
      </c>
      <c r="C46" s="607">
        <v>23134</v>
      </c>
      <c r="D46" s="607">
        <f>23134+486</f>
        <v>23620</v>
      </c>
      <c r="E46" s="607">
        <f>26355794-360</f>
        <v>26355434</v>
      </c>
      <c r="F46" s="607">
        <f>28320506</f>
        <v>28320506</v>
      </c>
      <c r="G46" s="607">
        <v>29015189</v>
      </c>
      <c r="H46" s="607">
        <v>29015189</v>
      </c>
    </row>
    <row r="47" spans="1:8" s="531" customFormat="1" x14ac:dyDescent="0.3">
      <c r="A47" s="605" t="s">
        <v>172</v>
      </c>
      <c r="B47" s="606" t="s">
        <v>283</v>
      </c>
      <c r="C47" s="607"/>
      <c r="D47" s="607"/>
      <c r="E47" s="607"/>
      <c r="F47" s="607"/>
      <c r="G47" s="607"/>
      <c r="H47" s="607"/>
    </row>
    <row r="48" spans="1:8" s="531" customFormat="1" x14ac:dyDescent="0.3">
      <c r="A48" s="605" t="s">
        <v>173</v>
      </c>
      <c r="B48" s="606" t="s">
        <v>284</v>
      </c>
      <c r="C48" s="607">
        <v>50</v>
      </c>
      <c r="D48" s="607">
        <v>50</v>
      </c>
      <c r="E48" s="607">
        <v>50000</v>
      </c>
      <c r="F48" s="607">
        <v>50000</v>
      </c>
      <c r="G48" s="607">
        <f>50000+102+136</f>
        <v>50238</v>
      </c>
      <c r="H48" s="607">
        <f>50000+102+136</f>
        <v>50238</v>
      </c>
    </row>
    <row r="49" spans="1:8" s="531" customFormat="1" x14ac:dyDescent="0.3">
      <c r="A49" s="605" t="s">
        <v>275</v>
      </c>
      <c r="B49" s="606" t="s">
        <v>285</v>
      </c>
      <c r="C49" s="617"/>
      <c r="D49" s="617"/>
      <c r="E49" s="617"/>
      <c r="F49" s="617"/>
      <c r="G49" s="617"/>
      <c r="H49" s="617"/>
    </row>
    <row r="50" spans="1:8" s="531" customFormat="1" x14ac:dyDescent="0.3">
      <c r="A50" s="609" t="s">
        <v>276</v>
      </c>
      <c r="B50" s="613" t="s">
        <v>440</v>
      </c>
      <c r="C50" s="618"/>
      <c r="D50" s="618"/>
      <c r="E50" s="618"/>
      <c r="F50" s="618"/>
      <c r="G50" s="618"/>
      <c r="H50" s="618"/>
    </row>
    <row r="51" spans="1:8" s="531" customFormat="1" ht="16.2" thickBot="1" x14ac:dyDescent="0.35">
      <c r="A51" s="609" t="s">
        <v>439</v>
      </c>
      <c r="B51" s="610" t="s">
        <v>286</v>
      </c>
      <c r="C51" s="618"/>
      <c r="D51" s="618">
        <v>32</v>
      </c>
      <c r="E51" s="618">
        <v>32000</v>
      </c>
      <c r="F51" s="618">
        <v>66920</v>
      </c>
      <c r="G51" s="618">
        <v>66920</v>
      </c>
      <c r="H51" s="618">
        <v>66920</v>
      </c>
    </row>
    <row r="52" spans="1:8" s="531" customFormat="1" ht="16.2" thickBot="1" x14ac:dyDescent="0.35">
      <c r="A52" s="599" t="s">
        <v>21</v>
      </c>
      <c r="B52" s="600" t="s">
        <v>287</v>
      </c>
      <c r="C52" s="601">
        <f t="shared" ref="C52:H52" si="6">SUM(C53:C57)</f>
        <v>336</v>
      </c>
      <c r="D52" s="601">
        <f t="shared" si="6"/>
        <v>336</v>
      </c>
      <c r="E52" s="601">
        <f t="shared" si="6"/>
        <v>336000</v>
      </c>
      <c r="F52" s="601">
        <f t="shared" si="6"/>
        <v>336000</v>
      </c>
      <c r="G52" s="601">
        <f t="shared" si="6"/>
        <v>336000</v>
      </c>
      <c r="H52" s="601">
        <f t="shared" si="6"/>
        <v>336000</v>
      </c>
    </row>
    <row r="53" spans="1:8" s="531" customFormat="1" x14ac:dyDescent="0.3">
      <c r="A53" s="602" t="s">
        <v>92</v>
      </c>
      <c r="B53" s="603" t="s">
        <v>291</v>
      </c>
      <c r="C53" s="619"/>
      <c r="D53" s="619"/>
      <c r="E53" s="619"/>
      <c r="F53" s="619"/>
      <c r="G53" s="619"/>
      <c r="H53" s="619"/>
    </row>
    <row r="54" spans="1:8" s="531" customFormat="1" x14ac:dyDescent="0.3">
      <c r="A54" s="605" t="s">
        <v>93</v>
      </c>
      <c r="B54" s="606" t="s">
        <v>292</v>
      </c>
      <c r="C54" s="617">
        <v>336</v>
      </c>
      <c r="D54" s="617">
        <v>336</v>
      </c>
      <c r="E54" s="617">
        <v>336000</v>
      </c>
      <c r="F54" s="617">
        <v>336000</v>
      </c>
      <c r="G54" s="617">
        <v>336000</v>
      </c>
      <c r="H54" s="617">
        <v>336000</v>
      </c>
    </row>
    <row r="55" spans="1:8" s="531" customFormat="1" x14ac:dyDescent="0.3">
      <c r="A55" s="605" t="s">
        <v>288</v>
      </c>
      <c r="B55" s="606" t="s">
        <v>293</v>
      </c>
      <c r="C55" s="617"/>
      <c r="D55" s="617"/>
      <c r="E55" s="617"/>
      <c r="F55" s="617"/>
      <c r="G55" s="617"/>
      <c r="H55" s="617"/>
    </row>
    <row r="56" spans="1:8" s="531" customFormat="1" x14ac:dyDescent="0.3">
      <c r="A56" s="605" t="s">
        <v>289</v>
      </c>
      <c r="B56" s="606" t="s">
        <v>294</v>
      </c>
      <c r="C56" s="617"/>
      <c r="D56" s="617"/>
      <c r="E56" s="617"/>
      <c r="F56" s="617"/>
      <c r="G56" s="617"/>
      <c r="H56" s="617"/>
    </row>
    <row r="57" spans="1:8" s="531" customFormat="1" ht="16.2" thickBot="1" x14ac:dyDescent="0.35">
      <c r="A57" s="609" t="s">
        <v>290</v>
      </c>
      <c r="B57" s="610" t="s">
        <v>295</v>
      </c>
      <c r="C57" s="618"/>
      <c r="D57" s="618"/>
      <c r="E57" s="618"/>
      <c r="F57" s="618"/>
      <c r="G57" s="618"/>
      <c r="H57" s="618"/>
    </row>
    <row r="58" spans="1:8" s="531" customFormat="1" ht="16.2" thickBot="1" x14ac:dyDescent="0.35">
      <c r="A58" s="599" t="s">
        <v>174</v>
      </c>
      <c r="B58" s="600" t="s">
        <v>296</v>
      </c>
      <c r="C58" s="601">
        <f t="shared" ref="C58:H58" si="7">SUM(C59:C61)</f>
        <v>0</v>
      </c>
      <c r="D58" s="601">
        <f t="shared" si="7"/>
        <v>50</v>
      </c>
      <c r="E58" s="601">
        <f t="shared" si="7"/>
        <v>150000</v>
      </c>
      <c r="F58" s="601">
        <f t="shared" si="7"/>
        <v>150000</v>
      </c>
      <c r="G58" s="601">
        <f t="shared" si="7"/>
        <v>150000</v>
      </c>
      <c r="H58" s="601">
        <f t="shared" si="7"/>
        <v>150000</v>
      </c>
    </row>
    <row r="59" spans="1:8" s="531" customFormat="1" x14ac:dyDescent="0.3">
      <c r="A59" s="602" t="s">
        <v>94</v>
      </c>
      <c r="B59" s="603" t="s">
        <v>297</v>
      </c>
      <c r="C59" s="604"/>
      <c r="D59" s="604"/>
      <c r="E59" s="604"/>
      <c r="F59" s="604"/>
      <c r="G59" s="604"/>
      <c r="H59" s="604"/>
    </row>
    <row r="60" spans="1:8" s="531" customFormat="1" ht="31.2" x14ac:dyDescent="0.3">
      <c r="A60" s="605" t="s">
        <v>95</v>
      </c>
      <c r="B60" s="606" t="s">
        <v>430</v>
      </c>
      <c r="C60" s="607"/>
      <c r="D60" s="607"/>
      <c r="E60" s="607"/>
      <c r="F60" s="607"/>
      <c r="G60" s="607"/>
      <c r="H60" s="607"/>
    </row>
    <row r="61" spans="1:8" s="531" customFormat="1" x14ac:dyDescent="0.3">
      <c r="A61" s="605" t="s">
        <v>300</v>
      </c>
      <c r="B61" s="606" t="s">
        <v>298</v>
      </c>
      <c r="C61" s="607"/>
      <c r="D61" s="607">
        <v>50</v>
      </c>
      <c r="E61" s="607">
        <v>150000</v>
      </c>
      <c r="F61" s="607">
        <v>150000</v>
      </c>
      <c r="G61" s="607">
        <v>150000</v>
      </c>
      <c r="H61" s="607">
        <v>150000</v>
      </c>
    </row>
    <row r="62" spans="1:8" s="531" customFormat="1" ht="16.2" thickBot="1" x14ac:dyDescent="0.35">
      <c r="A62" s="609" t="s">
        <v>301</v>
      </c>
      <c r="B62" s="610" t="s">
        <v>299</v>
      </c>
      <c r="C62" s="612"/>
      <c r="D62" s="612"/>
      <c r="E62" s="612"/>
      <c r="F62" s="612"/>
      <c r="G62" s="612"/>
      <c r="H62" s="612"/>
    </row>
    <row r="63" spans="1:8" s="531" customFormat="1" ht="16.2" thickBot="1" x14ac:dyDescent="0.35">
      <c r="A63" s="599" t="s">
        <v>23</v>
      </c>
      <c r="B63" s="611" t="s">
        <v>302</v>
      </c>
      <c r="C63" s="601">
        <f t="shared" ref="C63:H63" si="8">SUM(C64:C66)</f>
        <v>4761</v>
      </c>
      <c r="D63" s="601">
        <f t="shared" si="8"/>
        <v>4761</v>
      </c>
      <c r="E63" s="601">
        <f t="shared" si="8"/>
        <v>4770000</v>
      </c>
      <c r="F63" s="601">
        <f t="shared" si="8"/>
        <v>4810000</v>
      </c>
      <c r="G63" s="601">
        <f t="shared" si="8"/>
        <v>4810000</v>
      </c>
      <c r="H63" s="601">
        <f t="shared" si="8"/>
        <v>4810000</v>
      </c>
    </row>
    <row r="64" spans="1:8" s="531" customFormat="1" x14ac:dyDescent="0.3">
      <c r="A64" s="602" t="s">
        <v>175</v>
      </c>
      <c r="B64" s="603" t="s">
        <v>304</v>
      </c>
      <c r="C64" s="617"/>
      <c r="D64" s="617"/>
      <c r="E64" s="617"/>
      <c r="F64" s="617"/>
      <c r="G64" s="617"/>
      <c r="H64" s="617"/>
    </row>
    <row r="65" spans="1:8" s="531" customFormat="1" ht="31.2" x14ac:dyDescent="0.3">
      <c r="A65" s="605" t="s">
        <v>176</v>
      </c>
      <c r="B65" s="606" t="s">
        <v>431</v>
      </c>
      <c r="C65" s="617">
        <v>61</v>
      </c>
      <c r="D65" s="617">
        <v>61</v>
      </c>
      <c r="E65" s="617">
        <f>60576+9424</f>
        <v>70000</v>
      </c>
      <c r="F65" s="617">
        <v>110000</v>
      </c>
      <c r="G65" s="617">
        <v>110000</v>
      </c>
      <c r="H65" s="617">
        <v>110000</v>
      </c>
    </row>
    <row r="66" spans="1:8" s="531" customFormat="1" x14ac:dyDescent="0.3">
      <c r="A66" s="605" t="s">
        <v>224</v>
      </c>
      <c r="B66" s="606" t="s">
        <v>305</v>
      </c>
      <c r="C66" s="617">
        <v>4700</v>
      </c>
      <c r="D66" s="617">
        <v>4700</v>
      </c>
      <c r="E66" s="617">
        <v>4700000</v>
      </c>
      <c r="F66" s="617">
        <v>4700000</v>
      </c>
      <c r="G66" s="617">
        <v>4700000</v>
      </c>
      <c r="H66" s="617">
        <v>4700000</v>
      </c>
    </row>
    <row r="67" spans="1:8" s="531" customFormat="1" ht="16.2" thickBot="1" x14ac:dyDescent="0.35">
      <c r="A67" s="609" t="s">
        <v>303</v>
      </c>
      <c r="B67" s="610" t="s">
        <v>306</v>
      </c>
      <c r="C67" s="617"/>
      <c r="D67" s="617"/>
      <c r="E67" s="617"/>
      <c r="F67" s="617"/>
      <c r="G67" s="617"/>
      <c r="H67" s="617"/>
    </row>
    <row r="68" spans="1:8" s="531" customFormat="1" ht="16.2" thickBot="1" x14ac:dyDescent="0.35">
      <c r="A68" s="620" t="s">
        <v>483</v>
      </c>
      <c r="B68" s="600" t="s">
        <v>307</v>
      </c>
      <c r="C68" s="614">
        <f t="shared" ref="C68:H68" si="9">+C11+C18+C25+C32+C40+C52+C58+C63</f>
        <v>506269</v>
      </c>
      <c r="D68" s="614">
        <f t="shared" si="9"/>
        <v>516295</v>
      </c>
      <c r="E68" s="614">
        <f t="shared" si="9"/>
        <v>546750162</v>
      </c>
      <c r="F68" s="614">
        <f t="shared" si="9"/>
        <v>569613579</v>
      </c>
      <c r="G68" s="614">
        <f t="shared" si="9"/>
        <v>629555909</v>
      </c>
      <c r="H68" s="614">
        <f t="shared" si="9"/>
        <v>629555909</v>
      </c>
    </row>
    <row r="69" spans="1:8" s="531" customFormat="1" ht="16.2" thickBot="1" x14ac:dyDescent="0.35">
      <c r="A69" s="621" t="s">
        <v>308</v>
      </c>
      <c r="B69" s="611" t="s">
        <v>309</v>
      </c>
      <c r="C69" s="601">
        <f t="shared" ref="C69:H69" si="10">SUM(C70:C72)</f>
        <v>0</v>
      </c>
      <c r="D69" s="601">
        <f t="shared" si="10"/>
        <v>0</v>
      </c>
      <c r="E69" s="601">
        <f t="shared" si="10"/>
        <v>0</v>
      </c>
      <c r="F69" s="601">
        <f t="shared" si="10"/>
        <v>0</v>
      </c>
      <c r="G69" s="601">
        <f t="shared" si="10"/>
        <v>0</v>
      </c>
      <c r="H69" s="601">
        <f t="shared" si="10"/>
        <v>0</v>
      </c>
    </row>
    <row r="70" spans="1:8" s="531" customFormat="1" x14ac:dyDescent="0.3">
      <c r="A70" s="602" t="s">
        <v>340</v>
      </c>
      <c r="B70" s="603" t="s">
        <v>310</v>
      </c>
      <c r="C70" s="617"/>
      <c r="D70" s="617"/>
      <c r="E70" s="617"/>
      <c r="F70" s="617"/>
      <c r="G70" s="617"/>
      <c r="H70" s="617"/>
    </row>
    <row r="71" spans="1:8" s="531" customFormat="1" x14ac:dyDescent="0.3">
      <c r="A71" s="605" t="s">
        <v>349</v>
      </c>
      <c r="B71" s="606" t="s">
        <v>311</v>
      </c>
      <c r="C71" s="617"/>
      <c r="D71" s="617"/>
      <c r="E71" s="617"/>
      <c r="F71" s="617"/>
      <c r="G71" s="617"/>
      <c r="H71" s="617"/>
    </row>
    <row r="72" spans="1:8" s="531" customFormat="1" ht="16.2" thickBot="1" x14ac:dyDescent="0.35">
      <c r="A72" s="609" t="s">
        <v>350</v>
      </c>
      <c r="B72" s="622" t="s">
        <v>468</v>
      </c>
      <c r="C72" s="617"/>
      <c r="D72" s="617"/>
      <c r="E72" s="617"/>
      <c r="F72" s="617"/>
      <c r="G72" s="617"/>
      <c r="H72" s="617"/>
    </row>
    <row r="73" spans="1:8" s="531" customFormat="1" ht="16.2" thickBot="1" x14ac:dyDescent="0.35">
      <c r="A73" s="621" t="s">
        <v>313</v>
      </c>
      <c r="B73" s="611" t="s">
        <v>314</v>
      </c>
      <c r="C73" s="601">
        <f t="shared" ref="C73:H73" si="11">SUM(C74:C77)</f>
        <v>0</v>
      </c>
      <c r="D73" s="601">
        <f t="shared" si="11"/>
        <v>0</v>
      </c>
      <c r="E73" s="601">
        <f t="shared" si="11"/>
        <v>0</v>
      </c>
      <c r="F73" s="601">
        <f t="shared" si="11"/>
        <v>0</v>
      </c>
      <c r="G73" s="601">
        <f t="shared" si="11"/>
        <v>0</v>
      </c>
      <c r="H73" s="601">
        <f t="shared" si="11"/>
        <v>0</v>
      </c>
    </row>
    <row r="74" spans="1:8" s="531" customFormat="1" x14ac:dyDescent="0.3">
      <c r="A74" s="602" t="s">
        <v>145</v>
      </c>
      <c r="B74" s="603" t="s">
        <v>315</v>
      </c>
      <c r="C74" s="617"/>
      <c r="D74" s="617"/>
      <c r="E74" s="617"/>
      <c r="F74" s="617"/>
      <c r="G74" s="617"/>
      <c r="H74" s="617"/>
    </row>
    <row r="75" spans="1:8" s="531" customFormat="1" x14ac:dyDescent="0.3">
      <c r="A75" s="605" t="s">
        <v>146</v>
      </c>
      <c r="B75" s="606" t="s">
        <v>316</v>
      </c>
      <c r="C75" s="617"/>
      <c r="D75" s="617"/>
      <c r="E75" s="617"/>
      <c r="F75" s="617"/>
      <c r="G75" s="617"/>
      <c r="H75" s="617"/>
    </row>
    <row r="76" spans="1:8" s="531" customFormat="1" x14ac:dyDescent="0.3">
      <c r="A76" s="605" t="s">
        <v>341</v>
      </c>
      <c r="B76" s="606" t="s">
        <v>317</v>
      </c>
      <c r="C76" s="617"/>
      <c r="D76" s="617"/>
      <c r="E76" s="617"/>
      <c r="F76" s="617"/>
      <c r="G76" s="617"/>
      <c r="H76" s="617"/>
    </row>
    <row r="77" spans="1:8" s="531" customFormat="1" ht="16.2" thickBot="1" x14ac:dyDescent="0.35">
      <c r="A77" s="609" t="s">
        <v>342</v>
      </c>
      <c r="B77" s="610" t="s">
        <v>318</v>
      </c>
      <c r="C77" s="617"/>
      <c r="D77" s="617"/>
      <c r="E77" s="617"/>
      <c r="F77" s="617"/>
      <c r="G77" s="617"/>
      <c r="H77" s="617"/>
    </row>
    <row r="78" spans="1:8" s="531" customFormat="1" ht="16.2" thickBot="1" x14ac:dyDescent="0.35">
      <c r="A78" s="621" t="s">
        <v>319</v>
      </c>
      <c r="B78" s="611" t="s">
        <v>320</v>
      </c>
      <c r="C78" s="601">
        <f t="shared" ref="C78:H78" si="12">SUM(C79:C80)</f>
        <v>159250</v>
      </c>
      <c r="D78" s="601">
        <f t="shared" si="12"/>
        <v>172606</v>
      </c>
      <c r="E78" s="601">
        <f t="shared" si="12"/>
        <v>175784981</v>
      </c>
      <c r="F78" s="601">
        <f t="shared" si="12"/>
        <v>175784981</v>
      </c>
      <c r="G78" s="601">
        <f t="shared" si="12"/>
        <v>175784981</v>
      </c>
      <c r="H78" s="601">
        <f t="shared" si="12"/>
        <v>175784981</v>
      </c>
    </row>
    <row r="79" spans="1:8" s="531" customFormat="1" x14ac:dyDescent="0.3">
      <c r="A79" s="602" t="s">
        <v>343</v>
      </c>
      <c r="B79" s="603" t="s">
        <v>321</v>
      </c>
      <c r="C79" s="617">
        <v>159250</v>
      </c>
      <c r="D79" s="617">
        <f>172129+477</f>
        <v>172606</v>
      </c>
      <c r="E79" s="617">
        <f>3179222+477225+172128534</f>
        <v>175784981</v>
      </c>
      <c r="F79" s="617">
        <f>3179222+477225+172128534</f>
        <v>175784981</v>
      </c>
      <c r="G79" s="617">
        <f>3179222+477225+172128534</f>
        <v>175784981</v>
      </c>
      <c r="H79" s="617">
        <f>3179222+477225+172128534</f>
        <v>175784981</v>
      </c>
    </row>
    <row r="80" spans="1:8" s="531" customFormat="1" ht="16.2" thickBot="1" x14ac:dyDescent="0.35">
      <c r="A80" s="609" t="s">
        <v>344</v>
      </c>
      <c r="B80" s="610" t="s">
        <v>322</v>
      </c>
      <c r="C80" s="617"/>
      <c r="D80" s="617"/>
      <c r="E80" s="617"/>
      <c r="F80" s="617"/>
      <c r="G80" s="617"/>
      <c r="H80" s="617"/>
    </row>
    <row r="81" spans="1:8" s="531" customFormat="1" ht="16.2" thickBot="1" x14ac:dyDescent="0.35">
      <c r="A81" s="621" t="s">
        <v>323</v>
      </c>
      <c r="B81" s="611" t="s">
        <v>324</v>
      </c>
      <c r="C81" s="601">
        <f t="shared" ref="C81:H81" si="13">SUM(C82:C84)</f>
        <v>0</v>
      </c>
      <c r="D81" s="601">
        <f t="shared" si="13"/>
        <v>0</v>
      </c>
      <c r="E81" s="601">
        <f t="shared" si="13"/>
        <v>0</v>
      </c>
      <c r="F81" s="601">
        <f t="shared" si="13"/>
        <v>0</v>
      </c>
      <c r="G81" s="601">
        <f t="shared" si="13"/>
        <v>7777206</v>
      </c>
      <c r="H81" s="601">
        <f t="shared" si="13"/>
        <v>7777206</v>
      </c>
    </row>
    <row r="82" spans="1:8" s="531" customFormat="1" x14ac:dyDescent="0.3">
      <c r="A82" s="602" t="s">
        <v>345</v>
      </c>
      <c r="B82" s="603" t="s">
        <v>325</v>
      </c>
      <c r="C82" s="617"/>
      <c r="D82" s="617"/>
      <c r="E82" s="617"/>
      <c r="F82" s="617"/>
      <c r="G82" s="617">
        <v>7777206</v>
      </c>
      <c r="H82" s="617">
        <v>7777206</v>
      </c>
    </row>
    <row r="83" spans="1:8" s="531" customFormat="1" x14ac:dyDescent="0.3">
      <c r="A83" s="605" t="s">
        <v>346</v>
      </c>
      <c r="B83" s="606" t="s">
        <v>326</v>
      </c>
      <c r="C83" s="617"/>
      <c r="D83" s="617"/>
      <c r="E83" s="617"/>
      <c r="F83" s="617"/>
      <c r="G83" s="617"/>
      <c r="H83" s="617"/>
    </row>
    <row r="84" spans="1:8" s="531" customFormat="1" ht="16.2" thickBot="1" x14ac:dyDescent="0.35">
      <c r="A84" s="609" t="s">
        <v>347</v>
      </c>
      <c r="B84" s="610" t="s">
        <v>327</v>
      </c>
      <c r="C84" s="617"/>
      <c r="D84" s="617"/>
      <c r="E84" s="617"/>
      <c r="F84" s="617"/>
      <c r="G84" s="617"/>
      <c r="H84" s="617"/>
    </row>
    <row r="85" spans="1:8" s="531" customFormat="1" ht="16.2" thickBot="1" x14ac:dyDescent="0.35">
      <c r="A85" s="621" t="s">
        <v>328</v>
      </c>
      <c r="B85" s="611" t="s">
        <v>348</v>
      </c>
      <c r="C85" s="601">
        <f t="shared" ref="C85:H85" si="14">SUM(C86:C89)</f>
        <v>0</v>
      </c>
      <c r="D85" s="601">
        <f t="shared" si="14"/>
        <v>0</v>
      </c>
      <c r="E85" s="601">
        <f t="shared" si="14"/>
        <v>0</v>
      </c>
      <c r="F85" s="601">
        <f t="shared" si="14"/>
        <v>0</v>
      </c>
      <c r="G85" s="601">
        <f t="shared" si="14"/>
        <v>0</v>
      </c>
      <c r="H85" s="601">
        <f t="shared" si="14"/>
        <v>0</v>
      </c>
    </row>
    <row r="86" spans="1:8" s="531" customFormat="1" x14ac:dyDescent="0.3">
      <c r="A86" s="623" t="s">
        <v>329</v>
      </c>
      <c r="B86" s="603" t="s">
        <v>330</v>
      </c>
      <c r="C86" s="617"/>
      <c r="D86" s="617"/>
      <c r="E86" s="617"/>
      <c r="F86" s="617"/>
      <c r="G86" s="617"/>
      <c r="H86" s="617"/>
    </row>
    <row r="87" spans="1:8" s="531" customFormat="1" x14ac:dyDescent="0.3">
      <c r="A87" s="624" t="s">
        <v>331</v>
      </c>
      <c r="B87" s="606" t="s">
        <v>332</v>
      </c>
      <c r="C87" s="617"/>
      <c r="D87" s="617"/>
      <c r="E87" s="617"/>
      <c r="F87" s="617"/>
      <c r="G87" s="617"/>
      <c r="H87" s="617"/>
    </row>
    <row r="88" spans="1:8" s="531" customFormat="1" x14ac:dyDescent="0.3">
      <c r="A88" s="624" t="s">
        <v>333</v>
      </c>
      <c r="B88" s="606" t="s">
        <v>334</v>
      </c>
      <c r="C88" s="617"/>
      <c r="D88" s="617"/>
      <c r="E88" s="617"/>
      <c r="F88" s="617"/>
      <c r="G88" s="617"/>
      <c r="H88" s="617"/>
    </row>
    <row r="89" spans="1:8" s="531" customFormat="1" ht="16.2" thickBot="1" x14ac:dyDescent="0.35">
      <c r="A89" s="625" t="s">
        <v>335</v>
      </c>
      <c r="B89" s="610" t="s">
        <v>336</v>
      </c>
      <c r="C89" s="617"/>
      <c r="D89" s="617"/>
      <c r="E89" s="617"/>
      <c r="F89" s="617"/>
      <c r="G89" s="617"/>
      <c r="H89" s="617"/>
    </row>
    <row r="90" spans="1:8" s="531" customFormat="1" ht="16.2" thickBot="1" x14ac:dyDescent="0.35">
      <c r="A90" s="621" t="s">
        <v>337</v>
      </c>
      <c r="B90" s="611" t="s">
        <v>482</v>
      </c>
      <c r="C90" s="626"/>
      <c r="D90" s="626"/>
      <c r="E90" s="626"/>
      <c r="F90" s="626"/>
      <c r="G90" s="626"/>
      <c r="H90" s="626"/>
    </row>
    <row r="91" spans="1:8" s="531" customFormat="1" ht="16.2" thickBot="1" x14ac:dyDescent="0.35">
      <c r="A91" s="621" t="s">
        <v>339</v>
      </c>
      <c r="B91" s="611" t="s">
        <v>338</v>
      </c>
      <c r="C91" s="626"/>
      <c r="D91" s="626"/>
      <c r="E91" s="626"/>
      <c r="F91" s="626"/>
      <c r="G91" s="626"/>
      <c r="H91" s="626"/>
    </row>
    <row r="92" spans="1:8" s="531" customFormat="1" ht="16.2" thickBot="1" x14ac:dyDescent="0.35">
      <c r="A92" s="621" t="s">
        <v>351</v>
      </c>
      <c r="B92" s="627" t="s">
        <v>485</v>
      </c>
      <c r="C92" s="614">
        <f t="shared" ref="C92:H92" si="15">+C69+C73+C78+C81+C85+C91+C90</f>
        <v>159250</v>
      </c>
      <c r="D92" s="614">
        <f t="shared" si="15"/>
        <v>172606</v>
      </c>
      <c r="E92" s="614">
        <f t="shared" si="15"/>
        <v>175784981</v>
      </c>
      <c r="F92" s="614">
        <f t="shared" si="15"/>
        <v>175784981</v>
      </c>
      <c r="G92" s="614">
        <f t="shared" si="15"/>
        <v>183562187</v>
      </c>
      <c r="H92" s="614">
        <f t="shared" si="15"/>
        <v>183562187</v>
      </c>
    </row>
    <row r="93" spans="1:8" s="531" customFormat="1" ht="31.8" thickBot="1" x14ac:dyDescent="0.35">
      <c r="A93" s="628" t="s">
        <v>484</v>
      </c>
      <c r="B93" s="629" t="s">
        <v>486</v>
      </c>
      <c r="C93" s="614">
        <f t="shared" ref="C93:H93" si="16">+C68+C92</f>
        <v>665519</v>
      </c>
      <c r="D93" s="614">
        <f t="shared" si="16"/>
        <v>688901</v>
      </c>
      <c r="E93" s="614">
        <f t="shared" si="16"/>
        <v>722535143</v>
      </c>
      <c r="F93" s="614">
        <f t="shared" si="16"/>
        <v>745398560</v>
      </c>
      <c r="G93" s="614">
        <f t="shared" si="16"/>
        <v>813118096</v>
      </c>
      <c r="H93" s="614">
        <f t="shared" si="16"/>
        <v>813118096</v>
      </c>
    </row>
    <row r="94" spans="1:8" s="531" customFormat="1" x14ac:dyDescent="0.3">
      <c r="A94" s="3"/>
      <c r="B94" s="4"/>
      <c r="C94" s="187"/>
      <c r="D94" s="187"/>
      <c r="E94" s="187"/>
      <c r="F94" s="187"/>
      <c r="G94" s="187"/>
      <c r="H94" s="187"/>
    </row>
    <row r="95" spans="1:8" s="633" customFormat="1" x14ac:dyDescent="0.3">
      <c r="A95" s="630"/>
      <c r="B95" s="631"/>
      <c r="C95" s="632"/>
      <c r="D95" s="632"/>
      <c r="E95" s="632"/>
      <c r="F95" s="632"/>
      <c r="G95" s="632"/>
      <c r="H95" s="632"/>
    </row>
    <row r="96" spans="1:8" s="633" customFormat="1" x14ac:dyDescent="0.3">
      <c r="A96" s="630"/>
      <c r="B96" s="631"/>
      <c r="C96" s="632"/>
      <c r="D96" s="632"/>
      <c r="E96" s="632"/>
      <c r="F96" s="632"/>
      <c r="G96" s="632"/>
      <c r="H96" s="632"/>
    </row>
    <row r="97" spans="1:8" x14ac:dyDescent="0.3">
      <c r="A97" s="672" t="s">
        <v>44</v>
      </c>
      <c r="B97" s="672"/>
      <c r="C97" s="214"/>
      <c r="D97" s="214"/>
      <c r="E97" s="214"/>
      <c r="F97" s="214"/>
      <c r="G97" s="214"/>
      <c r="H97" s="214"/>
    </row>
    <row r="98" spans="1:8" s="417" customFormat="1" ht="16.8" thickBot="1" x14ac:dyDescent="0.4">
      <c r="A98" s="673" t="s">
        <v>148</v>
      </c>
      <c r="B98" s="673"/>
      <c r="C98" s="634"/>
      <c r="D98" s="634"/>
      <c r="E98" s="634"/>
      <c r="F98" s="634"/>
      <c r="G98" s="634"/>
      <c r="H98" s="634"/>
    </row>
    <row r="99" spans="1:8" ht="31.8" thickBot="1" x14ac:dyDescent="0.35">
      <c r="A99" s="593" t="s">
        <v>67</v>
      </c>
      <c r="B99" s="594" t="s">
        <v>45</v>
      </c>
      <c r="C99" s="595" t="str">
        <f t="shared" ref="C99:H99" si="17">+C9</f>
        <v>Eredeti előirányzat (2016.01)</v>
      </c>
      <c r="D99" s="595" t="str">
        <f t="shared" si="17"/>
        <v>Módosított előirányzat (2016.05)</v>
      </c>
      <c r="E99" s="595" t="str">
        <f t="shared" si="17"/>
        <v>Módosított előirányzat (2016.09)</v>
      </c>
      <c r="F99" s="595" t="str">
        <f t="shared" si="17"/>
        <v>Módosított előirányzat (2016.11)</v>
      </c>
      <c r="G99" s="595" t="str">
        <f t="shared" si="17"/>
        <v>Módosított előirányzat (2016.12)</v>
      </c>
      <c r="H99" s="595" t="str">
        <f t="shared" si="17"/>
        <v>Módosított előirányzat (2016.12)</v>
      </c>
    </row>
    <row r="100" spans="1:8" s="531" customFormat="1" ht="16.2" thickBot="1" x14ac:dyDescent="0.35">
      <c r="A100" s="593" t="s">
        <v>494</v>
      </c>
      <c r="B100" s="594" t="s">
        <v>495</v>
      </c>
      <c r="C100" s="595" t="s">
        <v>496</v>
      </c>
      <c r="D100" s="595" t="s">
        <v>496</v>
      </c>
      <c r="E100" s="595" t="s">
        <v>496</v>
      </c>
      <c r="F100" s="595" t="s">
        <v>496</v>
      </c>
      <c r="G100" s="595" t="s">
        <v>496</v>
      </c>
      <c r="H100" s="595" t="s">
        <v>496</v>
      </c>
    </row>
    <row r="101" spans="1:8" ht="16.2" thickBot="1" x14ac:dyDescent="0.35">
      <c r="A101" s="635" t="s">
        <v>16</v>
      </c>
      <c r="B101" s="636" t="s">
        <v>729</v>
      </c>
      <c r="C101" s="637">
        <f t="shared" ref="C101:H101" si="18">C102+C103+C104+C105+C106+C119</f>
        <v>569588</v>
      </c>
      <c r="D101" s="637">
        <f t="shared" si="18"/>
        <v>585325</v>
      </c>
      <c r="E101" s="637">
        <f t="shared" si="18"/>
        <v>613692682</v>
      </c>
      <c r="F101" s="637">
        <f t="shared" si="18"/>
        <v>631961959</v>
      </c>
      <c r="G101" s="637">
        <f t="shared" si="18"/>
        <v>655149711</v>
      </c>
      <c r="H101" s="637">
        <f t="shared" si="18"/>
        <v>655114711</v>
      </c>
    </row>
    <row r="102" spans="1:8" x14ac:dyDescent="0.3">
      <c r="A102" s="638" t="s">
        <v>96</v>
      </c>
      <c r="B102" s="639" t="s">
        <v>46</v>
      </c>
      <c r="C102" s="640">
        <f>11361+64115+73044</f>
        <v>148520</v>
      </c>
      <c r="D102" s="640">
        <f>11364+64115+78010-7-1+13</f>
        <v>153494</v>
      </c>
      <c r="E102" s="640">
        <f>68533166+11756370+81602263-173700-26000</f>
        <v>161692099</v>
      </c>
      <c r="F102" s="640">
        <f>68780913+12006370+82368563</f>
        <v>163155846</v>
      </c>
      <c r="G102" s="640">
        <f>82606358+12006370+68780912</f>
        <v>163393640</v>
      </c>
      <c r="H102" s="640">
        <f>82606358+12006370+68780913</f>
        <v>163393641</v>
      </c>
    </row>
    <row r="103" spans="1:8" x14ac:dyDescent="0.3">
      <c r="A103" s="605" t="s">
        <v>97</v>
      </c>
      <c r="B103" s="641" t="s">
        <v>177</v>
      </c>
      <c r="C103" s="607">
        <f>3440+18333+23620</f>
        <v>45393</v>
      </c>
      <c r="D103" s="607">
        <f>3437+18333+24478-179+3</f>
        <v>46072</v>
      </c>
      <c r="E103" s="607">
        <f>19565289+3543625+25293996-46895-7020</f>
        <v>48348995</v>
      </c>
      <c r="F103" s="607">
        <f>19610834+3604375+25549242</f>
        <v>48764451</v>
      </c>
      <c r="G103" s="607">
        <f>25613447+3604375+19610832</f>
        <v>48828654</v>
      </c>
      <c r="H103" s="607">
        <f>25613447+3604375+19610834</f>
        <v>48828656</v>
      </c>
    </row>
    <row r="104" spans="1:8" x14ac:dyDescent="0.3">
      <c r="A104" s="605" t="s">
        <v>98</v>
      </c>
      <c r="B104" s="641" t="s">
        <v>135</v>
      </c>
      <c r="C104" s="612">
        <f>29486+27371+176592</f>
        <v>233449</v>
      </c>
      <c r="D104" s="612">
        <f>29486+27371+177947+179</f>
        <v>234983</v>
      </c>
      <c r="E104" s="612">
        <f>27175369+28519380+179542632+167640</f>
        <v>235405021</v>
      </c>
      <c r="F104" s="612">
        <f>26904104+27827630+180989892</f>
        <v>235721626</v>
      </c>
      <c r="G104" s="612">
        <f>184537892+27587630+26904107</f>
        <v>239029629</v>
      </c>
      <c r="H104" s="612">
        <f>184537892+27587630+26869104</f>
        <v>238994626</v>
      </c>
    </row>
    <row r="105" spans="1:8" x14ac:dyDescent="0.3">
      <c r="A105" s="605" t="s">
        <v>99</v>
      </c>
      <c r="B105" s="642" t="s">
        <v>178</v>
      </c>
      <c r="C105" s="612">
        <v>6014</v>
      </c>
      <c r="D105" s="612">
        <f>6014+7</f>
        <v>6021</v>
      </c>
      <c r="E105" s="612">
        <f>6132820+284480+2050000</f>
        <v>8467300</v>
      </c>
      <c r="F105" s="612">
        <v>12928400</v>
      </c>
      <c r="G105" s="612">
        <v>14205900</v>
      </c>
      <c r="H105" s="612">
        <v>14205900</v>
      </c>
    </row>
    <row r="106" spans="1:8" x14ac:dyDescent="0.3">
      <c r="A106" s="605" t="s">
        <v>110</v>
      </c>
      <c r="B106" s="643" t="s">
        <v>179</v>
      </c>
      <c r="C106" s="612">
        <f t="shared" ref="C106:H106" si="19">C107+C108+C109+C110+C111+C112+C113+C114+C115+C116+C117+C118</f>
        <v>110372</v>
      </c>
      <c r="D106" s="612">
        <f t="shared" si="19"/>
        <v>109716</v>
      </c>
      <c r="E106" s="612">
        <f t="shared" si="19"/>
        <v>126984619</v>
      </c>
      <c r="F106" s="612">
        <f t="shared" si="19"/>
        <v>132697682</v>
      </c>
      <c r="G106" s="612">
        <f t="shared" si="19"/>
        <v>131797654</v>
      </c>
      <c r="H106" s="612">
        <f t="shared" si="19"/>
        <v>131797654</v>
      </c>
    </row>
    <row r="107" spans="1:8" x14ac:dyDescent="0.3">
      <c r="A107" s="605" t="s">
        <v>100</v>
      </c>
      <c r="B107" s="641" t="s">
        <v>449</v>
      </c>
      <c r="C107" s="612"/>
      <c r="D107" s="612"/>
      <c r="E107" s="612"/>
      <c r="F107" s="612"/>
      <c r="G107" s="612"/>
      <c r="H107" s="612"/>
    </row>
    <row r="108" spans="1:8" x14ac:dyDescent="0.3">
      <c r="A108" s="605" t="s">
        <v>101</v>
      </c>
      <c r="B108" s="644" t="s">
        <v>448</v>
      </c>
      <c r="C108" s="612"/>
      <c r="D108" s="612"/>
      <c r="E108" s="612"/>
      <c r="F108" s="612"/>
      <c r="G108" s="612"/>
      <c r="H108" s="612"/>
    </row>
    <row r="109" spans="1:8" x14ac:dyDescent="0.3">
      <c r="A109" s="605" t="s">
        <v>111</v>
      </c>
      <c r="B109" s="644" t="s">
        <v>447</v>
      </c>
      <c r="C109" s="612"/>
      <c r="D109" s="612">
        <v>4017</v>
      </c>
      <c r="E109" s="612">
        <v>4297732</v>
      </c>
      <c r="F109" s="612">
        <v>4300930</v>
      </c>
      <c r="G109" s="612">
        <v>4300930</v>
      </c>
      <c r="H109" s="612">
        <v>4300930</v>
      </c>
    </row>
    <row r="110" spans="1:8" x14ac:dyDescent="0.3">
      <c r="A110" s="605" t="s">
        <v>112</v>
      </c>
      <c r="B110" s="645" t="s">
        <v>354</v>
      </c>
      <c r="C110" s="612"/>
      <c r="D110" s="612"/>
      <c r="E110" s="612"/>
      <c r="F110" s="612"/>
      <c r="G110" s="612"/>
      <c r="H110" s="612"/>
    </row>
    <row r="111" spans="1:8" x14ac:dyDescent="0.3">
      <c r="A111" s="605" t="s">
        <v>113</v>
      </c>
      <c r="B111" s="646" t="s">
        <v>355</v>
      </c>
      <c r="C111" s="612"/>
      <c r="D111" s="612"/>
      <c r="E111" s="612"/>
      <c r="F111" s="612"/>
      <c r="G111" s="612"/>
      <c r="H111" s="612"/>
    </row>
    <row r="112" spans="1:8" x14ac:dyDescent="0.3">
      <c r="A112" s="605" t="s">
        <v>114</v>
      </c>
      <c r="B112" s="646" t="s">
        <v>356</v>
      </c>
      <c r="C112" s="612"/>
      <c r="D112" s="612"/>
      <c r="E112" s="612"/>
      <c r="F112" s="612"/>
      <c r="G112" s="612"/>
      <c r="H112" s="612"/>
    </row>
    <row r="113" spans="1:8" x14ac:dyDescent="0.3">
      <c r="A113" s="605" t="s">
        <v>116</v>
      </c>
      <c r="B113" s="645" t="s">
        <v>357</v>
      </c>
      <c r="C113" s="612">
        <v>78616</v>
      </c>
      <c r="D113" s="612">
        <f>79829+180</f>
        <v>80009</v>
      </c>
      <c r="E113" s="612">
        <f>80496247-137+707187+72390</f>
        <v>81275687</v>
      </c>
      <c r="F113" s="612">
        <f>9865+81375687</f>
        <v>81385552</v>
      </c>
      <c r="G113" s="612">
        <f>81375659+9865</f>
        <v>81385524</v>
      </c>
      <c r="H113" s="612">
        <f>81375659+9865</f>
        <v>81385524</v>
      </c>
    </row>
    <row r="114" spans="1:8" x14ac:dyDescent="0.3">
      <c r="A114" s="605" t="s">
        <v>180</v>
      </c>
      <c r="B114" s="645" t="s">
        <v>358</v>
      </c>
      <c r="C114" s="612"/>
      <c r="D114" s="612"/>
      <c r="E114" s="612"/>
      <c r="F114" s="612"/>
      <c r="G114" s="612"/>
      <c r="H114" s="612"/>
    </row>
    <row r="115" spans="1:8" x14ac:dyDescent="0.3">
      <c r="A115" s="605" t="s">
        <v>352</v>
      </c>
      <c r="B115" s="646" t="s">
        <v>359</v>
      </c>
      <c r="C115" s="612"/>
      <c r="D115" s="612"/>
      <c r="E115" s="612"/>
      <c r="F115" s="612"/>
      <c r="G115" s="612"/>
      <c r="H115" s="612"/>
    </row>
    <row r="116" spans="1:8" x14ac:dyDescent="0.3">
      <c r="A116" s="647" t="s">
        <v>353</v>
      </c>
      <c r="B116" s="644" t="s">
        <v>360</v>
      </c>
      <c r="C116" s="612"/>
      <c r="D116" s="612"/>
      <c r="E116" s="612"/>
      <c r="F116" s="612"/>
      <c r="G116" s="612"/>
      <c r="H116" s="612"/>
    </row>
    <row r="117" spans="1:8" x14ac:dyDescent="0.3">
      <c r="A117" s="605" t="s">
        <v>445</v>
      </c>
      <c r="B117" s="644" t="s">
        <v>361</v>
      </c>
      <c r="C117" s="612"/>
      <c r="D117" s="612"/>
      <c r="E117" s="612"/>
      <c r="F117" s="612"/>
      <c r="G117" s="612"/>
      <c r="H117" s="612"/>
    </row>
    <row r="118" spans="1:8" x14ac:dyDescent="0.3">
      <c r="A118" s="609" t="s">
        <v>446</v>
      </c>
      <c r="B118" s="644" t="s">
        <v>362</v>
      </c>
      <c r="C118" s="612">
        <v>31756</v>
      </c>
      <c r="D118" s="612">
        <v>25690</v>
      </c>
      <c r="E118" s="612">
        <v>41411200</v>
      </c>
      <c r="F118" s="612">
        <v>47011200</v>
      </c>
      <c r="G118" s="612">
        <v>46111200</v>
      </c>
      <c r="H118" s="612">
        <v>46111200</v>
      </c>
    </row>
    <row r="119" spans="1:8" x14ac:dyDescent="0.3">
      <c r="A119" s="605" t="s">
        <v>450</v>
      </c>
      <c r="B119" s="642" t="s">
        <v>47</v>
      </c>
      <c r="C119" s="607">
        <f t="shared" ref="C119:H119" si="20">C120+C121</f>
        <v>25840</v>
      </c>
      <c r="D119" s="607">
        <f t="shared" si="20"/>
        <v>35039</v>
      </c>
      <c r="E119" s="607">
        <f t="shared" si="20"/>
        <v>32794648</v>
      </c>
      <c r="F119" s="607">
        <f t="shared" si="20"/>
        <v>38693954</v>
      </c>
      <c r="G119" s="607">
        <f t="shared" si="20"/>
        <v>57894234</v>
      </c>
      <c r="H119" s="607">
        <f t="shared" si="20"/>
        <v>57894234</v>
      </c>
    </row>
    <row r="120" spans="1:8" x14ac:dyDescent="0.3">
      <c r="A120" s="605" t="s">
        <v>451</v>
      </c>
      <c r="B120" s="641" t="s">
        <v>453</v>
      </c>
      <c r="C120" s="607">
        <f>25488+352</f>
        <v>25840</v>
      </c>
      <c r="D120" s="607">
        <f>35151+82+2-180-16</f>
        <v>35039</v>
      </c>
      <c r="E120" s="607">
        <f>36009609-2308+9424+2134-707187-284480-2792676+2428907+220595-2050000-72390+33020</f>
        <v>32794648</v>
      </c>
      <c r="F120" s="607">
        <v>38693954</v>
      </c>
      <c r="G120" s="607">
        <v>57894234</v>
      </c>
      <c r="H120" s="607">
        <v>57894234</v>
      </c>
    </row>
    <row r="121" spans="1:8" ht="16.2" thickBot="1" x14ac:dyDescent="0.35">
      <c r="A121" s="648" t="s">
        <v>452</v>
      </c>
      <c r="B121" s="649" t="s">
        <v>454</v>
      </c>
      <c r="C121" s="650"/>
      <c r="D121" s="650"/>
      <c r="E121" s="650"/>
      <c r="F121" s="650"/>
      <c r="G121" s="650"/>
      <c r="H121" s="650"/>
    </row>
    <row r="122" spans="1:8" ht="16.2" thickBot="1" x14ac:dyDescent="0.35">
      <c r="A122" s="651" t="s">
        <v>17</v>
      </c>
      <c r="B122" s="652" t="s">
        <v>730</v>
      </c>
      <c r="C122" s="653">
        <f t="shared" ref="C122:H122" si="21">+C123+C125+C127</f>
        <v>87820</v>
      </c>
      <c r="D122" s="653">
        <f t="shared" si="21"/>
        <v>95465</v>
      </c>
      <c r="E122" s="653">
        <f t="shared" si="21"/>
        <v>100731017</v>
      </c>
      <c r="F122" s="653">
        <f t="shared" si="21"/>
        <v>105325157</v>
      </c>
      <c r="G122" s="653">
        <f t="shared" si="21"/>
        <v>149856941</v>
      </c>
      <c r="H122" s="653">
        <f t="shared" si="21"/>
        <v>149891941</v>
      </c>
    </row>
    <row r="123" spans="1:8" x14ac:dyDescent="0.3">
      <c r="A123" s="602" t="s">
        <v>102</v>
      </c>
      <c r="B123" s="641" t="s">
        <v>222</v>
      </c>
      <c r="C123" s="604">
        <f>906+64933+4700</f>
        <v>70539</v>
      </c>
      <c r="D123" s="604">
        <f>906+79635-1</f>
        <v>80540</v>
      </c>
      <c r="E123" s="604">
        <f>167640+1922145+83884413-167640</f>
        <v>85806558</v>
      </c>
      <c r="F123" s="604">
        <f>167640+2303145+87529913</f>
        <v>90000698</v>
      </c>
      <c r="G123" s="604">
        <f>88009913+2543145+167640</f>
        <v>90720698</v>
      </c>
      <c r="H123" s="604">
        <f>88009913+2543145+202640</f>
        <v>90755698</v>
      </c>
    </row>
    <row r="124" spans="1:8" x14ac:dyDescent="0.3">
      <c r="A124" s="602" t="s">
        <v>103</v>
      </c>
      <c r="B124" s="654" t="s">
        <v>367</v>
      </c>
      <c r="C124" s="604"/>
      <c r="D124" s="604"/>
      <c r="E124" s="604"/>
      <c r="F124" s="604"/>
      <c r="G124" s="604"/>
      <c r="H124" s="604"/>
    </row>
    <row r="125" spans="1:8" x14ac:dyDescent="0.3">
      <c r="A125" s="602" t="s">
        <v>104</v>
      </c>
      <c r="B125" s="654" t="s">
        <v>181</v>
      </c>
      <c r="C125" s="607">
        <f>19881-5000</f>
        <v>14881</v>
      </c>
      <c r="D125" s="607">
        <v>6359</v>
      </c>
      <c r="E125" s="607">
        <v>6358626</v>
      </c>
      <c r="F125" s="607">
        <v>6358626</v>
      </c>
      <c r="G125" s="607">
        <f>50170410</f>
        <v>50170410</v>
      </c>
      <c r="H125" s="607">
        <f>50170410</f>
        <v>50170410</v>
      </c>
    </row>
    <row r="126" spans="1:8" x14ac:dyDescent="0.3">
      <c r="A126" s="602" t="s">
        <v>105</v>
      </c>
      <c r="B126" s="654" t="s">
        <v>368</v>
      </c>
      <c r="C126" s="655"/>
      <c r="D126" s="655"/>
      <c r="E126" s="655"/>
      <c r="F126" s="655"/>
      <c r="G126" s="655"/>
      <c r="H126" s="655"/>
    </row>
    <row r="127" spans="1:8" x14ac:dyDescent="0.3">
      <c r="A127" s="602" t="s">
        <v>106</v>
      </c>
      <c r="B127" s="610" t="s">
        <v>225</v>
      </c>
      <c r="C127" s="655">
        <f t="shared" ref="C127:H127" si="22">C128+C129+C130+C131+C132+C133+C134+C135</f>
        <v>2400</v>
      </c>
      <c r="D127" s="655">
        <f t="shared" si="22"/>
        <v>8566</v>
      </c>
      <c r="E127" s="655">
        <f t="shared" si="22"/>
        <v>8565833</v>
      </c>
      <c r="F127" s="655">
        <f t="shared" si="22"/>
        <v>8965833</v>
      </c>
      <c r="G127" s="655">
        <f t="shared" si="22"/>
        <v>8965833</v>
      </c>
      <c r="H127" s="655">
        <f t="shared" si="22"/>
        <v>8965833</v>
      </c>
    </row>
    <row r="128" spans="1:8" x14ac:dyDescent="0.3">
      <c r="A128" s="602" t="s">
        <v>115</v>
      </c>
      <c r="B128" s="608" t="s">
        <v>432</v>
      </c>
      <c r="C128" s="655"/>
      <c r="D128" s="655"/>
      <c r="E128" s="655"/>
      <c r="F128" s="655"/>
      <c r="G128" s="655"/>
      <c r="H128" s="655"/>
    </row>
    <row r="129" spans="1:8" x14ac:dyDescent="0.3">
      <c r="A129" s="602" t="s">
        <v>117</v>
      </c>
      <c r="B129" s="656" t="s">
        <v>373</v>
      </c>
      <c r="C129" s="655"/>
      <c r="D129" s="655"/>
      <c r="E129" s="655"/>
      <c r="F129" s="655"/>
      <c r="G129" s="655"/>
      <c r="H129" s="655"/>
    </row>
    <row r="130" spans="1:8" x14ac:dyDescent="0.3">
      <c r="A130" s="602" t="s">
        <v>182</v>
      </c>
      <c r="B130" s="646" t="s">
        <v>356</v>
      </c>
      <c r="C130" s="655"/>
      <c r="D130" s="655"/>
      <c r="E130" s="655"/>
      <c r="F130" s="655"/>
      <c r="G130" s="655"/>
      <c r="H130" s="655"/>
    </row>
    <row r="131" spans="1:8" x14ac:dyDescent="0.3">
      <c r="A131" s="602" t="s">
        <v>183</v>
      </c>
      <c r="B131" s="646" t="s">
        <v>372</v>
      </c>
      <c r="C131" s="655"/>
      <c r="D131" s="655"/>
      <c r="E131" s="655"/>
      <c r="F131" s="655"/>
      <c r="G131" s="655"/>
      <c r="H131" s="655"/>
    </row>
    <row r="132" spans="1:8" x14ac:dyDescent="0.3">
      <c r="A132" s="602" t="s">
        <v>184</v>
      </c>
      <c r="B132" s="646" t="s">
        <v>371</v>
      </c>
      <c r="C132" s="655"/>
      <c r="D132" s="655"/>
      <c r="E132" s="655"/>
      <c r="F132" s="655"/>
      <c r="G132" s="655"/>
      <c r="H132" s="655"/>
    </row>
    <row r="133" spans="1:8" x14ac:dyDescent="0.3">
      <c r="A133" s="602" t="s">
        <v>364</v>
      </c>
      <c r="B133" s="646" t="s">
        <v>359</v>
      </c>
      <c r="C133" s="655"/>
      <c r="D133" s="655"/>
      <c r="E133" s="655"/>
      <c r="F133" s="655"/>
      <c r="G133" s="655"/>
      <c r="H133" s="655"/>
    </row>
    <row r="134" spans="1:8" x14ac:dyDescent="0.3">
      <c r="A134" s="602" t="s">
        <v>365</v>
      </c>
      <c r="B134" s="646" t="s">
        <v>370</v>
      </c>
      <c r="C134" s="655">
        <v>400</v>
      </c>
      <c r="D134" s="655">
        <v>400</v>
      </c>
      <c r="E134" s="655">
        <v>400000</v>
      </c>
      <c r="F134" s="655">
        <v>800000</v>
      </c>
      <c r="G134" s="655">
        <v>800000</v>
      </c>
      <c r="H134" s="655">
        <v>800000</v>
      </c>
    </row>
    <row r="135" spans="1:8" ht="16.2" thickBot="1" x14ac:dyDescent="0.35">
      <c r="A135" s="647" t="s">
        <v>366</v>
      </c>
      <c r="B135" s="646" t="s">
        <v>369</v>
      </c>
      <c r="C135" s="657">
        <v>2000</v>
      </c>
      <c r="D135" s="657">
        <v>8166</v>
      </c>
      <c r="E135" s="657">
        <v>8165833</v>
      </c>
      <c r="F135" s="657">
        <v>8165833</v>
      </c>
      <c r="G135" s="657">
        <v>8165833</v>
      </c>
      <c r="H135" s="657">
        <v>8165833</v>
      </c>
    </row>
    <row r="136" spans="1:8" ht="16.2" thickBot="1" x14ac:dyDescent="0.35">
      <c r="A136" s="599" t="s">
        <v>18</v>
      </c>
      <c r="B136" s="658" t="s">
        <v>455</v>
      </c>
      <c r="C136" s="601">
        <f t="shared" ref="C136:H136" si="23">+C101+C122</f>
        <v>657408</v>
      </c>
      <c r="D136" s="601">
        <f t="shared" si="23"/>
        <v>680790</v>
      </c>
      <c r="E136" s="601">
        <f t="shared" si="23"/>
        <v>714423699</v>
      </c>
      <c r="F136" s="601">
        <f t="shared" si="23"/>
        <v>737287116</v>
      </c>
      <c r="G136" s="601">
        <f t="shared" si="23"/>
        <v>805006652</v>
      </c>
      <c r="H136" s="601">
        <f t="shared" si="23"/>
        <v>805006652</v>
      </c>
    </row>
    <row r="137" spans="1:8" ht="16.2" thickBot="1" x14ac:dyDescent="0.35">
      <c r="A137" s="599" t="s">
        <v>19</v>
      </c>
      <c r="B137" s="658" t="s">
        <v>456</v>
      </c>
      <c r="C137" s="601">
        <f t="shared" ref="C137:H137" si="24">+C138+C139+C140</f>
        <v>0</v>
      </c>
      <c r="D137" s="601">
        <f t="shared" si="24"/>
        <v>0</v>
      </c>
      <c r="E137" s="601">
        <f t="shared" si="24"/>
        <v>0</v>
      </c>
      <c r="F137" s="601">
        <f t="shared" si="24"/>
        <v>0</v>
      </c>
      <c r="G137" s="601">
        <f t="shared" si="24"/>
        <v>0</v>
      </c>
      <c r="H137" s="601">
        <f t="shared" si="24"/>
        <v>0</v>
      </c>
    </row>
    <row r="138" spans="1:8" x14ac:dyDescent="0.3">
      <c r="A138" s="602" t="s">
        <v>264</v>
      </c>
      <c r="B138" s="654" t="s">
        <v>463</v>
      </c>
      <c r="C138" s="655"/>
      <c r="D138" s="655"/>
      <c r="E138" s="655"/>
      <c r="F138" s="655"/>
      <c r="G138" s="655"/>
      <c r="H138" s="655"/>
    </row>
    <row r="139" spans="1:8" x14ac:dyDescent="0.3">
      <c r="A139" s="602" t="s">
        <v>267</v>
      </c>
      <c r="B139" s="654" t="s">
        <v>464</v>
      </c>
      <c r="C139" s="655"/>
      <c r="D139" s="655"/>
      <c r="E139" s="655"/>
      <c r="F139" s="655"/>
      <c r="G139" s="655"/>
      <c r="H139" s="655"/>
    </row>
    <row r="140" spans="1:8" ht="16.2" thickBot="1" x14ac:dyDescent="0.35">
      <c r="A140" s="647" t="s">
        <v>268</v>
      </c>
      <c r="B140" s="654" t="s">
        <v>465</v>
      </c>
      <c r="C140" s="655"/>
      <c r="D140" s="655"/>
      <c r="E140" s="655"/>
      <c r="F140" s="655"/>
      <c r="G140" s="655"/>
      <c r="H140" s="655"/>
    </row>
    <row r="141" spans="1:8" ht="16.2" thickBot="1" x14ac:dyDescent="0.35">
      <c r="A141" s="599" t="s">
        <v>20</v>
      </c>
      <c r="B141" s="658" t="s">
        <v>457</v>
      </c>
      <c r="C141" s="601">
        <f t="shared" ref="C141:H141" si="25">SUM(C142:C147)</f>
        <v>0</v>
      </c>
      <c r="D141" s="601">
        <f t="shared" si="25"/>
        <v>0</v>
      </c>
      <c r="E141" s="601">
        <f t="shared" si="25"/>
        <v>0</v>
      </c>
      <c r="F141" s="601">
        <f t="shared" si="25"/>
        <v>0</v>
      </c>
      <c r="G141" s="601">
        <f t="shared" si="25"/>
        <v>0</v>
      </c>
      <c r="H141" s="601">
        <f t="shared" si="25"/>
        <v>0</v>
      </c>
    </row>
    <row r="142" spans="1:8" x14ac:dyDescent="0.3">
      <c r="A142" s="602" t="s">
        <v>89</v>
      </c>
      <c r="B142" s="659" t="s">
        <v>466</v>
      </c>
      <c r="C142" s="655"/>
      <c r="D142" s="655"/>
      <c r="E142" s="655"/>
      <c r="F142" s="655"/>
      <c r="G142" s="655"/>
      <c r="H142" s="655"/>
    </row>
    <row r="143" spans="1:8" x14ac:dyDescent="0.3">
      <c r="A143" s="602" t="s">
        <v>90</v>
      </c>
      <c r="B143" s="659" t="s">
        <v>458</v>
      </c>
      <c r="C143" s="655"/>
      <c r="D143" s="655"/>
      <c r="E143" s="655"/>
      <c r="F143" s="655"/>
      <c r="G143" s="655"/>
      <c r="H143" s="655"/>
    </row>
    <row r="144" spans="1:8" x14ac:dyDescent="0.3">
      <c r="A144" s="602" t="s">
        <v>91</v>
      </c>
      <c r="B144" s="659" t="s">
        <v>459</v>
      </c>
      <c r="C144" s="655"/>
      <c r="D144" s="655"/>
      <c r="E144" s="655"/>
      <c r="F144" s="655"/>
      <c r="G144" s="655"/>
      <c r="H144" s="655"/>
    </row>
    <row r="145" spans="1:8" x14ac:dyDescent="0.3">
      <c r="A145" s="602" t="s">
        <v>169</v>
      </c>
      <c r="B145" s="659" t="s">
        <v>460</v>
      </c>
      <c r="C145" s="655"/>
      <c r="D145" s="655"/>
      <c r="E145" s="655"/>
      <c r="F145" s="655"/>
      <c r="G145" s="655"/>
      <c r="H145" s="655"/>
    </row>
    <row r="146" spans="1:8" x14ac:dyDescent="0.3">
      <c r="A146" s="602" t="s">
        <v>170</v>
      </c>
      <c r="B146" s="659" t="s">
        <v>461</v>
      </c>
      <c r="C146" s="655"/>
      <c r="D146" s="655"/>
      <c r="E146" s="655"/>
      <c r="F146" s="655"/>
      <c r="G146" s="655"/>
      <c r="H146" s="655"/>
    </row>
    <row r="147" spans="1:8" ht="16.2" thickBot="1" x14ac:dyDescent="0.35">
      <c r="A147" s="647" t="s">
        <v>171</v>
      </c>
      <c r="B147" s="659" t="s">
        <v>462</v>
      </c>
      <c r="C147" s="655"/>
      <c r="D147" s="655"/>
      <c r="E147" s="655"/>
      <c r="F147" s="655"/>
      <c r="G147" s="655"/>
      <c r="H147" s="655"/>
    </row>
    <row r="148" spans="1:8" ht="16.2" thickBot="1" x14ac:dyDescent="0.35">
      <c r="A148" s="599" t="s">
        <v>21</v>
      </c>
      <c r="B148" s="658" t="s">
        <v>470</v>
      </c>
      <c r="C148" s="614">
        <f t="shared" ref="C148:H148" si="26">+C149+C150+C151+C152</f>
        <v>8111</v>
      </c>
      <c r="D148" s="614">
        <f t="shared" si="26"/>
        <v>8111</v>
      </c>
      <c r="E148" s="614">
        <f t="shared" si="26"/>
        <v>8111444</v>
      </c>
      <c r="F148" s="614">
        <f t="shared" si="26"/>
        <v>8111444</v>
      </c>
      <c r="G148" s="614">
        <f t="shared" si="26"/>
        <v>8111444</v>
      </c>
      <c r="H148" s="614">
        <f t="shared" si="26"/>
        <v>8111444</v>
      </c>
    </row>
    <row r="149" spans="1:8" x14ac:dyDescent="0.3">
      <c r="A149" s="602" t="s">
        <v>92</v>
      </c>
      <c r="B149" s="659" t="s">
        <v>374</v>
      </c>
      <c r="C149" s="655"/>
      <c r="D149" s="655"/>
      <c r="E149" s="655"/>
      <c r="F149" s="655"/>
      <c r="G149" s="655"/>
      <c r="H149" s="655"/>
    </row>
    <row r="150" spans="1:8" x14ac:dyDescent="0.3">
      <c r="A150" s="602" t="s">
        <v>93</v>
      </c>
      <c r="B150" s="659" t="s">
        <v>375</v>
      </c>
      <c r="C150" s="655">
        <v>8111</v>
      </c>
      <c r="D150" s="655">
        <v>8111</v>
      </c>
      <c r="E150" s="655">
        <v>8111444</v>
      </c>
      <c r="F150" s="655">
        <v>8111444</v>
      </c>
      <c r="G150" s="655">
        <v>8111444</v>
      </c>
      <c r="H150" s="655">
        <v>8111444</v>
      </c>
    </row>
    <row r="151" spans="1:8" x14ac:dyDescent="0.3">
      <c r="A151" s="602" t="s">
        <v>288</v>
      </c>
      <c r="B151" s="659" t="s">
        <v>471</v>
      </c>
      <c r="C151" s="655"/>
      <c r="D151" s="655"/>
      <c r="E151" s="655"/>
      <c r="F151" s="655"/>
      <c r="G151" s="655"/>
      <c r="H151" s="655"/>
    </row>
    <row r="152" spans="1:8" ht="16.2" thickBot="1" x14ac:dyDescent="0.35">
      <c r="A152" s="647" t="s">
        <v>289</v>
      </c>
      <c r="B152" s="660" t="s">
        <v>394</v>
      </c>
      <c r="C152" s="655"/>
      <c r="D152" s="655"/>
      <c r="E152" s="655"/>
      <c r="F152" s="655"/>
      <c r="G152" s="655"/>
      <c r="H152" s="655"/>
    </row>
    <row r="153" spans="1:8" ht="16.2" thickBot="1" x14ac:dyDescent="0.35">
      <c r="A153" s="599" t="s">
        <v>22</v>
      </c>
      <c r="B153" s="658" t="s">
        <v>472</v>
      </c>
      <c r="C153" s="661">
        <f t="shared" ref="C153:H153" si="27">SUM(C154:C158)</f>
        <v>0</v>
      </c>
      <c r="D153" s="661">
        <f t="shared" si="27"/>
        <v>0</v>
      </c>
      <c r="E153" s="661">
        <f t="shared" si="27"/>
        <v>0</v>
      </c>
      <c r="F153" s="661">
        <f t="shared" si="27"/>
        <v>0</v>
      </c>
      <c r="G153" s="661">
        <f t="shared" si="27"/>
        <v>0</v>
      </c>
      <c r="H153" s="661">
        <f t="shared" si="27"/>
        <v>0</v>
      </c>
    </row>
    <row r="154" spans="1:8" x14ac:dyDescent="0.3">
      <c r="A154" s="602" t="s">
        <v>94</v>
      </c>
      <c r="B154" s="659" t="s">
        <v>467</v>
      </c>
      <c r="C154" s="655"/>
      <c r="D154" s="655"/>
      <c r="E154" s="655"/>
      <c r="F154" s="655"/>
      <c r="G154" s="655"/>
      <c r="H154" s="655"/>
    </row>
    <row r="155" spans="1:8" x14ac:dyDescent="0.3">
      <c r="A155" s="602" t="s">
        <v>95</v>
      </c>
      <c r="B155" s="659" t="s">
        <v>474</v>
      </c>
      <c r="C155" s="655"/>
      <c r="D155" s="655"/>
      <c r="E155" s="655"/>
      <c r="F155" s="655"/>
      <c r="G155" s="655"/>
      <c r="H155" s="655"/>
    </row>
    <row r="156" spans="1:8" x14ac:dyDescent="0.3">
      <c r="A156" s="602" t="s">
        <v>300</v>
      </c>
      <c r="B156" s="659" t="s">
        <v>469</v>
      </c>
      <c r="C156" s="655"/>
      <c r="D156" s="655"/>
      <c r="E156" s="655"/>
      <c r="F156" s="655"/>
      <c r="G156" s="655"/>
      <c r="H156" s="655"/>
    </row>
    <row r="157" spans="1:8" x14ac:dyDescent="0.3">
      <c r="A157" s="602" t="s">
        <v>301</v>
      </c>
      <c r="B157" s="659" t="s">
        <v>475</v>
      </c>
      <c r="C157" s="655"/>
      <c r="D157" s="655"/>
      <c r="E157" s="655"/>
      <c r="F157" s="655"/>
      <c r="G157" s="655"/>
      <c r="H157" s="655"/>
    </row>
    <row r="158" spans="1:8" ht="16.2" thickBot="1" x14ac:dyDescent="0.35">
      <c r="A158" s="602" t="s">
        <v>473</v>
      </c>
      <c r="B158" s="659" t="s">
        <v>476</v>
      </c>
      <c r="C158" s="655"/>
      <c r="D158" s="655"/>
      <c r="E158" s="655"/>
      <c r="F158" s="655"/>
      <c r="G158" s="655"/>
      <c r="H158" s="655"/>
    </row>
    <row r="159" spans="1:8" ht="16.2" thickBot="1" x14ac:dyDescent="0.35">
      <c r="A159" s="599" t="s">
        <v>23</v>
      </c>
      <c r="B159" s="658" t="s">
        <v>477</v>
      </c>
      <c r="C159" s="662"/>
      <c r="D159" s="662"/>
      <c r="E159" s="662"/>
      <c r="F159" s="662"/>
      <c r="G159" s="662"/>
      <c r="H159" s="662"/>
    </row>
    <row r="160" spans="1:8" ht="16.2" thickBot="1" x14ac:dyDescent="0.35">
      <c r="A160" s="599" t="s">
        <v>24</v>
      </c>
      <c r="B160" s="658" t="s">
        <v>553</v>
      </c>
      <c r="C160" s="662"/>
      <c r="D160" s="662"/>
      <c r="E160" s="662"/>
      <c r="F160" s="662"/>
      <c r="G160" s="662"/>
      <c r="H160" s="662"/>
    </row>
    <row r="161" spans="1:8" ht="16.2" thickBot="1" x14ac:dyDescent="0.35">
      <c r="A161" s="599" t="s">
        <v>25</v>
      </c>
      <c r="B161" s="658" t="s">
        <v>480</v>
      </c>
      <c r="C161" s="663">
        <f t="shared" ref="C161:H161" si="28">+C137+C141+C148+C153+C159+C160</f>
        <v>8111</v>
      </c>
      <c r="D161" s="663">
        <f t="shared" si="28"/>
        <v>8111</v>
      </c>
      <c r="E161" s="663">
        <f t="shared" si="28"/>
        <v>8111444</v>
      </c>
      <c r="F161" s="663">
        <f t="shared" si="28"/>
        <v>8111444</v>
      </c>
      <c r="G161" s="663">
        <f t="shared" si="28"/>
        <v>8111444</v>
      </c>
      <c r="H161" s="663">
        <f t="shared" si="28"/>
        <v>8111444</v>
      </c>
    </row>
    <row r="162" spans="1:8" s="531" customFormat="1" ht="16.2" thickBot="1" x14ac:dyDescent="0.35">
      <c r="A162" s="664" t="s">
        <v>26</v>
      </c>
      <c r="B162" s="665" t="s">
        <v>479</v>
      </c>
      <c r="C162" s="663">
        <f t="shared" ref="C162:H162" si="29">+C136+C161</f>
        <v>665519</v>
      </c>
      <c r="D162" s="663">
        <f t="shared" si="29"/>
        <v>688901</v>
      </c>
      <c r="E162" s="663">
        <f t="shared" si="29"/>
        <v>722535143</v>
      </c>
      <c r="F162" s="663">
        <f t="shared" si="29"/>
        <v>745398560</v>
      </c>
      <c r="G162" s="663">
        <f t="shared" si="29"/>
        <v>813118096</v>
      </c>
      <c r="H162" s="663">
        <f t="shared" si="29"/>
        <v>813118096</v>
      </c>
    </row>
    <row r="164" spans="1:8" x14ac:dyDescent="0.3">
      <c r="A164" s="521" t="s">
        <v>376</v>
      </c>
      <c r="B164" s="521"/>
      <c r="C164" s="214"/>
      <c r="D164" s="214"/>
      <c r="E164" s="214"/>
      <c r="F164" s="214"/>
      <c r="G164" s="214"/>
      <c r="H164" s="214"/>
    </row>
    <row r="165" spans="1:8" ht="16.8" thickBot="1" x14ac:dyDescent="0.35">
      <c r="A165" s="671" t="s">
        <v>149</v>
      </c>
      <c r="B165" s="671"/>
      <c r="C165" s="592" t="s">
        <v>223</v>
      </c>
      <c r="D165" s="592" t="s">
        <v>223</v>
      </c>
      <c r="E165" s="592" t="s">
        <v>615</v>
      </c>
      <c r="F165" s="592" t="s">
        <v>615</v>
      </c>
      <c r="G165" s="592" t="s">
        <v>615</v>
      </c>
      <c r="H165" s="592" t="s">
        <v>615</v>
      </c>
    </row>
    <row r="166" spans="1:8" ht="31.8" thickBot="1" x14ac:dyDescent="0.35">
      <c r="A166" s="599">
        <v>1</v>
      </c>
      <c r="B166" s="666" t="s">
        <v>481</v>
      </c>
      <c r="C166" s="601">
        <f t="shared" ref="C166:H166" si="30">+C68-C136</f>
        <v>-151139</v>
      </c>
      <c r="D166" s="601">
        <f t="shared" si="30"/>
        <v>-164495</v>
      </c>
      <c r="E166" s="601">
        <f t="shared" si="30"/>
        <v>-167673537</v>
      </c>
      <c r="F166" s="601">
        <f t="shared" si="30"/>
        <v>-167673537</v>
      </c>
      <c r="G166" s="601">
        <f t="shared" si="30"/>
        <v>-175450743</v>
      </c>
      <c r="H166" s="601">
        <f t="shared" si="30"/>
        <v>-175450743</v>
      </c>
    </row>
    <row r="167" spans="1:8" ht="47.4" thickBot="1" x14ac:dyDescent="0.35">
      <c r="A167" s="599" t="s">
        <v>17</v>
      </c>
      <c r="B167" s="666" t="s">
        <v>487</v>
      </c>
      <c r="C167" s="601">
        <f t="shared" ref="C167:H167" si="31">+C92-C161</f>
        <v>151139</v>
      </c>
      <c r="D167" s="601">
        <f t="shared" si="31"/>
        <v>164495</v>
      </c>
      <c r="E167" s="601">
        <f t="shared" si="31"/>
        <v>167673537</v>
      </c>
      <c r="F167" s="601">
        <f t="shared" si="31"/>
        <v>167673537</v>
      </c>
      <c r="G167" s="601">
        <f t="shared" si="31"/>
        <v>175450743</v>
      </c>
      <c r="H167" s="601">
        <f t="shared" si="31"/>
        <v>175450743</v>
      </c>
    </row>
  </sheetData>
  <mergeCells count="5">
    <mergeCell ref="A165:B165"/>
    <mergeCell ref="A97:B97"/>
    <mergeCell ref="A7:B7"/>
    <mergeCell ref="A8:B8"/>
    <mergeCell ref="A98:B98"/>
  </mergeCells>
  <phoneticPr fontId="0" type="noConversion"/>
  <printOptions horizontalCentered="1"/>
  <pageMargins left="0.39370078740157483" right="0.39370078740157483" top="0.98425196850393704" bottom="0.59055118110236227" header="0.78740157480314965" footer="0.59055118110236227"/>
  <pageSetup paperSize="9" scale="80" fitToHeight="2" orientation="landscape" r:id="rId1"/>
  <headerFooter alignWithMargins="0">
    <oddHeader>&amp;C&amp;"Times New Roman CE,Félkövér"&amp;12
Vonyarcvashegy Nagyközség Önkormányzata
2016. ÉVI KÖLTSÉGVETÉSÉNEK ÖSSZEVONT MÉRLEGE&amp;10
&amp;R&amp;"Times New Roman CE,Félkövér dőlt"&amp;11 1.1. melléklet a ........./2016. () önkormányzati rendelethez</oddHead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J45"/>
  <sheetViews>
    <sheetView zoomScaleNormal="100" workbookViewId="0">
      <selection activeCell="M4" sqref="M4"/>
    </sheetView>
  </sheetViews>
  <sheetFormatPr defaultColWidth="9.33203125" defaultRowHeight="15.6" x14ac:dyDescent="0.25"/>
  <cols>
    <col min="1" max="1" width="96.33203125" style="476" bestFit="1" customWidth="1"/>
    <col min="2" max="2" width="0" style="459" hidden="1" customWidth="1"/>
    <col min="3" max="3" width="23" style="459" hidden="1" customWidth="1"/>
    <col min="4" max="4" width="16.109375" style="459" hidden="1" customWidth="1"/>
    <col min="5" max="6" width="13.6640625" style="459" bestFit="1" customWidth="1"/>
    <col min="7" max="9" width="14.6640625" style="459" bestFit="1" customWidth="1"/>
    <col min="10" max="10" width="16.77734375" style="461" bestFit="1" customWidth="1"/>
    <col min="11" max="12" width="12.77734375" style="459" customWidth="1"/>
    <col min="13" max="13" width="13.77734375" style="459" customWidth="1"/>
    <col min="14" max="16384" width="9.33203125" style="459"/>
  </cols>
  <sheetData>
    <row r="1" spans="1:10" ht="25.5" customHeight="1" x14ac:dyDescent="0.25">
      <c r="A1" s="475" t="s">
        <v>0</v>
      </c>
      <c r="B1" s="475"/>
      <c r="C1" s="475"/>
      <c r="D1" s="475"/>
      <c r="E1" s="475"/>
      <c r="F1" s="475"/>
      <c r="G1" s="475"/>
      <c r="H1" s="475"/>
      <c r="I1" s="475"/>
      <c r="J1" s="475"/>
    </row>
    <row r="2" spans="1:10" ht="22.5" customHeight="1" thickBot="1" x14ac:dyDescent="0.4">
      <c r="A2" s="460"/>
      <c r="B2" s="461"/>
      <c r="C2" s="461"/>
      <c r="D2" s="461"/>
      <c r="E2" s="462" t="s">
        <v>644</v>
      </c>
      <c r="F2" s="462" t="s">
        <v>644</v>
      </c>
      <c r="G2" s="462" t="s">
        <v>615</v>
      </c>
      <c r="H2" s="462" t="s">
        <v>615</v>
      </c>
      <c r="I2" s="462" t="s">
        <v>615</v>
      </c>
      <c r="J2" s="462" t="s">
        <v>615</v>
      </c>
    </row>
    <row r="3" spans="1:10" s="418" customFormat="1" ht="44.25" customHeight="1" thickBot="1" x14ac:dyDescent="0.3">
      <c r="A3" s="463" t="s">
        <v>62</v>
      </c>
      <c r="B3" s="464" t="s">
        <v>63</v>
      </c>
      <c r="C3" s="464" t="s">
        <v>64</v>
      </c>
      <c r="D3" s="464" t="s">
        <v>634</v>
      </c>
      <c r="E3" s="524" t="s">
        <v>638</v>
      </c>
      <c r="F3" s="524" t="s">
        <v>681</v>
      </c>
      <c r="G3" s="524" t="s">
        <v>699</v>
      </c>
      <c r="H3" s="524" t="s">
        <v>710</v>
      </c>
      <c r="I3" s="524" t="s">
        <v>723</v>
      </c>
      <c r="J3" s="465" t="s">
        <v>635</v>
      </c>
    </row>
    <row r="4" spans="1:10" s="461" customFormat="1" ht="12" customHeight="1" thickBot="1" x14ac:dyDescent="0.3">
      <c r="A4" s="466" t="s">
        <v>494</v>
      </c>
      <c r="B4" s="467" t="s">
        <v>495</v>
      </c>
      <c r="C4" s="467" t="s">
        <v>496</v>
      </c>
      <c r="D4" s="467" t="s">
        <v>498</v>
      </c>
      <c r="E4" s="467" t="s">
        <v>497</v>
      </c>
      <c r="F4" s="467" t="s">
        <v>497</v>
      </c>
      <c r="G4" s="467" t="s">
        <v>497</v>
      </c>
      <c r="H4" s="467" t="s">
        <v>497</v>
      </c>
      <c r="I4" s="467" t="s">
        <v>497</v>
      </c>
      <c r="J4" s="468" t="s">
        <v>500</v>
      </c>
    </row>
    <row r="5" spans="1:10" ht="15.9" customHeight="1" x14ac:dyDescent="0.25">
      <c r="A5" s="458" t="s">
        <v>657</v>
      </c>
      <c r="B5" s="469">
        <v>9445</v>
      </c>
      <c r="C5" s="470" t="s">
        <v>643</v>
      </c>
      <c r="D5" s="469"/>
      <c r="E5" s="469">
        <v>9445</v>
      </c>
      <c r="F5" s="525">
        <v>9445</v>
      </c>
      <c r="G5" s="525">
        <v>9445000</v>
      </c>
      <c r="H5" s="525">
        <v>9445000</v>
      </c>
      <c r="I5" s="525">
        <v>9445000</v>
      </c>
      <c r="J5" s="471"/>
    </row>
    <row r="6" spans="1:10" ht="15.9" customHeight="1" x14ac:dyDescent="0.25">
      <c r="A6" s="458" t="s">
        <v>656</v>
      </c>
      <c r="B6" s="469">
        <v>594</v>
      </c>
      <c r="C6" s="470" t="s">
        <v>643</v>
      </c>
      <c r="D6" s="469"/>
      <c r="E6" s="469">
        <v>594</v>
      </c>
      <c r="F6" s="525">
        <v>594</v>
      </c>
      <c r="G6" s="525">
        <v>594360</v>
      </c>
      <c r="H6" s="525">
        <v>594360</v>
      </c>
      <c r="I6" s="525">
        <v>594360</v>
      </c>
      <c r="J6" s="471"/>
    </row>
    <row r="7" spans="1:10" ht="15.9" customHeight="1" x14ac:dyDescent="0.25">
      <c r="A7" s="458" t="s">
        <v>655</v>
      </c>
      <c r="B7" s="469">
        <v>300</v>
      </c>
      <c r="C7" s="470" t="s">
        <v>643</v>
      </c>
      <c r="D7" s="469"/>
      <c r="E7" s="469">
        <v>300</v>
      </c>
      <c r="F7" s="525">
        <v>300</v>
      </c>
      <c r="G7" s="525">
        <v>300000</v>
      </c>
      <c r="H7" s="525">
        <v>300000</v>
      </c>
      <c r="I7" s="525">
        <v>300000</v>
      </c>
      <c r="J7" s="471"/>
    </row>
    <row r="8" spans="1:10" ht="15.9" customHeight="1" x14ac:dyDescent="0.25">
      <c r="A8" s="458" t="s">
        <v>703</v>
      </c>
      <c r="B8" s="469"/>
      <c r="C8" s="470"/>
      <c r="D8" s="469"/>
      <c r="E8" s="469"/>
      <c r="F8" s="525"/>
      <c r="G8" s="525">
        <v>336931</v>
      </c>
      <c r="H8" s="525">
        <v>336931</v>
      </c>
      <c r="I8" s="525">
        <v>336931</v>
      </c>
      <c r="J8" s="471"/>
    </row>
    <row r="9" spans="1:10" ht="24.75" customHeight="1" x14ac:dyDescent="0.25">
      <c r="A9" s="458" t="s">
        <v>673</v>
      </c>
      <c r="B9" s="469">
        <v>26349</v>
      </c>
      <c r="C9" s="470" t="s">
        <v>643</v>
      </c>
      <c r="D9" s="469"/>
      <c r="E9" s="469">
        <v>26349</v>
      </c>
      <c r="F9" s="525">
        <f>26349+8522</f>
        <v>34871</v>
      </c>
      <c r="G9" s="525">
        <f>34870553-982</f>
        <v>34869571</v>
      </c>
      <c r="H9" s="525">
        <f>34870553-982</f>
        <v>34869571</v>
      </c>
      <c r="I9" s="525">
        <f>34870553-982</f>
        <v>34869571</v>
      </c>
      <c r="J9" s="471"/>
    </row>
    <row r="10" spans="1:10" ht="24.75" customHeight="1" x14ac:dyDescent="0.25">
      <c r="A10" s="458" t="s">
        <v>680</v>
      </c>
      <c r="B10" s="469">
        <v>4700</v>
      </c>
      <c r="C10" s="470" t="s">
        <v>643</v>
      </c>
      <c r="D10" s="469"/>
      <c r="E10" s="469">
        <v>4700</v>
      </c>
      <c r="F10" s="525">
        <f>4700+3300</f>
        <v>8000</v>
      </c>
      <c r="G10" s="525">
        <v>8000000</v>
      </c>
      <c r="H10" s="525">
        <v>8000000</v>
      </c>
      <c r="I10" s="525">
        <v>8000000</v>
      </c>
      <c r="J10" s="471"/>
    </row>
    <row r="11" spans="1:10" ht="24.75" customHeight="1" x14ac:dyDescent="0.25">
      <c r="A11" s="458" t="s">
        <v>674</v>
      </c>
      <c r="B11" s="469">
        <v>500</v>
      </c>
      <c r="C11" s="470" t="s">
        <v>643</v>
      </c>
      <c r="D11" s="469"/>
      <c r="E11" s="469">
        <v>500</v>
      </c>
      <c r="F11" s="525">
        <v>500</v>
      </c>
      <c r="G11" s="525">
        <v>500380</v>
      </c>
      <c r="H11" s="525">
        <v>500380</v>
      </c>
      <c r="I11" s="525">
        <v>500380</v>
      </c>
      <c r="J11" s="471"/>
    </row>
    <row r="12" spans="1:10" ht="24.75" customHeight="1" x14ac:dyDescent="0.25">
      <c r="A12" s="458" t="s">
        <v>675</v>
      </c>
      <c r="B12" s="469">
        <v>7620</v>
      </c>
      <c r="C12" s="470" t="s">
        <v>643</v>
      </c>
      <c r="D12" s="469"/>
      <c r="E12" s="469">
        <v>7620</v>
      </c>
      <c r="F12" s="525">
        <f>7620-1905</f>
        <v>5715</v>
      </c>
      <c r="G12" s="525">
        <v>5715000</v>
      </c>
      <c r="H12" s="525">
        <v>5715000</v>
      </c>
      <c r="I12" s="525">
        <v>5715000</v>
      </c>
      <c r="J12" s="471"/>
    </row>
    <row r="13" spans="1:10" ht="15.9" customHeight="1" x14ac:dyDescent="0.25">
      <c r="A13" s="458" t="s">
        <v>654</v>
      </c>
      <c r="B13" s="469">
        <v>2185</v>
      </c>
      <c r="C13" s="470" t="s">
        <v>643</v>
      </c>
      <c r="D13" s="469"/>
      <c r="E13" s="469">
        <v>2185</v>
      </c>
      <c r="F13" s="525">
        <v>2185</v>
      </c>
      <c r="G13" s="525">
        <f>2184443+2814772</f>
        <v>4999215</v>
      </c>
      <c r="H13" s="525">
        <f>4999215+495500</f>
        <v>5494715</v>
      </c>
      <c r="I13" s="525">
        <f>4999215+495500</f>
        <v>5494715</v>
      </c>
      <c r="J13" s="471"/>
    </row>
    <row r="14" spans="1:10" ht="15.9" customHeight="1" x14ac:dyDescent="0.25">
      <c r="A14" s="458" t="s">
        <v>653</v>
      </c>
      <c r="B14" s="469">
        <v>6350</v>
      </c>
      <c r="C14" s="470" t="s">
        <v>643</v>
      </c>
      <c r="D14" s="469"/>
      <c r="E14" s="469">
        <v>6350</v>
      </c>
      <c r="F14" s="525">
        <v>6350</v>
      </c>
      <c r="G14" s="525">
        <v>6350000</v>
      </c>
      <c r="H14" s="525">
        <v>6350000</v>
      </c>
      <c r="I14" s="525">
        <v>6350000</v>
      </c>
      <c r="J14" s="471"/>
    </row>
    <row r="15" spans="1:10" ht="15.9" customHeight="1" x14ac:dyDescent="0.25">
      <c r="A15" s="458" t="s">
        <v>652</v>
      </c>
      <c r="B15" s="469">
        <v>500</v>
      </c>
      <c r="C15" s="470" t="s">
        <v>643</v>
      </c>
      <c r="D15" s="469"/>
      <c r="E15" s="469">
        <v>500</v>
      </c>
      <c r="F15" s="525">
        <v>500</v>
      </c>
      <c r="G15" s="525">
        <v>500380</v>
      </c>
      <c r="H15" s="525">
        <v>500380</v>
      </c>
      <c r="I15" s="525">
        <v>500380</v>
      </c>
      <c r="J15" s="471"/>
    </row>
    <row r="16" spans="1:10" ht="15.9" customHeight="1" x14ac:dyDescent="0.25">
      <c r="A16" s="458" t="s">
        <v>665</v>
      </c>
      <c r="B16" s="469">
        <v>635</v>
      </c>
      <c r="C16" s="470" t="s">
        <v>643</v>
      </c>
      <c r="D16" s="469"/>
      <c r="E16" s="469">
        <v>635</v>
      </c>
      <c r="F16" s="525">
        <v>635</v>
      </c>
      <c r="G16" s="525">
        <v>635000</v>
      </c>
      <c r="H16" s="525">
        <v>635000</v>
      </c>
      <c r="I16" s="525">
        <v>635000</v>
      </c>
      <c r="J16" s="471"/>
    </row>
    <row r="17" spans="1:10" ht="15.9" customHeight="1" x14ac:dyDescent="0.25">
      <c r="A17" s="458" t="s">
        <v>677</v>
      </c>
      <c r="B17" s="469">
        <v>300</v>
      </c>
      <c r="C17" s="470" t="s">
        <v>643</v>
      </c>
      <c r="D17" s="469"/>
      <c r="E17" s="469">
        <v>300</v>
      </c>
      <c r="F17" s="525">
        <v>300</v>
      </c>
      <c r="G17" s="525">
        <v>300000</v>
      </c>
      <c r="H17" s="525">
        <v>300000</v>
      </c>
      <c r="I17" s="525">
        <v>300000</v>
      </c>
      <c r="J17" s="471"/>
    </row>
    <row r="18" spans="1:10" ht="15.9" customHeight="1" x14ac:dyDescent="0.25">
      <c r="A18" s="458" t="s">
        <v>671</v>
      </c>
      <c r="B18" s="469">
        <v>1905</v>
      </c>
      <c r="C18" s="470" t="s">
        <v>643</v>
      </c>
      <c r="D18" s="469"/>
      <c r="E18" s="469">
        <v>1905</v>
      </c>
      <c r="F18" s="525">
        <f>1905-1395</f>
        <v>510</v>
      </c>
      <c r="G18" s="525">
        <v>510540</v>
      </c>
      <c r="H18" s="525">
        <v>510540</v>
      </c>
      <c r="I18" s="525">
        <v>510540</v>
      </c>
      <c r="J18" s="471"/>
    </row>
    <row r="19" spans="1:10" ht="15.9" customHeight="1" x14ac:dyDescent="0.25">
      <c r="A19" s="458" t="s">
        <v>672</v>
      </c>
      <c r="B19" s="469">
        <v>635</v>
      </c>
      <c r="C19" s="470" t="s">
        <v>643</v>
      </c>
      <c r="D19" s="469"/>
      <c r="E19" s="469">
        <v>635</v>
      </c>
      <c r="F19" s="525">
        <v>635</v>
      </c>
      <c r="G19" s="525">
        <v>635000</v>
      </c>
      <c r="H19" s="525">
        <v>635000</v>
      </c>
      <c r="I19" s="525">
        <v>635000</v>
      </c>
      <c r="J19" s="471"/>
    </row>
    <row r="20" spans="1:10" ht="15.9" customHeight="1" x14ac:dyDescent="0.25">
      <c r="A20" s="458" t="s">
        <v>692</v>
      </c>
      <c r="B20" s="469">
        <v>1210</v>
      </c>
      <c r="C20" s="470" t="s">
        <v>643</v>
      </c>
      <c r="D20" s="469"/>
      <c r="E20" s="469"/>
      <c r="F20" s="525">
        <v>1209</v>
      </c>
      <c r="G20" s="525">
        <v>1209438</v>
      </c>
      <c r="H20" s="525">
        <v>1209438</v>
      </c>
      <c r="I20" s="525">
        <v>1209438</v>
      </c>
      <c r="J20" s="471"/>
    </row>
    <row r="21" spans="1:10" ht="15.9" customHeight="1" x14ac:dyDescent="0.25">
      <c r="A21" s="458" t="s">
        <v>702</v>
      </c>
      <c r="B21" s="469"/>
      <c r="C21" s="470"/>
      <c r="D21" s="469"/>
      <c r="E21" s="469"/>
      <c r="F21" s="525"/>
      <c r="G21" s="525">
        <v>1435608</v>
      </c>
      <c r="H21" s="525">
        <v>1435608</v>
      </c>
      <c r="I21" s="525">
        <v>1435608</v>
      </c>
      <c r="J21" s="471"/>
    </row>
    <row r="22" spans="1:10" ht="19.5" customHeight="1" x14ac:dyDescent="0.25">
      <c r="A22" s="458" t="s">
        <v>645</v>
      </c>
      <c r="B22" s="469">
        <v>127</v>
      </c>
      <c r="C22" s="470" t="s">
        <v>643</v>
      </c>
      <c r="D22" s="469"/>
      <c r="E22" s="469">
        <v>127</v>
      </c>
      <c r="F22" s="525">
        <v>127</v>
      </c>
      <c r="G22" s="525">
        <v>127000</v>
      </c>
      <c r="H22" s="525">
        <v>127000</v>
      </c>
      <c r="I22" s="525">
        <v>127000</v>
      </c>
      <c r="J22" s="471"/>
    </row>
    <row r="23" spans="1:10" ht="18.75" customHeight="1" x14ac:dyDescent="0.25">
      <c r="A23" s="458" t="s">
        <v>646</v>
      </c>
      <c r="B23" s="469">
        <v>121</v>
      </c>
      <c r="C23" s="470" t="s">
        <v>643</v>
      </c>
      <c r="D23" s="469"/>
      <c r="E23" s="469">
        <v>121</v>
      </c>
      <c r="F23" s="525">
        <v>121</v>
      </c>
      <c r="G23" s="525">
        <v>120650</v>
      </c>
      <c r="H23" s="525">
        <v>120650</v>
      </c>
      <c r="I23" s="525">
        <v>120650</v>
      </c>
      <c r="J23" s="471"/>
    </row>
    <row r="24" spans="1:10" ht="15.9" customHeight="1" x14ac:dyDescent="0.25">
      <c r="A24" s="458" t="s">
        <v>647</v>
      </c>
      <c r="B24" s="469">
        <v>44</v>
      </c>
      <c r="C24" s="470" t="s">
        <v>643</v>
      </c>
      <c r="D24" s="469"/>
      <c r="E24" s="469">
        <v>44</v>
      </c>
      <c r="F24" s="525">
        <v>44</v>
      </c>
      <c r="G24" s="525">
        <v>44450</v>
      </c>
      <c r="H24" s="525">
        <v>44450</v>
      </c>
      <c r="I24" s="525">
        <v>44450</v>
      </c>
      <c r="J24" s="471"/>
    </row>
    <row r="25" spans="1:10" ht="15.9" customHeight="1" x14ac:dyDescent="0.25">
      <c r="A25" s="458" t="s">
        <v>648</v>
      </c>
      <c r="B25" s="469">
        <v>127</v>
      </c>
      <c r="C25" s="470" t="s">
        <v>643</v>
      </c>
      <c r="D25" s="469"/>
      <c r="E25" s="469">
        <v>127</v>
      </c>
      <c r="F25" s="525">
        <v>127</v>
      </c>
      <c r="G25" s="525">
        <v>127000</v>
      </c>
      <c r="H25" s="525">
        <v>127000</v>
      </c>
      <c r="I25" s="525">
        <v>127000</v>
      </c>
      <c r="J25" s="471"/>
    </row>
    <row r="26" spans="1:10" ht="15.9" customHeight="1" x14ac:dyDescent="0.25">
      <c r="A26" s="458" t="s">
        <v>649</v>
      </c>
      <c r="B26" s="469">
        <v>508</v>
      </c>
      <c r="C26" s="470" t="s">
        <v>643</v>
      </c>
      <c r="D26" s="469"/>
      <c r="E26" s="469">
        <v>508</v>
      </c>
      <c r="F26" s="525">
        <v>508</v>
      </c>
      <c r="G26" s="525">
        <v>508000</v>
      </c>
      <c r="H26" s="525">
        <v>508000</v>
      </c>
      <c r="I26" s="525">
        <v>508000</v>
      </c>
      <c r="J26" s="471"/>
    </row>
    <row r="27" spans="1:10" ht="15.9" customHeight="1" x14ac:dyDescent="0.25">
      <c r="A27" s="458" t="s">
        <v>650</v>
      </c>
      <c r="B27" s="469">
        <v>127</v>
      </c>
      <c r="C27" s="470" t="s">
        <v>643</v>
      </c>
      <c r="D27" s="469"/>
      <c r="E27" s="469">
        <v>127</v>
      </c>
      <c r="F27" s="525">
        <v>127</v>
      </c>
      <c r="G27" s="525">
        <v>127000</v>
      </c>
      <c r="H27" s="525">
        <v>127000</v>
      </c>
      <c r="I27" s="525">
        <v>127000</v>
      </c>
      <c r="J27" s="471"/>
    </row>
    <row r="28" spans="1:10" ht="15.9" customHeight="1" x14ac:dyDescent="0.25">
      <c r="A28" s="458" t="s">
        <v>651</v>
      </c>
      <c r="B28" s="469">
        <v>127</v>
      </c>
      <c r="C28" s="470" t="s">
        <v>643</v>
      </c>
      <c r="D28" s="469"/>
      <c r="E28" s="469">
        <v>127</v>
      </c>
      <c r="F28" s="525">
        <v>127</v>
      </c>
      <c r="G28" s="525">
        <v>127000</v>
      </c>
      <c r="H28" s="525">
        <v>127000</v>
      </c>
      <c r="I28" s="525">
        <v>127000</v>
      </c>
      <c r="J28" s="471"/>
    </row>
    <row r="29" spans="1:10" ht="15.9" customHeight="1" x14ac:dyDescent="0.25">
      <c r="A29" s="458" t="s">
        <v>658</v>
      </c>
      <c r="B29" s="469">
        <v>191</v>
      </c>
      <c r="C29" s="470" t="s">
        <v>643</v>
      </c>
      <c r="D29" s="469"/>
      <c r="E29" s="469">
        <v>191</v>
      </c>
      <c r="F29" s="525">
        <v>191</v>
      </c>
      <c r="G29" s="525">
        <v>190500</v>
      </c>
      <c r="H29" s="525">
        <v>190500</v>
      </c>
      <c r="I29" s="525">
        <v>190500</v>
      </c>
      <c r="J29" s="471"/>
    </row>
    <row r="30" spans="1:10" ht="15.9" customHeight="1" x14ac:dyDescent="0.25">
      <c r="A30" s="458" t="s">
        <v>659</v>
      </c>
      <c r="B30" s="469">
        <v>635</v>
      </c>
      <c r="C30" s="470" t="s">
        <v>643</v>
      </c>
      <c r="D30" s="469"/>
      <c r="E30" s="469">
        <v>635</v>
      </c>
      <c r="F30" s="525">
        <v>635</v>
      </c>
      <c r="G30" s="525">
        <v>635000</v>
      </c>
      <c r="H30" s="525">
        <v>635000</v>
      </c>
      <c r="I30" s="525">
        <v>635000</v>
      </c>
      <c r="J30" s="471"/>
    </row>
    <row r="31" spans="1:10" ht="15.9" customHeight="1" x14ac:dyDescent="0.25">
      <c r="A31" s="458" t="s">
        <v>660</v>
      </c>
      <c r="B31" s="469">
        <v>297</v>
      </c>
      <c r="C31" s="470" t="s">
        <v>643</v>
      </c>
      <c r="D31" s="469"/>
      <c r="E31" s="469">
        <v>297</v>
      </c>
      <c r="F31" s="525">
        <v>297</v>
      </c>
      <c r="G31" s="525">
        <v>297180</v>
      </c>
      <c r="H31" s="525">
        <v>297180</v>
      </c>
      <c r="I31" s="525">
        <v>297180</v>
      </c>
      <c r="J31" s="471"/>
    </row>
    <row r="32" spans="1:10" ht="15.9" customHeight="1" x14ac:dyDescent="0.25">
      <c r="A32" s="458" t="s">
        <v>661</v>
      </c>
      <c r="B32" s="469">
        <v>696</v>
      </c>
      <c r="C32" s="470" t="s">
        <v>643</v>
      </c>
      <c r="D32" s="469"/>
      <c r="E32" s="469">
        <v>696</v>
      </c>
      <c r="F32" s="525">
        <v>696</v>
      </c>
      <c r="G32" s="525">
        <v>695960</v>
      </c>
      <c r="H32" s="525">
        <v>695960</v>
      </c>
      <c r="I32" s="525">
        <v>695960</v>
      </c>
      <c r="J32" s="471"/>
    </row>
    <row r="33" spans="1:10" ht="15.9" customHeight="1" x14ac:dyDescent="0.25">
      <c r="A33" s="458" t="s">
        <v>662</v>
      </c>
      <c r="B33" s="469">
        <v>127</v>
      </c>
      <c r="C33" s="470" t="s">
        <v>643</v>
      </c>
      <c r="D33" s="469"/>
      <c r="E33" s="469">
        <v>127</v>
      </c>
      <c r="F33" s="525">
        <v>127</v>
      </c>
      <c r="G33" s="525">
        <v>127000</v>
      </c>
      <c r="H33" s="525">
        <v>127000</v>
      </c>
      <c r="I33" s="525">
        <v>127000</v>
      </c>
      <c r="J33" s="471"/>
    </row>
    <row r="34" spans="1:10" ht="15.9" customHeight="1" x14ac:dyDescent="0.25">
      <c r="A34" s="458" t="s">
        <v>663</v>
      </c>
      <c r="B34" s="469">
        <v>127</v>
      </c>
      <c r="C34" s="470" t="s">
        <v>643</v>
      </c>
      <c r="D34" s="469"/>
      <c r="E34" s="469">
        <v>127</v>
      </c>
      <c r="F34" s="525">
        <v>127</v>
      </c>
      <c r="G34" s="525">
        <v>127000</v>
      </c>
      <c r="H34" s="525">
        <v>127000</v>
      </c>
      <c r="I34" s="525">
        <v>127000</v>
      </c>
      <c r="J34" s="471"/>
    </row>
    <row r="35" spans="1:10" ht="15.9" customHeight="1" x14ac:dyDescent="0.25">
      <c r="A35" s="458" t="s">
        <v>664</v>
      </c>
      <c r="B35" s="469">
        <v>127</v>
      </c>
      <c r="C35" s="470" t="s">
        <v>643</v>
      </c>
      <c r="D35" s="469"/>
      <c r="E35" s="469">
        <v>127</v>
      </c>
      <c r="F35" s="525">
        <v>127</v>
      </c>
      <c r="G35" s="525">
        <v>127000</v>
      </c>
      <c r="H35" s="525">
        <v>127000</v>
      </c>
      <c r="I35" s="525">
        <v>127000</v>
      </c>
      <c r="J35" s="471"/>
    </row>
    <row r="36" spans="1:10" ht="15.9" customHeight="1" x14ac:dyDescent="0.25">
      <c r="A36" s="458" t="s">
        <v>666</v>
      </c>
      <c r="B36" s="469">
        <v>381</v>
      </c>
      <c r="C36" s="470" t="s">
        <v>643</v>
      </c>
      <c r="D36" s="469"/>
      <c r="E36" s="469">
        <v>381</v>
      </c>
      <c r="F36" s="525">
        <v>381</v>
      </c>
      <c r="G36" s="525">
        <v>381000</v>
      </c>
      <c r="H36" s="525">
        <v>381000</v>
      </c>
      <c r="I36" s="525">
        <v>381000</v>
      </c>
      <c r="J36" s="471"/>
    </row>
    <row r="37" spans="1:10" ht="15.9" customHeight="1" x14ac:dyDescent="0.25">
      <c r="A37" s="458" t="s">
        <v>667</v>
      </c>
      <c r="B37" s="469">
        <v>2774</v>
      </c>
      <c r="C37" s="470" t="s">
        <v>643</v>
      </c>
      <c r="D37" s="469"/>
      <c r="E37" s="469">
        <v>2774</v>
      </c>
      <c r="F37" s="525">
        <v>2774</v>
      </c>
      <c r="G37" s="525">
        <v>2773680</v>
      </c>
      <c r="H37" s="525">
        <v>2773680</v>
      </c>
      <c r="I37" s="525">
        <v>2773680</v>
      </c>
      <c r="J37" s="471"/>
    </row>
    <row r="38" spans="1:10" ht="15.9" customHeight="1" x14ac:dyDescent="0.25">
      <c r="A38" s="458" t="s">
        <v>668</v>
      </c>
      <c r="B38" s="469">
        <v>190</v>
      </c>
      <c r="C38" s="470" t="s">
        <v>643</v>
      </c>
      <c r="D38" s="469"/>
      <c r="E38" s="469">
        <v>190</v>
      </c>
      <c r="F38" s="525">
        <v>190</v>
      </c>
      <c r="G38" s="525">
        <v>190500</v>
      </c>
      <c r="H38" s="525">
        <v>190500</v>
      </c>
      <c r="I38" s="525">
        <v>190500</v>
      </c>
      <c r="J38" s="471"/>
    </row>
    <row r="39" spans="1:10" ht="15.9" customHeight="1" x14ac:dyDescent="0.25">
      <c r="A39" s="458" t="s">
        <v>669</v>
      </c>
      <c r="B39" s="469">
        <v>381</v>
      </c>
      <c r="C39" s="470" t="s">
        <v>643</v>
      </c>
      <c r="D39" s="469"/>
      <c r="E39" s="469">
        <v>381</v>
      </c>
      <c r="F39" s="525">
        <v>381</v>
      </c>
      <c r="G39" s="525">
        <f>381000-76200</f>
        <v>304800</v>
      </c>
      <c r="H39" s="525">
        <f>381000-76200</f>
        <v>304800</v>
      </c>
      <c r="I39" s="525">
        <f>381000-76200</f>
        <v>304800</v>
      </c>
      <c r="J39" s="471"/>
    </row>
    <row r="40" spans="1:10" ht="15.9" customHeight="1" x14ac:dyDescent="0.25">
      <c r="A40" s="458" t="s">
        <v>670</v>
      </c>
      <c r="B40" s="469">
        <v>508</v>
      </c>
      <c r="C40" s="470" t="s">
        <v>643</v>
      </c>
      <c r="D40" s="469"/>
      <c r="E40" s="469">
        <v>508</v>
      </c>
      <c r="F40" s="525">
        <v>508</v>
      </c>
      <c r="G40" s="525">
        <f>508000-336931-127000+1</f>
        <v>44070</v>
      </c>
      <c r="H40" s="525">
        <f>508000-336931-127000+1</f>
        <v>44070</v>
      </c>
      <c r="I40" s="525">
        <f>508000-336931-127000+1</f>
        <v>44070</v>
      </c>
      <c r="J40" s="471"/>
    </row>
    <row r="41" spans="1:10" ht="15.9" customHeight="1" x14ac:dyDescent="0.25">
      <c r="A41" s="458" t="s">
        <v>704</v>
      </c>
      <c r="B41" s="469"/>
      <c r="C41" s="470"/>
      <c r="D41" s="469"/>
      <c r="E41" s="469"/>
      <c r="F41" s="525"/>
      <c r="G41" s="525">
        <v>203200</v>
      </c>
      <c r="H41" s="525">
        <v>203200</v>
      </c>
      <c r="I41" s="525">
        <v>203200</v>
      </c>
      <c r="J41" s="471"/>
    </row>
    <row r="42" spans="1:10" ht="15.9" customHeight="1" x14ac:dyDescent="0.25">
      <c r="A42" s="458" t="s">
        <v>693</v>
      </c>
      <c r="B42" s="469"/>
      <c r="C42" s="470"/>
      <c r="D42" s="469"/>
      <c r="E42" s="469"/>
      <c r="F42" s="525">
        <v>270</v>
      </c>
      <c r="G42" s="525">
        <v>270000</v>
      </c>
      <c r="H42" s="525">
        <v>270000</v>
      </c>
      <c r="I42" s="525">
        <v>270000</v>
      </c>
      <c r="J42" s="471"/>
    </row>
    <row r="43" spans="1:10" ht="15.9" customHeight="1" x14ac:dyDescent="0.25">
      <c r="A43" s="458" t="s">
        <v>719</v>
      </c>
      <c r="B43" s="469"/>
      <c r="C43" s="470"/>
      <c r="D43" s="469"/>
      <c r="E43" s="469"/>
      <c r="F43" s="525"/>
      <c r="G43" s="525"/>
      <c r="H43" s="525">
        <v>3150000</v>
      </c>
      <c r="I43" s="525">
        <v>3150000</v>
      </c>
      <c r="J43" s="471"/>
    </row>
    <row r="44" spans="1:10" ht="15.9" customHeight="1" thickBot="1" x14ac:dyDescent="0.3">
      <c r="A44" s="458" t="s">
        <v>728</v>
      </c>
      <c r="B44" s="469"/>
      <c r="C44" s="470"/>
      <c r="D44" s="469"/>
      <c r="E44" s="469"/>
      <c r="F44" s="525"/>
      <c r="G44" s="525"/>
      <c r="H44" s="525"/>
      <c r="I44" s="525">
        <v>480000</v>
      </c>
      <c r="J44" s="471"/>
    </row>
    <row r="45" spans="1:10" s="475" customFormat="1" ht="18" customHeight="1" thickBot="1" x14ac:dyDescent="0.3">
      <c r="A45" s="472" t="s">
        <v>61</v>
      </c>
      <c r="B45" s="473">
        <f>SUM(B5:B44)</f>
        <v>70843</v>
      </c>
      <c r="C45" s="473"/>
      <c r="D45" s="473">
        <f t="shared" ref="D45:J45" si="0">SUM(D5:D44)</f>
        <v>0</v>
      </c>
      <c r="E45" s="473">
        <f t="shared" si="0"/>
        <v>69633</v>
      </c>
      <c r="F45" s="473">
        <f t="shared" si="0"/>
        <v>79634</v>
      </c>
      <c r="G45" s="473">
        <f t="shared" si="0"/>
        <v>83884413</v>
      </c>
      <c r="H45" s="473">
        <f t="shared" si="0"/>
        <v>87529913</v>
      </c>
      <c r="I45" s="473">
        <f t="shared" si="0"/>
        <v>88009913</v>
      </c>
      <c r="J45" s="474">
        <f t="shared" si="0"/>
        <v>0</v>
      </c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9" orientation="landscape" horizontalDpi="300" verticalDpi="300" r:id="rId1"/>
  <headerFooter alignWithMargins="0">
    <oddHeader>&amp;LVonyarcvashegy Nagyközség Önkormányzata&amp;R&amp;"Times New Roman CE,Félkövér dőlt"&amp;11 6. melléklet a ……/2016.()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J24"/>
  <sheetViews>
    <sheetView zoomScaleNormal="100" workbookViewId="0">
      <selection activeCell="A16" sqref="A16"/>
    </sheetView>
  </sheetViews>
  <sheetFormatPr defaultColWidth="9.33203125" defaultRowHeight="13.2" x14ac:dyDescent="0.25"/>
  <cols>
    <col min="1" max="1" width="58.44140625" style="587" bestFit="1" customWidth="1"/>
    <col min="2" max="2" width="13.6640625" style="586" bestFit="1" customWidth="1"/>
    <col min="3" max="3" width="13.44140625" style="586" bestFit="1" customWidth="1"/>
    <col min="4" max="4" width="12.6640625" style="586" bestFit="1" customWidth="1"/>
    <col min="5" max="9" width="11.109375" style="586" bestFit="1" customWidth="1"/>
    <col min="10" max="10" width="13.33203125" style="586" bestFit="1" customWidth="1"/>
    <col min="11" max="12" width="12.77734375" style="586" customWidth="1"/>
    <col min="13" max="13" width="13.77734375" style="586" customWidth="1"/>
    <col min="14" max="16384" width="9.33203125" style="586"/>
  </cols>
  <sheetData>
    <row r="1" spans="1:10" ht="24.75" customHeight="1" x14ac:dyDescent="0.25">
      <c r="A1" s="695" t="s">
        <v>1</v>
      </c>
      <c r="B1" s="695"/>
      <c r="C1" s="695"/>
      <c r="D1" s="695"/>
      <c r="E1" s="695"/>
      <c r="F1" s="695"/>
      <c r="G1" s="695"/>
      <c r="H1" s="695"/>
      <c r="I1" s="695"/>
      <c r="J1" s="695"/>
    </row>
    <row r="2" spans="1:10" ht="23.25" customHeight="1" thickBot="1" x14ac:dyDescent="0.35">
      <c r="A2" s="576"/>
      <c r="B2" s="419" t="s">
        <v>606</v>
      </c>
      <c r="C2" s="575"/>
      <c r="D2" s="575"/>
      <c r="E2" s="419" t="s">
        <v>606</v>
      </c>
      <c r="F2" s="419" t="s">
        <v>606</v>
      </c>
      <c r="G2" s="419" t="s">
        <v>615</v>
      </c>
      <c r="H2" s="419" t="s">
        <v>615</v>
      </c>
      <c r="I2" s="419" t="s">
        <v>615</v>
      </c>
      <c r="J2" s="419" t="s">
        <v>615</v>
      </c>
    </row>
    <row r="3" spans="1:10" s="423" customFormat="1" ht="48.75" customHeight="1" thickBot="1" x14ac:dyDescent="0.3">
      <c r="A3" s="420" t="s">
        <v>65</v>
      </c>
      <c r="B3" s="421" t="s">
        <v>63</v>
      </c>
      <c r="C3" s="421" t="s">
        <v>64</v>
      </c>
      <c r="D3" s="421" t="s">
        <v>634</v>
      </c>
      <c r="E3" s="524" t="s">
        <v>638</v>
      </c>
      <c r="F3" s="524" t="s">
        <v>681</v>
      </c>
      <c r="G3" s="524" t="s">
        <v>699</v>
      </c>
      <c r="H3" s="524" t="s">
        <v>710</v>
      </c>
      <c r="I3" s="524" t="s">
        <v>723</v>
      </c>
      <c r="J3" s="422" t="s">
        <v>635</v>
      </c>
    </row>
    <row r="4" spans="1:10" s="575" customFormat="1" ht="15" customHeight="1" thickBot="1" x14ac:dyDescent="0.3">
      <c r="A4" s="424" t="s">
        <v>494</v>
      </c>
      <c r="B4" s="425" t="s">
        <v>495</v>
      </c>
      <c r="C4" s="425" t="s">
        <v>496</v>
      </c>
      <c r="D4" s="425" t="s">
        <v>498</v>
      </c>
      <c r="E4" s="425" t="s">
        <v>497</v>
      </c>
      <c r="F4" s="425" t="s">
        <v>497</v>
      </c>
      <c r="G4" s="425" t="s">
        <v>497</v>
      </c>
      <c r="H4" s="425" t="s">
        <v>497</v>
      </c>
      <c r="I4" s="425" t="s">
        <v>497</v>
      </c>
      <c r="J4" s="426" t="s">
        <v>499</v>
      </c>
    </row>
    <row r="5" spans="1:10" ht="15.9" customHeight="1" x14ac:dyDescent="0.25">
      <c r="A5" s="427" t="s">
        <v>639</v>
      </c>
      <c r="B5" s="428">
        <v>6907</v>
      </c>
      <c r="C5" s="429" t="s">
        <v>640</v>
      </c>
      <c r="D5" s="428">
        <v>2072</v>
      </c>
      <c r="E5" s="428">
        <v>4835</v>
      </c>
      <c r="F5" s="428">
        <v>4835</v>
      </c>
      <c r="G5" s="428">
        <v>4834626</v>
      </c>
      <c r="H5" s="428">
        <v>4834626</v>
      </c>
      <c r="I5" s="428">
        <v>4834626</v>
      </c>
      <c r="J5" s="430">
        <f t="shared" ref="J5:J23" si="0">B5-D5-E5</f>
        <v>0</v>
      </c>
    </row>
    <row r="6" spans="1:10" ht="15.9" customHeight="1" x14ac:dyDescent="0.25">
      <c r="A6" s="427" t="s">
        <v>641</v>
      </c>
      <c r="B6" s="428">
        <v>8522</v>
      </c>
      <c r="C6" s="429" t="s">
        <v>643</v>
      </c>
      <c r="D6" s="428"/>
      <c r="E6" s="428">
        <v>8522</v>
      </c>
      <c r="F6" s="428"/>
      <c r="G6" s="428"/>
      <c r="H6" s="428"/>
      <c r="I6" s="428"/>
      <c r="J6" s="430">
        <f t="shared" si="0"/>
        <v>0</v>
      </c>
    </row>
    <row r="7" spans="1:10" ht="15.9" customHeight="1" x14ac:dyDescent="0.25">
      <c r="A7" s="427" t="s">
        <v>642</v>
      </c>
      <c r="B7" s="428">
        <v>1524</v>
      </c>
      <c r="C7" s="429" t="s">
        <v>643</v>
      </c>
      <c r="D7" s="428"/>
      <c r="E7" s="428">
        <v>1524</v>
      </c>
      <c r="F7" s="428">
        <v>1524</v>
      </c>
      <c r="G7" s="428">
        <v>1524000</v>
      </c>
      <c r="H7" s="428">
        <v>1524000</v>
      </c>
      <c r="I7" s="428">
        <v>1524000</v>
      </c>
      <c r="J7" s="430"/>
    </row>
    <row r="8" spans="1:10" ht="15.9" customHeight="1" x14ac:dyDescent="0.25">
      <c r="A8" s="427" t="s">
        <v>724</v>
      </c>
      <c r="B8" s="428"/>
      <c r="C8" s="429"/>
      <c r="D8" s="428"/>
      <c r="E8" s="428"/>
      <c r="F8" s="428"/>
      <c r="G8" s="428"/>
      <c r="H8" s="428"/>
      <c r="I8" s="428">
        <v>21966857</v>
      </c>
      <c r="J8" s="430">
        <f t="shared" si="0"/>
        <v>0</v>
      </c>
    </row>
    <row r="9" spans="1:10" ht="15.9" customHeight="1" x14ac:dyDescent="0.25">
      <c r="A9" s="427" t="s">
        <v>725</v>
      </c>
      <c r="B9" s="428"/>
      <c r="C9" s="429"/>
      <c r="D9" s="428"/>
      <c r="E9" s="428"/>
      <c r="F9" s="428"/>
      <c r="G9" s="428"/>
      <c r="H9" s="428"/>
      <c r="I9" s="428">
        <v>8381999</v>
      </c>
      <c r="J9" s="430"/>
    </row>
    <row r="10" spans="1:10" ht="15.9" customHeight="1" x14ac:dyDescent="0.25">
      <c r="A10" s="427" t="s">
        <v>726</v>
      </c>
      <c r="B10" s="428"/>
      <c r="C10" s="429"/>
      <c r="D10" s="428"/>
      <c r="E10" s="428"/>
      <c r="F10" s="428"/>
      <c r="G10" s="428"/>
      <c r="H10" s="428"/>
      <c r="I10" s="428">
        <v>6166114</v>
      </c>
      <c r="J10" s="430">
        <f t="shared" si="0"/>
        <v>0</v>
      </c>
    </row>
    <row r="11" spans="1:10" ht="15.9" customHeight="1" x14ac:dyDescent="0.25">
      <c r="A11" s="427" t="s">
        <v>727</v>
      </c>
      <c r="B11" s="428"/>
      <c r="C11" s="429"/>
      <c r="D11" s="428"/>
      <c r="E11" s="428"/>
      <c r="F11" s="428"/>
      <c r="G11" s="428"/>
      <c r="H11" s="428"/>
      <c r="I11" s="428">
        <v>7296814</v>
      </c>
      <c r="J11" s="430">
        <f t="shared" si="0"/>
        <v>0</v>
      </c>
    </row>
    <row r="12" spans="1:10" ht="15.9" customHeight="1" x14ac:dyDescent="0.25">
      <c r="A12" s="427"/>
      <c r="B12" s="428"/>
      <c r="C12" s="429"/>
      <c r="D12" s="428"/>
      <c r="E12" s="428"/>
      <c r="F12" s="428"/>
      <c r="G12" s="428"/>
      <c r="H12" s="428"/>
      <c r="I12" s="428"/>
      <c r="J12" s="430">
        <f t="shared" si="0"/>
        <v>0</v>
      </c>
    </row>
    <row r="13" spans="1:10" ht="15.9" customHeight="1" x14ac:dyDescent="0.25">
      <c r="A13" s="427"/>
      <c r="B13" s="428"/>
      <c r="C13" s="429"/>
      <c r="D13" s="428"/>
      <c r="E13" s="428"/>
      <c r="F13" s="428"/>
      <c r="G13" s="428"/>
      <c r="H13" s="428"/>
      <c r="I13" s="428"/>
      <c r="J13" s="430">
        <f t="shared" si="0"/>
        <v>0</v>
      </c>
    </row>
    <row r="14" spans="1:10" ht="15.9" customHeight="1" x14ac:dyDescent="0.25">
      <c r="A14" s="427"/>
      <c r="B14" s="428"/>
      <c r="C14" s="429"/>
      <c r="D14" s="428"/>
      <c r="E14" s="428"/>
      <c r="F14" s="428"/>
      <c r="G14" s="428"/>
      <c r="H14" s="428"/>
      <c r="I14" s="428"/>
      <c r="J14" s="430">
        <f t="shared" si="0"/>
        <v>0</v>
      </c>
    </row>
    <row r="15" spans="1:10" ht="15.9" customHeight="1" x14ac:dyDescent="0.25">
      <c r="A15" s="427"/>
      <c r="B15" s="428"/>
      <c r="C15" s="429"/>
      <c r="D15" s="428"/>
      <c r="E15" s="428"/>
      <c r="F15" s="428"/>
      <c r="G15" s="428"/>
      <c r="H15" s="428"/>
      <c r="I15" s="428"/>
      <c r="J15" s="430">
        <f t="shared" si="0"/>
        <v>0</v>
      </c>
    </row>
    <row r="16" spans="1:10" ht="15.9" customHeight="1" x14ac:dyDescent="0.25">
      <c r="A16" s="427"/>
      <c r="B16" s="428"/>
      <c r="C16" s="429"/>
      <c r="D16" s="428"/>
      <c r="E16" s="428"/>
      <c r="F16" s="428"/>
      <c r="G16" s="428"/>
      <c r="H16" s="428"/>
      <c r="I16" s="428"/>
      <c r="J16" s="430">
        <f t="shared" si="0"/>
        <v>0</v>
      </c>
    </row>
    <row r="17" spans="1:10" ht="15.9" customHeight="1" x14ac:dyDescent="0.25">
      <c r="A17" s="427"/>
      <c r="B17" s="428"/>
      <c r="C17" s="429"/>
      <c r="D17" s="428"/>
      <c r="E17" s="428"/>
      <c r="F17" s="428"/>
      <c r="G17" s="428"/>
      <c r="H17" s="428"/>
      <c r="I17" s="428"/>
      <c r="J17" s="430">
        <f t="shared" si="0"/>
        <v>0</v>
      </c>
    </row>
    <row r="18" spans="1:10" ht="15.9" customHeight="1" x14ac:dyDescent="0.25">
      <c r="A18" s="427"/>
      <c r="B18" s="428"/>
      <c r="C18" s="429"/>
      <c r="D18" s="428"/>
      <c r="E18" s="428"/>
      <c r="F18" s="428"/>
      <c r="G18" s="428"/>
      <c r="H18" s="428"/>
      <c r="I18" s="428"/>
      <c r="J18" s="430">
        <f t="shared" si="0"/>
        <v>0</v>
      </c>
    </row>
    <row r="19" spans="1:10" ht="15.9" customHeight="1" x14ac:dyDescent="0.25">
      <c r="A19" s="427"/>
      <c r="B19" s="428"/>
      <c r="C19" s="429"/>
      <c r="D19" s="428"/>
      <c r="E19" s="428"/>
      <c r="F19" s="428"/>
      <c r="G19" s="428"/>
      <c r="H19" s="428"/>
      <c r="I19" s="428"/>
      <c r="J19" s="430">
        <f t="shared" si="0"/>
        <v>0</v>
      </c>
    </row>
    <row r="20" spans="1:10" ht="15.9" customHeight="1" x14ac:dyDescent="0.25">
      <c r="A20" s="427"/>
      <c r="B20" s="428"/>
      <c r="C20" s="429"/>
      <c r="D20" s="428"/>
      <c r="E20" s="428"/>
      <c r="F20" s="428"/>
      <c r="G20" s="428"/>
      <c r="H20" s="428"/>
      <c r="I20" s="428"/>
      <c r="J20" s="430">
        <f t="shared" si="0"/>
        <v>0</v>
      </c>
    </row>
    <row r="21" spans="1:10" ht="15.9" customHeight="1" x14ac:dyDescent="0.25">
      <c r="A21" s="427"/>
      <c r="B21" s="428"/>
      <c r="C21" s="429"/>
      <c r="D21" s="428"/>
      <c r="E21" s="428"/>
      <c r="F21" s="428"/>
      <c r="G21" s="428"/>
      <c r="H21" s="428"/>
      <c r="I21" s="428"/>
      <c r="J21" s="430">
        <f t="shared" si="0"/>
        <v>0</v>
      </c>
    </row>
    <row r="22" spans="1:10" ht="15.9" customHeight="1" x14ac:dyDescent="0.25">
      <c r="A22" s="427"/>
      <c r="B22" s="428"/>
      <c r="C22" s="429"/>
      <c r="D22" s="428"/>
      <c r="E22" s="428"/>
      <c r="F22" s="428"/>
      <c r="G22" s="428"/>
      <c r="H22" s="428"/>
      <c r="I22" s="428"/>
      <c r="J22" s="430">
        <f t="shared" si="0"/>
        <v>0</v>
      </c>
    </row>
    <row r="23" spans="1:10" ht="15.9" customHeight="1" thickBot="1" x14ac:dyDescent="0.3">
      <c r="A23" s="431"/>
      <c r="B23" s="432"/>
      <c r="C23" s="433"/>
      <c r="D23" s="432"/>
      <c r="E23" s="432"/>
      <c r="F23" s="432"/>
      <c r="G23" s="432"/>
      <c r="H23" s="432"/>
      <c r="I23" s="432"/>
      <c r="J23" s="434">
        <f t="shared" si="0"/>
        <v>0</v>
      </c>
    </row>
    <row r="24" spans="1:10" s="439" customFormat="1" ht="18" customHeight="1" thickBot="1" x14ac:dyDescent="0.3">
      <c r="A24" s="435" t="s">
        <v>61</v>
      </c>
      <c r="B24" s="436">
        <f>SUM(B5:B23)</f>
        <v>16953</v>
      </c>
      <c r="C24" s="437"/>
      <c r="D24" s="436">
        <f t="shared" ref="D24:J24" si="1">SUM(D5:D23)</f>
        <v>2072</v>
      </c>
      <c r="E24" s="436">
        <f t="shared" si="1"/>
        <v>14881</v>
      </c>
      <c r="F24" s="436">
        <f t="shared" si="1"/>
        <v>6359</v>
      </c>
      <c r="G24" s="436">
        <f t="shared" si="1"/>
        <v>6358626</v>
      </c>
      <c r="H24" s="436">
        <f t="shared" si="1"/>
        <v>6358626</v>
      </c>
      <c r="I24" s="436">
        <f t="shared" si="1"/>
        <v>50170410</v>
      </c>
      <c r="J24" s="438">
        <f t="shared" si="1"/>
        <v>0</v>
      </c>
    </row>
  </sheetData>
  <mergeCells count="1">
    <mergeCell ref="A1:J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80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……/2016.() önkormányzati rendelethez&amp;"Times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52"/>
  <sheetViews>
    <sheetView zoomScaleNormal="100" workbookViewId="0">
      <selection activeCell="D4" sqref="D4"/>
    </sheetView>
  </sheetViews>
  <sheetFormatPr defaultColWidth="9.33203125" defaultRowHeight="13.2" x14ac:dyDescent="0.25"/>
  <cols>
    <col min="1" max="1" width="36.77734375" style="583" bestFit="1" customWidth="1"/>
    <col min="2" max="3" width="5.6640625" style="583" bestFit="1" customWidth="1"/>
    <col min="4" max="4" width="10.109375" style="583" bestFit="1" customWidth="1"/>
    <col min="5" max="5" width="9.44140625" style="583" bestFit="1" customWidth="1"/>
    <col min="6" max="16384" width="9.33203125" style="583"/>
  </cols>
  <sheetData>
    <row r="1" spans="1:5" x14ac:dyDescent="0.25">
      <c r="A1" s="582"/>
      <c r="B1" s="582"/>
      <c r="C1" s="582"/>
      <c r="D1" s="582"/>
      <c r="E1" s="582"/>
    </row>
    <row r="2" spans="1:5" ht="15.6" x14ac:dyDescent="0.3">
      <c r="A2" s="128" t="s">
        <v>133</v>
      </c>
      <c r="B2" s="716"/>
      <c r="C2" s="716"/>
      <c r="D2" s="716"/>
      <c r="E2" s="716"/>
    </row>
    <row r="3" spans="1:5" ht="14.4" thickBot="1" x14ac:dyDescent="0.35">
      <c r="A3" s="582"/>
      <c r="B3" s="582"/>
      <c r="C3" s="582"/>
      <c r="D3" s="717" t="s">
        <v>615</v>
      </c>
      <c r="E3" s="717"/>
    </row>
    <row r="4" spans="1:5" ht="15" customHeight="1" thickBot="1" x14ac:dyDescent="0.3">
      <c r="A4" s="129" t="s">
        <v>125</v>
      </c>
      <c r="B4" s="130" t="s">
        <v>630</v>
      </c>
      <c r="C4" s="130" t="s">
        <v>631</v>
      </c>
      <c r="D4" s="130" t="s">
        <v>632</v>
      </c>
      <c r="E4" s="131" t="s">
        <v>48</v>
      </c>
    </row>
    <row r="5" spans="1:5" x14ac:dyDescent="0.25">
      <c r="A5" s="132" t="s">
        <v>127</v>
      </c>
      <c r="B5" s="47"/>
      <c r="C5" s="47"/>
      <c r="D5" s="47"/>
      <c r="E5" s="133">
        <f t="shared" ref="E5:E11" si="0">SUM(B5:D5)</f>
        <v>0</v>
      </c>
    </row>
    <row r="6" spans="1:5" x14ac:dyDescent="0.25">
      <c r="A6" s="134" t="s">
        <v>140</v>
      </c>
      <c r="B6" s="48"/>
      <c r="C6" s="48"/>
      <c r="D6" s="48"/>
      <c r="E6" s="135">
        <f t="shared" si="0"/>
        <v>0</v>
      </c>
    </row>
    <row r="7" spans="1:5" x14ac:dyDescent="0.25">
      <c r="A7" s="136" t="s">
        <v>128</v>
      </c>
      <c r="B7" s="49"/>
      <c r="C7" s="49"/>
      <c r="D7" s="49"/>
      <c r="E7" s="137">
        <f t="shared" si="0"/>
        <v>0</v>
      </c>
    </row>
    <row r="8" spans="1:5" x14ac:dyDescent="0.25">
      <c r="A8" s="136" t="s">
        <v>142</v>
      </c>
      <c r="B8" s="49"/>
      <c r="C8" s="49"/>
      <c r="D8" s="49"/>
      <c r="E8" s="137">
        <f t="shared" si="0"/>
        <v>0</v>
      </c>
    </row>
    <row r="9" spans="1:5" x14ac:dyDescent="0.25">
      <c r="A9" s="136" t="s">
        <v>129</v>
      </c>
      <c r="B9" s="49"/>
      <c r="C9" s="49"/>
      <c r="D9" s="49"/>
      <c r="E9" s="137">
        <f t="shared" si="0"/>
        <v>0</v>
      </c>
    </row>
    <row r="10" spans="1:5" x14ac:dyDescent="0.25">
      <c r="A10" s="136" t="s">
        <v>130</v>
      </c>
      <c r="B10" s="49"/>
      <c r="C10" s="49"/>
      <c r="D10" s="49"/>
      <c r="E10" s="137">
        <f t="shared" si="0"/>
        <v>0</v>
      </c>
    </row>
    <row r="11" spans="1:5" ht="13.8" thickBot="1" x14ac:dyDescent="0.3">
      <c r="A11" s="50"/>
      <c r="B11" s="51"/>
      <c r="C11" s="51"/>
      <c r="D11" s="51"/>
      <c r="E11" s="137">
        <f t="shared" si="0"/>
        <v>0</v>
      </c>
    </row>
    <row r="12" spans="1:5" ht="13.8" thickBot="1" x14ac:dyDescent="0.3">
      <c r="A12" s="138" t="s">
        <v>132</v>
      </c>
      <c r="B12" s="139">
        <f>B5+SUM(B7:B11)</f>
        <v>0</v>
      </c>
      <c r="C12" s="139">
        <f>C5+SUM(C7:C11)</f>
        <v>0</v>
      </c>
      <c r="D12" s="139">
        <f>D5+SUM(D7:D11)</f>
        <v>0</v>
      </c>
      <c r="E12" s="140">
        <f>E5+SUM(E7:E11)</f>
        <v>0</v>
      </c>
    </row>
    <row r="13" spans="1:5" ht="13.8" thickBot="1" x14ac:dyDescent="0.3">
      <c r="A13" s="584"/>
      <c r="B13" s="584"/>
      <c r="C13" s="584"/>
      <c r="D13" s="584"/>
      <c r="E13" s="584"/>
    </row>
    <row r="14" spans="1:5" ht="15" customHeight="1" thickBot="1" x14ac:dyDescent="0.3">
      <c r="A14" s="129" t="s">
        <v>131</v>
      </c>
      <c r="B14" s="130" t="str">
        <f>+B4</f>
        <v>2016.</v>
      </c>
      <c r="C14" s="130" t="str">
        <f>+C4</f>
        <v>2017.</v>
      </c>
      <c r="D14" s="130" t="str">
        <f>+D4</f>
        <v>2017. után</v>
      </c>
      <c r="E14" s="131" t="s">
        <v>48</v>
      </c>
    </row>
    <row r="15" spans="1:5" x14ac:dyDescent="0.25">
      <c r="A15" s="132" t="s">
        <v>136</v>
      </c>
      <c r="B15" s="47"/>
      <c r="C15" s="47"/>
      <c r="D15" s="47"/>
      <c r="E15" s="133">
        <f t="shared" ref="E15:E21" si="1">SUM(B15:D15)</f>
        <v>0</v>
      </c>
    </row>
    <row r="16" spans="1:5" x14ac:dyDescent="0.25">
      <c r="A16" s="141" t="s">
        <v>137</v>
      </c>
      <c r="B16" s="49"/>
      <c r="C16" s="49"/>
      <c r="D16" s="49"/>
      <c r="E16" s="137">
        <f t="shared" si="1"/>
        <v>0</v>
      </c>
    </row>
    <row r="17" spans="1:5" x14ac:dyDescent="0.25">
      <c r="A17" s="136" t="s">
        <v>138</v>
      </c>
      <c r="B17" s="49"/>
      <c r="C17" s="49"/>
      <c r="D17" s="49"/>
      <c r="E17" s="137">
        <f t="shared" si="1"/>
        <v>0</v>
      </c>
    </row>
    <row r="18" spans="1:5" x14ac:dyDescent="0.25">
      <c r="A18" s="136" t="s">
        <v>139</v>
      </c>
      <c r="B18" s="49"/>
      <c r="C18" s="49"/>
      <c r="D18" s="49"/>
      <c r="E18" s="137">
        <f t="shared" si="1"/>
        <v>0</v>
      </c>
    </row>
    <row r="19" spans="1:5" x14ac:dyDescent="0.25">
      <c r="A19" s="52"/>
      <c r="B19" s="49"/>
      <c r="C19" s="49"/>
      <c r="D19" s="49"/>
      <c r="E19" s="137">
        <f t="shared" si="1"/>
        <v>0</v>
      </c>
    </row>
    <row r="20" spans="1:5" x14ac:dyDescent="0.25">
      <c r="A20" s="52"/>
      <c r="B20" s="49"/>
      <c r="C20" s="49"/>
      <c r="D20" s="49"/>
      <c r="E20" s="137">
        <f t="shared" si="1"/>
        <v>0</v>
      </c>
    </row>
    <row r="21" spans="1:5" ht="13.8" thickBot="1" x14ac:dyDescent="0.3">
      <c r="A21" s="50"/>
      <c r="B21" s="51"/>
      <c r="C21" s="51"/>
      <c r="D21" s="51"/>
      <c r="E21" s="137">
        <f t="shared" si="1"/>
        <v>0</v>
      </c>
    </row>
    <row r="22" spans="1:5" ht="13.8" thickBot="1" x14ac:dyDescent="0.3">
      <c r="A22" s="138" t="s">
        <v>50</v>
      </c>
      <c r="B22" s="139">
        <f>SUM(B15:B21)</f>
        <v>0</v>
      </c>
      <c r="C22" s="139">
        <f>SUM(C15:C21)</f>
        <v>0</v>
      </c>
      <c r="D22" s="139">
        <f>SUM(D15:D21)</f>
        <v>0</v>
      </c>
      <c r="E22" s="140">
        <f>SUM(E15:E21)</f>
        <v>0</v>
      </c>
    </row>
    <row r="23" spans="1:5" x14ac:dyDescent="0.25">
      <c r="A23" s="582"/>
      <c r="B23" s="582"/>
      <c r="C23" s="582"/>
      <c r="D23" s="582"/>
      <c r="E23" s="582"/>
    </row>
    <row r="24" spans="1:5" x14ac:dyDescent="0.25">
      <c r="A24" s="582"/>
      <c r="B24" s="582"/>
      <c r="C24" s="582"/>
      <c r="D24" s="582"/>
      <c r="E24" s="582"/>
    </row>
    <row r="25" spans="1:5" ht="15.6" x14ac:dyDescent="0.3">
      <c r="A25" s="128" t="s">
        <v>133</v>
      </c>
      <c r="B25" s="716"/>
      <c r="C25" s="716"/>
      <c r="D25" s="716"/>
      <c r="E25" s="716"/>
    </row>
    <row r="26" spans="1:5" ht="14.4" thickBot="1" x14ac:dyDescent="0.35">
      <c r="A26" s="582"/>
      <c r="B26" s="582"/>
      <c r="C26" s="582"/>
      <c r="D26" s="717" t="s">
        <v>126</v>
      </c>
      <c r="E26" s="717"/>
    </row>
    <row r="27" spans="1:5" ht="13.8" thickBot="1" x14ac:dyDescent="0.3">
      <c r="A27" s="129" t="s">
        <v>125</v>
      </c>
      <c r="B27" s="130" t="str">
        <f>+B14</f>
        <v>2016.</v>
      </c>
      <c r="C27" s="130" t="str">
        <f>+C14</f>
        <v>2017.</v>
      </c>
      <c r="D27" s="130" t="str">
        <f>+D14</f>
        <v>2017. után</v>
      </c>
      <c r="E27" s="131" t="s">
        <v>48</v>
      </c>
    </row>
    <row r="28" spans="1:5" x14ac:dyDescent="0.25">
      <c r="A28" s="132" t="s">
        <v>127</v>
      </c>
      <c r="B28" s="47"/>
      <c r="C28" s="47"/>
      <c r="D28" s="47"/>
      <c r="E28" s="133">
        <f t="shared" ref="E28:E34" si="2">SUM(B28:D28)</f>
        <v>0</v>
      </c>
    </row>
    <row r="29" spans="1:5" x14ac:dyDescent="0.25">
      <c r="A29" s="134" t="s">
        <v>140</v>
      </c>
      <c r="B29" s="48"/>
      <c r="C29" s="48"/>
      <c r="D29" s="48"/>
      <c r="E29" s="135">
        <f t="shared" si="2"/>
        <v>0</v>
      </c>
    </row>
    <row r="30" spans="1:5" x14ac:dyDescent="0.25">
      <c r="A30" s="136" t="s">
        <v>128</v>
      </c>
      <c r="B30" s="49"/>
      <c r="C30" s="49"/>
      <c r="D30" s="49"/>
      <c r="E30" s="137">
        <f t="shared" si="2"/>
        <v>0</v>
      </c>
    </row>
    <row r="31" spans="1:5" x14ac:dyDescent="0.25">
      <c r="A31" s="136" t="s">
        <v>142</v>
      </c>
      <c r="B31" s="49"/>
      <c r="C31" s="49"/>
      <c r="D31" s="49"/>
      <c r="E31" s="137">
        <f t="shared" si="2"/>
        <v>0</v>
      </c>
    </row>
    <row r="32" spans="1:5" x14ac:dyDescent="0.25">
      <c r="A32" s="136" t="s">
        <v>129</v>
      </c>
      <c r="B32" s="49"/>
      <c r="C32" s="49"/>
      <c r="D32" s="49"/>
      <c r="E32" s="137">
        <f t="shared" si="2"/>
        <v>0</v>
      </c>
    </row>
    <row r="33" spans="1:8" x14ac:dyDescent="0.25">
      <c r="A33" s="136" t="s">
        <v>130</v>
      </c>
      <c r="B33" s="49"/>
      <c r="C33" s="49"/>
      <c r="D33" s="49"/>
      <c r="E33" s="137">
        <f t="shared" si="2"/>
        <v>0</v>
      </c>
    </row>
    <row r="34" spans="1:8" ht="13.8" thickBot="1" x14ac:dyDescent="0.3">
      <c r="A34" s="50"/>
      <c r="B34" s="51"/>
      <c r="C34" s="51"/>
      <c r="D34" s="51"/>
      <c r="E34" s="137">
        <f t="shared" si="2"/>
        <v>0</v>
      </c>
    </row>
    <row r="35" spans="1:8" ht="13.8" thickBot="1" x14ac:dyDescent="0.3">
      <c r="A35" s="138" t="s">
        <v>132</v>
      </c>
      <c r="B35" s="139">
        <f>B28+SUM(B30:B34)</f>
        <v>0</v>
      </c>
      <c r="C35" s="139">
        <f>C28+SUM(C30:C34)</f>
        <v>0</v>
      </c>
      <c r="D35" s="139">
        <f>D28+SUM(D30:D34)</f>
        <v>0</v>
      </c>
      <c r="E35" s="140">
        <f>E28+SUM(E30:E34)</f>
        <v>0</v>
      </c>
    </row>
    <row r="36" spans="1:8" ht="13.8" thickBot="1" x14ac:dyDescent="0.3">
      <c r="A36" s="584"/>
      <c r="B36" s="584"/>
      <c r="C36" s="584"/>
      <c r="D36" s="584"/>
      <c r="E36" s="584"/>
    </row>
    <row r="37" spans="1:8" ht="13.8" thickBot="1" x14ac:dyDescent="0.3">
      <c r="A37" s="129" t="s">
        <v>131</v>
      </c>
      <c r="B37" s="130" t="str">
        <f>+B27</f>
        <v>2016.</v>
      </c>
      <c r="C37" s="130" t="str">
        <f>+C27</f>
        <v>2017.</v>
      </c>
      <c r="D37" s="130" t="str">
        <f>+D27</f>
        <v>2017. után</v>
      </c>
      <c r="E37" s="131" t="s">
        <v>48</v>
      </c>
    </row>
    <row r="38" spans="1:8" x14ac:dyDescent="0.25">
      <c r="A38" s="132" t="s">
        <v>136</v>
      </c>
      <c r="B38" s="47"/>
      <c r="C38" s="47"/>
      <c r="D38" s="47"/>
      <c r="E38" s="133">
        <f t="shared" ref="E38:E44" si="3">SUM(B38:D38)</f>
        <v>0</v>
      </c>
    </row>
    <row r="39" spans="1:8" x14ac:dyDescent="0.25">
      <c r="A39" s="141" t="s">
        <v>137</v>
      </c>
      <c r="B39" s="49"/>
      <c r="C39" s="49"/>
      <c r="D39" s="49"/>
      <c r="E39" s="137">
        <f t="shared" si="3"/>
        <v>0</v>
      </c>
    </row>
    <row r="40" spans="1:8" x14ac:dyDescent="0.25">
      <c r="A40" s="136" t="s">
        <v>138</v>
      </c>
      <c r="B40" s="49"/>
      <c r="C40" s="49"/>
      <c r="D40" s="49"/>
      <c r="E40" s="137">
        <f t="shared" si="3"/>
        <v>0</v>
      </c>
    </row>
    <row r="41" spans="1:8" x14ac:dyDescent="0.25">
      <c r="A41" s="136" t="s">
        <v>139</v>
      </c>
      <c r="B41" s="49"/>
      <c r="C41" s="49"/>
      <c r="D41" s="49"/>
      <c r="E41" s="137">
        <f t="shared" si="3"/>
        <v>0</v>
      </c>
    </row>
    <row r="42" spans="1:8" x14ac:dyDescent="0.25">
      <c r="A42" s="52"/>
      <c r="B42" s="49"/>
      <c r="C42" s="49"/>
      <c r="D42" s="49"/>
      <c r="E42" s="137">
        <f t="shared" si="3"/>
        <v>0</v>
      </c>
    </row>
    <row r="43" spans="1:8" x14ac:dyDescent="0.25">
      <c r="A43" s="52"/>
      <c r="B43" s="49"/>
      <c r="C43" s="49"/>
      <c r="D43" s="49"/>
      <c r="E43" s="137">
        <f t="shared" si="3"/>
        <v>0</v>
      </c>
    </row>
    <row r="44" spans="1:8" ht="13.8" thickBot="1" x14ac:dyDescent="0.3">
      <c r="A44" s="50"/>
      <c r="B44" s="51"/>
      <c r="C44" s="51"/>
      <c r="D44" s="51"/>
      <c r="E44" s="137">
        <f t="shared" si="3"/>
        <v>0</v>
      </c>
    </row>
    <row r="45" spans="1:8" ht="13.8" thickBot="1" x14ac:dyDescent="0.3">
      <c r="A45" s="138" t="s">
        <v>50</v>
      </c>
      <c r="B45" s="139">
        <f>SUM(B38:B44)</f>
        <v>0</v>
      </c>
      <c r="C45" s="139">
        <f>SUM(C38:C44)</f>
        <v>0</v>
      </c>
      <c r="D45" s="139">
        <f>SUM(D38:D44)</f>
        <v>0</v>
      </c>
      <c r="E45" s="140">
        <f>SUM(E38:E44)</f>
        <v>0</v>
      </c>
    </row>
    <row r="46" spans="1:8" x14ac:dyDescent="0.25">
      <c r="A46" s="582"/>
      <c r="B46" s="582"/>
      <c r="C46" s="582"/>
      <c r="D46" s="582"/>
      <c r="E46" s="582"/>
    </row>
    <row r="47" spans="1:8" ht="15.6" x14ac:dyDescent="0.25">
      <c r="A47" s="718" t="s">
        <v>633</v>
      </c>
      <c r="B47" s="718"/>
      <c r="C47" s="718"/>
      <c r="D47" s="718"/>
      <c r="E47" s="718"/>
      <c r="F47" s="718"/>
      <c r="G47" s="718"/>
      <c r="H47" s="718"/>
    </row>
    <row r="48" spans="1:8" ht="13.8" thickBot="1" x14ac:dyDescent="0.3">
      <c r="A48" s="582"/>
      <c r="B48" s="582"/>
      <c r="C48" s="582"/>
      <c r="D48" s="582"/>
      <c r="E48" s="582"/>
    </row>
    <row r="49" spans="1:8" ht="13.8" thickBot="1" x14ac:dyDescent="0.3">
      <c r="A49" s="707" t="s">
        <v>134</v>
      </c>
      <c r="B49" s="708"/>
      <c r="C49" s="709"/>
      <c r="D49" s="705" t="s">
        <v>143</v>
      </c>
      <c r="E49" s="706"/>
      <c r="H49" s="585"/>
    </row>
    <row r="50" spans="1:8" x14ac:dyDescent="0.25">
      <c r="A50" s="710"/>
      <c r="B50" s="711"/>
      <c r="C50" s="712"/>
      <c r="D50" s="699"/>
      <c r="E50" s="700"/>
    </row>
    <row r="51" spans="1:8" ht="13.8" thickBot="1" x14ac:dyDescent="0.3">
      <c r="A51" s="713"/>
      <c r="B51" s="714"/>
      <c r="C51" s="715"/>
      <c r="D51" s="701"/>
      <c r="E51" s="702"/>
    </row>
    <row r="52" spans="1:8" ht="13.8" thickBot="1" x14ac:dyDescent="0.3">
      <c r="A52" s="696" t="s">
        <v>50</v>
      </c>
      <c r="B52" s="697"/>
      <c r="C52" s="698"/>
      <c r="D52" s="703">
        <f>SUM(D50:E51)</f>
        <v>0</v>
      </c>
      <c r="E52" s="704"/>
    </row>
  </sheetData>
  <mergeCells count="13">
    <mergeCell ref="B2:E2"/>
    <mergeCell ref="B25:E25"/>
    <mergeCell ref="D3:E3"/>
    <mergeCell ref="D26:E26"/>
    <mergeCell ref="A47:H47"/>
    <mergeCell ref="A52:C52"/>
    <mergeCell ref="D50:E50"/>
    <mergeCell ref="D51:E51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……/2016.()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20"/>
  </sheetPr>
  <dimension ref="A1:G157"/>
  <sheetViews>
    <sheetView zoomScaleNormal="100" zoomScaleSheetLayoutView="85" workbookViewId="0">
      <selection activeCell="K147" sqref="K147"/>
    </sheetView>
  </sheetViews>
  <sheetFormatPr defaultColWidth="9.33203125" defaultRowHeight="13.2" x14ac:dyDescent="0.25"/>
  <cols>
    <col min="1" max="1" width="9.6640625" style="570" customWidth="1"/>
    <col min="2" max="2" width="67.109375" style="542" customWidth="1"/>
    <col min="3" max="7" width="25" style="571" customWidth="1"/>
    <col min="8" max="16384" width="9.33203125" style="573"/>
  </cols>
  <sheetData>
    <row r="1" spans="1:7" s="2" customFormat="1" ht="16.5" customHeight="1" thickBot="1" x14ac:dyDescent="0.3">
      <c r="A1" s="142"/>
      <c r="C1" s="297" t="s">
        <v>714</v>
      </c>
      <c r="D1" s="297"/>
      <c r="E1" s="297"/>
      <c r="F1" s="297"/>
      <c r="G1" s="297"/>
    </row>
    <row r="2" spans="1:7" s="53" customFormat="1" ht="21" customHeight="1" x14ac:dyDescent="0.25">
      <c r="A2" s="232" t="s">
        <v>59</v>
      </c>
      <c r="B2" s="200" t="s">
        <v>548</v>
      </c>
      <c r="C2" s="202" t="s">
        <v>51</v>
      </c>
      <c r="D2" s="202" t="s">
        <v>51</v>
      </c>
      <c r="E2" s="202" t="s">
        <v>51</v>
      </c>
      <c r="F2" s="202" t="s">
        <v>51</v>
      </c>
      <c r="G2" s="202" t="s">
        <v>51</v>
      </c>
    </row>
    <row r="3" spans="1:7" s="53" customFormat="1" ht="16.2" thickBot="1" x14ac:dyDescent="0.3">
      <c r="A3" s="144" t="s">
        <v>196</v>
      </c>
      <c r="B3" s="201" t="s">
        <v>402</v>
      </c>
      <c r="C3" s="279" t="s">
        <v>51</v>
      </c>
      <c r="D3" s="279" t="s">
        <v>51</v>
      </c>
      <c r="E3" s="279" t="s">
        <v>51</v>
      </c>
      <c r="F3" s="279" t="s">
        <v>51</v>
      </c>
      <c r="G3" s="279" t="s">
        <v>51</v>
      </c>
    </row>
    <row r="4" spans="1:7" s="54" customFormat="1" ht="15.9" customHeight="1" thickBot="1" x14ac:dyDescent="0.35">
      <c r="A4" s="145"/>
      <c r="B4" s="145"/>
      <c r="C4" s="146" t="s">
        <v>606</v>
      </c>
      <c r="D4" s="146" t="s">
        <v>606</v>
      </c>
      <c r="E4" s="146" t="s">
        <v>615</v>
      </c>
      <c r="F4" s="146" t="s">
        <v>615</v>
      </c>
      <c r="G4" s="146" t="s">
        <v>615</v>
      </c>
    </row>
    <row r="5" spans="1:7" ht="13.8" thickBot="1" x14ac:dyDescent="0.3">
      <c r="A5" s="233" t="s">
        <v>198</v>
      </c>
      <c r="B5" s="147" t="s">
        <v>53</v>
      </c>
      <c r="C5" s="30" t="s">
        <v>638</v>
      </c>
      <c r="D5" s="30" t="s">
        <v>681</v>
      </c>
      <c r="E5" s="30" t="s">
        <v>699</v>
      </c>
      <c r="F5" s="30" t="s">
        <v>710</v>
      </c>
      <c r="G5" s="30" t="s">
        <v>723</v>
      </c>
    </row>
    <row r="6" spans="1:7" s="34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34" customFormat="1" ht="15.9" customHeight="1" thickBot="1" x14ac:dyDescent="0.3">
      <c r="A7" s="148"/>
      <c r="B7" s="149" t="s">
        <v>54</v>
      </c>
      <c r="C7" s="204"/>
      <c r="D7" s="204"/>
      <c r="E7" s="204"/>
      <c r="F7" s="204"/>
      <c r="G7" s="204"/>
    </row>
    <row r="8" spans="1:7" s="240" customFormat="1" ht="12" customHeight="1" thickBot="1" x14ac:dyDescent="0.3">
      <c r="A8" s="18" t="s">
        <v>16</v>
      </c>
      <c r="B8" s="19" t="s">
        <v>248</v>
      </c>
      <c r="C8" s="180">
        <f>+C9+C10+C11+C12+C13+C14</f>
        <v>220726</v>
      </c>
      <c r="D8" s="180">
        <f>+D9+D10+D11+D12+D13+D14</f>
        <v>222684</v>
      </c>
      <c r="E8" s="180">
        <f>+E9+E10+E11+E12+E13+E14</f>
        <v>238913095</v>
      </c>
      <c r="F8" s="180">
        <f>+F9+F10+F11+F12+F13+F14</f>
        <v>241120656</v>
      </c>
      <c r="G8" s="180">
        <f>+G9+G10+G11+G12+G13+G14</f>
        <v>242303330</v>
      </c>
    </row>
    <row r="9" spans="1:7" s="240" customFormat="1" ht="12" customHeight="1" x14ac:dyDescent="0.25">
      <c r="A9" s="13" t="s">
        <v>96</v>
      </c>
      <c r="B9" s="241" t="s">
        <v>249</v>
      </c>
      <c r="C9" s="183">
        <f>129684+352</f>
        <v>130036</v>
      </c>
      <c r="D9" s="183">
        <f>129684+352</f>
        <v>130036</v>
      </c>
      <c r="E9" s="183">
        <v>130036203</v>
      </c>
      <c r="F9" s="183">
        <v>130036203</v>
      </c>
      <c r="G9" s="183">
        <v>130036203</v>
      </c>
    </row>
    <row r="10" spans="1:7" s="240" customFormat="1" ht="12" customHeight="1" x14ac:dyDescent="0.25">
      <c r="A10" s="12" t="s">
        <v>97</v>
      </c>
      <c r="B10" s="242" t="s">
        <v>250</v>
      </c>
      <c r="C10" s="182">
        <v>51222</v>
      </c>
      <c r="D10" s="182">
        <v>51222</v>
      </c>
      <c r="E10" s="182">
        <f>51222140-914933</f>
        <v>50307207</v>
      </c>
      <c r="F10" s="182">
        <f>50307207+1243033</f>
        <v>51550240</v>
      </c>
      <c r="G10" s="182">
        <f>50307207+1243033</f>
        <v>51550240</v>
      </c>
    </row>
    <row r="11" spans="1:7" s="240" customFormat="1" ht="12" customHeight="1" x14ac:dyDescent="0.25">
      <c r="A11" s="12" t="s">
        <v>98</v>
      </c>
      <c r="B11" s="242" t="s">
        <v>251</v>
      </c>
      <c r="C11" s="182">
        <v>36662</v>
      </c>
      <c r="D11" s="182">
        <v>36662</v>
      </c>
      <c r="E11" s="182">
        <v>36662252</v>
      </c>
      <c r="F11" s="182">
        <f>36662252+64140+130560</f>
        <v>36856952</v>
      </c>
      <c r="G11" s="182">
        <f>36662252+64140+130560+942490</f>
        <v>37799442</v>
      </c>
    </row>
    <row r="12" spans="1:7" s="240" customFormat="1" ht="12" customHeight="1" x14ac:dyDescent="0.25">
      <c r="A12" s="12" t="s">
        <v>99</v>
      </c>
      <c r="B12" s="242" t="s">
        <v>252</v>
      </c>
      <c r="C12" s="182">
        <v>2806</v>
      </c>
      <c r="D12" s="182">
        <f>2806+690</f>
        <v>3496</v>
      </c>
      <c r="E12" s="182">
        <v>3495417</v>
      </c>
      <c r="F12" s="182">
        <v>3495417</v>
      </c>
      <c r="G12" s="182">
        <v>3495417</v>
      </c>
    </row>
    <row r="13" spans="1:7" s="240" customFormat="1" ht="12" customHeight="1" x14ac:dyDescent="0.25">
      <c r="A13" s="12" t="s">
        <v>144</v>
      </c>
      <c r="B13" s="176" t="s">
        <v>436</v>
      </c>
      <c r="C13" s="182"/>
      <c r="D13" s="182">
        <f>342+926</f>
        <v>1268</v>
      </c>
      <c r="E13" s="182">
        <f>1268057+15721200+342000+738759+342000</f>
        <v>18412016</v>
      </c>
      <c r="F13" s="182">
        <f>18412016+114000+655828</f>
        <v>19181844</v>
      </c>
      <c r="G13" s="182">
        <f>18412016+114000+655828+240184</f>
        <v>19422028</v>
      </c>
    </row>
    <row r="14" spans="1:7" s="240" customFormat="1" ht="12" customHeight="1" thickBot="1" x14ac:dyDescent="0.3">
      <c r="A14" s="14" t="s">
        <v>100</v>
      </c>
      <c r="B14" s="177" t="s">
        <v>437</v>
      </c>
      <c r="C14" s="182"/>
      <c r="D14" s="182"/>
      <c r="E14" s="182"/>
      <c r="F14" s="182"/>
      <c r="G14" s="182"/>
    </row>
    <row r="15" spans="1:7" s="240" customFormat="1" ht="12" customHeight="1" thickBot="1" x14ac:dyDescent="0.3">
      <c r="A15" s="18" t="s">
        <v>17</v>
      </c>
      <c r="B15" s="175" t="s">
        <v>253</v>
      </c>
      <c r="C15" s="180">
        <f>+C16+C17+C18+C19+C20</f>
        <v>46768</v>
      </c>
      <c r="D15" s="180">
        <f>+D16+D17+D18+D19+D20</f>
        <v>52468</v>
      </c>
      <c r="E15" s="180">
        <f>+E16+E17+E18+E19+E20</f>
        <v>52867639</v>
      </c>
      <c r="F15" s="180">
        <f>+F16+F17+F18+F19+F20</f>
        <v>56187083</v>
      </c>
      <c r="G15" s="180">
        <f>+G16+G17+G18+G19+G20</f>
        <v>60037083</v>
      </c>
    </row>
    <row r="16" spans="1:7" s="240" customFormat="1" ht="12" customHeight="1" x14ac:dyDescent="0.25">
      <c r="A16" s="13" t="s">
        <v>102</v>
      </c>
      <c r="B16" s="241" t="s">
        <v>254</v>
      </c>
      <c r="C16" s="183"/>
      <c r="D16" s="183"/>
      <c r="E16" s="183"/>
      <c r="F16" s="183"/>
      <c r="G16" s="183"/>
    </row>
    <row r="17" spans="1:7" s="240" customFormat="1" ht="12" customHeight="1" x14ac:dyDescent="0.25">
      <c r="A17" s="12" t="s">
        <v>103</v>
      </c>
      <c r="B17" s="242" t="s">
        <v>255</v>
      </c>
      <c r="C17" s="182"/>
      <c r="D17" s="182"/>
      <c r="E17" s="182"/>
      <c r="F17" s="182"/>
      <c r="G17" s="182"/>
    </row>
    <row r="18" spans="1:7" s="240" customFormat="1" ht="12" customHeight="1" x14ac:dyDescent="0.25">
      <c r="A18" s="12" t="s">
        <v>104</v>
      </c>
      <c r="B18" s="242" t="s">
        <v>426</v>
      </c>
      <c r="C18" s="182"/>
      <c r="D18" s="182"/>
      <c r="E18" s="182"/>
      <c r="F18" s="182"/>
      <c r="G18" s="182"/>
    </row>
    <row r="19" spans="1:7" s="240" customFormat="1" ht="12" customHeight="1" x14ac:dyDescent="0.25">
      <c r="A19" s="12" t="s">
        <v>105</v>
      </c>
      <c r="B19" s="242" t="s">
        <v>427</v>
      </c>
      <c r="C19" s="182"/>
      <c r="D19" s="182"/>
      <c r="E19" s="182"/>
      <c r="F19" s="182"/>
      <c r="G19" s="182"/>
    </row>
    <row r="20" spans="1:7" s="240" customFormat="1" ht="12" customHeight="1" x14ac:dyDescent="0.25">
      <c r="A20" s="12" t="s">
        <v>106</v>
      </c>
      <c r="B20" s="242" t="s">
        <v>256</v>
      </c>
      <c r="C20" s="182">
        <v>46768</v>
      </c>
      <c r="D20" s="182">
        <v>52468</v>
      </c>
      <c r="E20" s="182">
        <f>52468339+110200+289100</f>
        <v>52867639</v>
      </c>
      <c r="F20" s="182">
        <f>52867639+98600+482744+2812727-74627</f>
        <v>56187083</v>
      </c>
      <c r="G20" s="182">
        <f>52867639+98600+482744+2812727-74627+3850000</f>
        <v>60037083</v>
      </c>
    </row>
    <row r="21" spans="1:7" s="240" customFormat="1" ht="12" customHeight="1" thickBot="1" x14ac:dyDescent="0.3">
      <c r="A21" s="14" t="s">
        <v>115</v>
      </c>
      <c r="B21" s="177" t="s">
        <v>257</v>
      </c>
      <c r="C21" s="184"/>
      <c r="D21" s="184"/>
      <c r="E21" s="184"/>
      <c r="F21" s="184"/>
      <c r="G21" s="184"/>
    </row>
    <row r="22" spans="1:7" s="240" customFormat="1" ht="12" customHeight="1" thickBot="1" x14ac:dyDescent="0.3">
      <c r="A22" s="18" t="s">
        <v>18</v>
      </c>
      <c r="B22" s="19" t="s">
        <v>258</v>
      </c>
      <c r="C22" s="180">
        <f>+C23+C24+C25+C26+C27</f>
        <v>0</v>
      </c>
      <c r="D22" s="180">
        <f>+D23+D24+D25+D26+D27</f>
        <v>0</v>
      </c>
      <c r="E22" s="180">
        <f>+E23+E24+E25+E26+E27</f>
        <v>0</v>
      </c>
      <c r="F22" s="180">
        <f>+F23+F24+F25+F26+F27</f>
        <v>0</v>
      </c>
      <c r="G22" s="180">
        <f>+G23+G24+G25+G26+G27</f>
        <v>46961784</v>
      </c>
    </row>
    <row r="23" spans="1:7" s="240" customFormat="1" ht="12" customHeight="1" x14ac:dyDescent="0.25">
      <c r="A23" s="13" t="s">
        <v>85</v>
      </c>
      <c r="B23" s="241" t="s">
        <v>259</v>
      </c>
      <c r="C23" s="183"/>
      <c r="D23" s="183"/>
      <c r="E23" s="183"/>
      <c r="F23" s="183"/>
      <c r="G23" s="183">
        <v>43811784</v>
      </c>
    </row>
    <row r="24" spans="1:7" s="240" customFormat="1" ht="12" customHeight="1" x14ac:dyDescent="0.25">
      <c r="A24" s="12" t="s">
        <v>86</v>
      </c>
      <c r="B24" s="242" t="s">
        <v>260</v>
      </c>
      <c r="C24" s="182"/>
      <c r="D24" s="182"/>
      <c r="E24" s="182"/>
      <c r="F24" s="182"/>
      <c r="G24" s="182"/>
    </row>
    <row r="25" spans="1:7" s="240" customFormat="1" ht="12" customHeight="1" x14ac:dyDescent="0.25">
      <c r="A25" s="12" t="s">
        <v>87</v>
      </c>
      <c r="B25" s="242" t="s">
        <v>428</v>
      </c>
      <c r="C25" s="182"/>
      <c r="D25" s="182"/>
      <c r="E25" s="182"/>
      <c r="F25" s="182"/>
      <c r="G25" s="182"/>
    </row>
    <row r="26" spans="1:7" s="240" customFormat="1" ht="12" customHeight="1" x14ac:dyDescent="0.25">
      <c r="A26" s="12" t="s">
        <v>88</v>
      </c>
      <c r="B26" s="242" t="s">
        <v>429</v>
      </c>
      <c r="C26" s="182"/>
      <c r="D26" s="182"/>
      <c r="E26" s="182"/>
      <c r="F26" s="182"/>
      <c r="G26" s="182"/>
    </row>
    <row r="27" spans="1:7" s="240" customFormat="1" ht="12" customHeight="1" x14ac:dyDescent="0.25">
      <c r="A27" s="12" t="s">
        <v>165</v>
      </c>
      <c r="B27" s="242" t="s">
        <v>261</v>
      </c>
      <c r="C27" s="182"/>
      <c r="D27" s="182"/>
      <c r="E27" s="182"/>
      <c r="F27" s="182"/>
      <c r="G27" s="182">
        <v>3150000</v>
      </c>
    </row>
    <row r="28" spans="1:7" s="240" customFormat="1" ht="12" customHeight="1" thickBot="1" x14ac:dyDescent="0.3">
      <c r="A28" s="14" t="s">
        <v>166</v>
      </c>
      <c r="B28" s="243" t="s">
        <v>262</v>
      </c>
      <c r="C28" s="184"/>
      <c r="D28" s="184"/>
      <c r="E28" s="184"/>
      <c r="F28" s="184"/>
      <c r="G28" s="184"/>
    </row>
    <row r="29" spans="1:7" s="240" customFormat="1" ht="12" customHeight="1" thickBot="1" x14ac:dyDescent="0.3">
      <c r="A29" s="18" t="s">
        <v>167</v>
      </c>
      <c r="B29" s="19" t="s">
        <v>263</v>
      </c>
      <c r="C29" s="186">
        <f>+C30+C34+C35+C36</f>
        <v>120530</v>
      </c>
      <c r="D29" s="186">
        <f>+D30+D34+D35+D36</f>
        <v>120530</v>
      </c>
      <c r="E29" s="186">
        <f>+E30+E34+E35+E36</f>
        <v>120530000</v>
      </c>
      <c r="F29" s="186">
        <f>+F30+F34+F35+F36</f>
        <v>127965000</v>
      </c>
      <c r="G29" s="186">
        <f>+G30+G34+G35+G36</f>
        <v>133700000</v>
      </c>
    </row>
    <row r="30" spans="1:7" s="240" customFormat="1" ht="12" customHeight="1" x14ac:dyDescent="0.25">
      <c r="A30" s="13" t="s">
        <v>264</v>
      </c>
      <c r="B30" s="241" t="s">
        <v>443</v>
      </c>
      <c r="C30" s="237">
        <f>+C31+C32+C33</f>
        <v>86000</v>
      </c>
      <c r="D30" s="237">
        <f>+D31+D32+D33</f>
        <v>86000</v>
      </c>
      <c r="E30" s="237">
        <f>+E31+E32+E33</f>
        <v>86000000</v>
      </c>
      <c r="F30" s="237">
        <f>+F31+F32+F33</f>
        <v>90950000</v>
      </c>
      <c r="G30" s="237">
        <f>+G31+G32+G33</f>
        <v>95242000</v>
      </c>
    </row>
    <row r="31" spans="1:7" s="240" customFormat="1" ht="12" customHeight="1" x14ac:dyDescent="0.25">
      <c r="A31" s="12" t="s">
        <v>265</v>
      </c>
      <c r="B31" s="477" t="s">
        <v>676</v>
      </c>
      <c r="C31" s="182">
        <v>51000</v>
      </c>
      <c r="D31" s="182">
        <v>51000</v>
      </c>
      <c r="E31" s="182">
        <v>51000000</v>
      </c>
      <c r="F31" s="182">
        <f>51000000+4950000</f>
        <v>55950000</v>
      </c>
      <c r="G31" s="182">
        <f>51000000+4950000+480000</f>
        <v>56430000</v>
      </c>
    </row>
    <row r="32" spans="1:7" s="240" customFormat="1" ht="12" customHeight="1" x14ac:dyDescent="0.25">
      <c r="A32" s="12" t="s">
        <v>266</v>
      </c>
      <c r="B32" s="242" t="s">
        <v>271</v>
      </c>
      <c r="C32" s="182"/>
      <c r="D32" s="182"/>
      <c r="E32" s="182"/>
      <c r="F32" s="182"/>
      <c r="G32" s="182"/>
    </row>
    <row r="33" spans="1:7" s="240" customFormat="1" ht="12" customHeight="1" x14ac:dyDescent="0.25">
      <c r="A33" s="12" t="s">
        <v>441</v>
      </c>
      <c r="B33" s="271" t="s">
        <v>442</v>
      </c>
      <c r="C33" s="182">
        <v>35000</v>
      </c>
      <c r="D33" s="182">
        <v>35000</v>
      </c>
      <c r="E33" s="182">
        <v>35000000</v>
      </c>
      <c r="F33" s="182">
        <v>35000000</v>
      </c>
      <c r="G33" s="182">
        <f>35000000+3812000</f>
        <v>38812000</v>
      </c>
    </row>
    <row r="34" spans="1:7" s="240" customFormat="1" ht="12" customHeight="1" x14ac:dyDescent="0.25">
      <c r="A34" s="12" t="s">
        <v>267</v>
      </c>
      <c r="B34" s="242" t="s">
        <v>272</v>
      </c>
      <c r="C34" s="182">
        <v>7400</v>
      </c>
      <c r="D34" s="182">
        <v>7400</v>
      </c>
      <c r="E34" s="182">
        <v>7400000</v>
      </c>
      <c r="F34" s="182">
        <f>7400000+910000</f>
        <v>8310000</v>
      </c>
      <c r="G34" s="182">
        <f>7400000+910000+126000</f>
        <v>8436000</v>
      </c>
    </row>
    <row r="35" spans="1:7" s="240" customFormat="1" ht="12" customHeight="1" x14ac:dyDescent="0.25">
      <c r="A35" s="12" t="s">
        <v>268</v>
      </c>
      <c r="B35" s="242" t="s">
        <v>597</v>
      </c>
      <c r="C35" s="182">
        <v>27000</v>
      </c>
      <c r="D35" s="182">
        <v>27000</v>
      </c>
      <c r="E35" s="182">
        <v>27000000</v>
      </c>
      <c r="F35" s="182">
        <f>27000000+1460000</f>
        <v>28460000</v>
      </c>
      <c r="G35" s="182">
        <f>27000000+1460000+1317000</f>
        <v>29777000</v>
      </c>
    </row>
    <row r="36" spans="1:7" s="240" customFormat="1" ht="12" customHeight="1" thickBot="1" x14ac:dyDescent="0.3">
      <c r="A36" s="14" t="s">
        <v>269</v>
      </c>
      <c r="B36" s="243" t="s">
        <v>598</v>
      </c>
      <c r="C36" s="184">
        <v>130</v>
      </c>
      <c r="D36" s="184">
        <v>130</v>
      </c>
      <c r="E36" s="184">
        <v>130000</v>
      </c>
      <c r="F36" s="184">
        <f>130000+115000</f>
        <v>245000</v>
      </c>
      <c r="G36" s="184">
        <f>130000+115000</f>
        <v>245000</v>
      </c>
    </row>
    <row r="37" spans="1:7" s="240" customFormat="1" ht="12" customHeight="1" thickBot="1" x14ac:dyDescent="0.3">
      <c r="A37" s="18" t="s">
        <v>20</v>
      </c>
      <c r="B37" s="19" t="s">
        <v>438</v>
      </c>
      <c r="C37" s="180">
        <f>SUM(C38:C48)</f>
        <v>111028</v>
      </c>
      <c r="D37" s="180">
        <f>SUM(D38:D48)</f>
        <v>113346</v>
      </c>
      <c r="E37" s="180">
        <f>SUM(E38:E48)</f>
        <v>126212482</v>
      </c>
      <c r="F37" s="180">
        <f>SUM(F38:F48)</f>
        <v>136042002</v>
      </c>
      <c r="G37" s="180">
        <f>SUM(G38:G48)</f>
        <v>138206585</v>
      </c>
    </row>
    <row r="38" spans="1:7" s="240" customFormat="1" ht="12" customHeight="1" x14ac:dyDescent="0.25">
      <c r="A38" s="13" t="s">
        <v>89</v>
      </c>
      <c r="B38" s="241" t="s">
        <v>277</v>
      </c>
      <c r="C38" s="183"/>
      <c r="D38" s="183"/>
      <c r="E38" s="183"/>
      <c r="F38" s="183"/>
      <c r="G38" s="183">
        <v>72900</v>
      </c>
    </row>
    <row r="39" spans="1:7" s="240" customFormat="1" ht="12" customHeight="1" x14ac:dyDescent="0.25">
      <c r="A39" s="12" t="s">
        <v>90</v>
      </c>
      <c r="B39" s="242" t="s">
        <v>278</v>
      </c>
      <c r="C39" s="182">
        <v>76644</v>
      </c>
      <c r="D39" s="182">
        <f>76644</f>
        <v>76644</v>
      </c>
      <c r="E39" s="182">
        <f>76644340+10000000+130708</f>
        <v>86775048</v>
      </c>
      <c r="F39" s="182">
        <f>86775048+100000+360000+299528+6600000</f>
        <v>94134576</v>
      </c>
      <c r="G39" s="182">
        <f>86775048+100000+360000+299528+6600000+1197000</f>
        <v>95331576</v>
      </c>
    </row>
    <row r="40" spans="1:7" s="240" customFormat="1" ht="12" customHeight="1" x14ac:dyDescent="0.25">
      <c r="A40" s="12" t="s">
        <v>91</v>
      </c>
      <c r="B40" s="242" t="s">
        <v>279</v>
      </c>
      <c r="C40" s="182">
        <v>1200</v>
      </c>
      <c r="D40" s="182">
        <f>1200+1800</f>
        <v>3000</v>
      </c>
      <c r="E40" s="182">
        <v>3000000</v>
      </c>
      <c r="F40" s="182">
        <f>3000000+470000</f>
        <v>3470000</v>
      </c>
      <c r="G40" s="182">
        <f>3000000+470000+200000</f>
        <v>3670000</v>
      </c>
    </row>
    <row r="41" spans="1:7" s="240" customFormat="1" ht="12" customHeight="1" x14ac:dyDescent="0.25">
      <c r="A41" s="12" t="s">
        <v>169</v>
      </c>
      <c r="B41" s="242" t="s">
        <v>280</v>
      </c>
      <c r="C41" s="182"/>
      <c r="D41" s="182"/>
      <c r="E41" s="182"/>
      <c r="F41" s="182"/>
      <c r="G41" s="182"/>
    </row>
    <row r="42" spans="1:7" s="240" customFormat="1" ht="12" customHeight="1" x14ac:dyDescent="0.25">
      <c r="A42" s="12" t="s">
        <v>170</v>
      </c>
      <c r="B42" s="242" t="s">
        <v>281</v>
      </c>
      <c r="C42" s="182">
        <v>10000</v>
      </c>
      <c r="D42" s="182">
        <v>10000</v>
      </c>
      <c r="E42" s="182">
        <v>10000000</v>
      </c>
      <c r="F42" s="182">
        <v>10000000</v>
      </c>
      <c r="G42" s="182">
        <v>10000000</v>
      </c>
    </row>
    <row r="43" spans="1:7" s="240" customFormat="1" ht="12" customHeight="1" x14ac:dyDescent="0.25">
      <c r="A43" s="12" t="s">
        <v>171</v>
      </c>
      <c r="B43" s="242" t="s">
        <v>282</v>
      </c>
      <c r="C43" s="182">
        <v>23134</v>
      </c>
      <c r="D43" s="182">
        <f>23134+486</f>
        <v>23620</v>
      </c>
      <c r="E43" s="182">
        <f>23620502+2700000+35292-360</f>
        <v>26355434</v>
      </c>
      <c r="F43" s="182">
        <f>26355434+27000+97200+80872+1760000</f>
        <v>28320506</v>
      </c>
      <c r="G43" s="182">
        <f>26355434+27000+97200+80872+1760000+19683+675000</f>
        <v>29015189</v>
      </c>
    </row>
    <row r="44" spans="1:7" s="240" customFormat="1" ht="12" customHeight="1" x14ac:dyDescent="0.25">
      <c r="A44" s="12" t="s">
        <v>172</v>
      </c>
      <c r="B44" s="242" t="s">
        <v>283</v>
      </c>
      <c r="C44" s="182"/>
      <c r="D44" s="182"/>
      <c r="E44" s="182"/>
      <c r="F44" s="182"/>
      <c r="G44" s="182"/>
    </row>
    <row r="45" spans="1:7" s="240" customFormat="1" ht="12" customHeight="1" x14ac:dyDescent="0.25">
      <c r="A45" s="12" t="s">
        <v>173</v>
      </c>
      <c r="B45" s="242" t="s">
        <v>284</v>
      </c>
      <c r="C45" s="182">
        <v>50</v>
      </c>
      <c r="D45" s="182">
        <v>50</v>
      </c>
      <c r="E45" s="182">
        <v>50000</v>
      </c>
      <c r="F45" s="182">
        <v>50000</v>
      </c>
      <c r="G45" s="182">
        <v>50000</v>
      </c>
    </row>
    <row r="46" spans="1:7" s="240" customFormat="1" ht="12" customHeight="1" x14ac:dyDescent="0.25">
      <c r="A46" s="12" t="s">
        <v>275</v>
      </c>
      <c r="B46" s="242" t="s">
        <v>285</v>
      </c>
      <c r="C46" s="185"/>
      <c r="D46" s="185"/>
      <c r="E46" s="185"/>
      <c r="F46" s="185"/>
      <c r="G46" s="185"/>
    </row>
    <row r="47" spans="1:7" s="240" customFormat="1" ht="12" customHeight="1" x14ac:dyDescent="0.25">
      <c r="A47" s="14" t="s">
        <v>276</v>
      </c>
      <c r="B47" s="243" t="s">
        <v>440</v>
      </c>
      <c r="C47" s="229"/>
      <c r="D47" s="229"/>
      <c r="E47" s="229"/>
      <c r="F47" s="229"/>
      <c r="G47" s="229"/>
    </row>
    <row r="48" spans="1:7" s="240" customFormat="1" ht="12" customHeight="1" thickBot="1" x14ac:dyDescent="0.3">
      <c r="A48" s="14" t="s">
        <v>439</v>
      </c>
      <c r="B48" s="177" t="s">
        <v>286</v>
      </c>
      <c r="C48" s="229"/>
      <c r="D48" s="229">
        <v>32</v>
      </c>
      <c r="E48" s="229">
        <v>32000</v>
      </c>
      <c r="F48" s="229">
        <f>32000+34920</f>
        <v>66920</v>
      </c>
      <c r="G48" s="229">
        <f>32000+34920</f>
        <v>66920</v>
      </c>
    </row>
    <row r="49" spans="1:7" s="240" customFormat="1" ht="12" customHeight="1" thickBot="1" x14ac:dyDescent="0.3">
      <c r="A49" s="18" t="s">
        <v>21</v>
      </c>
      <c r="B49" s="19" t="s">
        <v>287</v>
      </c>
      <c r="C49" s="180">
        <f>SUM(C50:C54)</f>
        <v>336</v>
      </c>
      <c r="D49" s="180">
        <f>SUM(D50:D54)</f>
        <v>336</v>
      </c>
      <c r="E49" s="180">
        <f>SUM(E50:E54)</f>
        <v>336000</v>
      </c>
      <c r="F49" s="180">
        <f>SUM(F50:F54)</f>
        <v>336000</v>
      </c>
      <c r="G49" s="180">
        <f>SUM(G50:G54)</f>
        <v>336000</v>
      </c>
    </row>
    <row r="50" spans="1:7" s="240" customFormat="1" ht="12" customHeight="1" x14ac:dyDescent="0.25">
      <c r="A50" s="13" t="s">
        <v>92</v>
      </c>
      <c r="B50" s="241" t="s">
        <v>291</v>
      </c>
      <c r="C50" s="266"/>
      <c r="D50" s="266"/>
      <c r="E50" s="266"/>
      <c r="F50" s="266"/>
      <c r="G50" s="266"/>
    </row>
    <row r="51" spans="1:7" s="240" customFormat="1" ht="12" customHeight="1" x14ac:dyDescent="0.25">
      <c r="A51" s="12" t="s">
        <v>93</v>
      </c>
      <c r="B51" s="242" t="s">
        <v>292</v>
      </c>
      <c r="C51" s="185">
        <v>336</v>
      </c>
      <c r="D51" s="185">
        <v>336</v>
      </c>
      <c r="E51" s="185">
        <v>336000</v>
      </c>
      <c r="F51" s="185">
        <v>336000</v>
      </c>
      <c r="G51" s="185">
        <v>336000</v>
      </c>
    </row>
    <row r="52" spans="1:7" s="240" customFormat="1" ht="12" customHeight="1" x14ac:dyDescent="0.25">
      <c r="A52" s="12" t="s">
        <v>288</v>
      </c>
      <c r="B52" s="242" t="s">
        <v>293</v>
      </c>
      <c r="C52" s="185"/>
      <c r="D52" s="185"/>
      <c r="E52" s="185"/>
      <c r="F52" s="185"/>
      <c r="G52" s="185"/>
    </row>
    <row r="53" spans="1:7" s="240" customFormat="1" ht="12" customHeight="1" x14ac:dyDescent="0.25">
      <c r="A53" s="12" t="s">
        <v>289</v>
      </c>
      <c r="B53" s="242" t="s">
        <v>294</v>
      </c>
      <c r="C53" s="185"/>
      <c r="D53" s="185"/>
      <c r="E53" s="185"/>
      <c r="F53" s="185"/>
      <c r="G53" s="185"/>
    </row>
    <row r="54" spans="1:7" s="240" customFormat="1" ht="12" customHeight="1" thickBot="1" x14ac:dyDescent="0.3">
      <c r="A54" s="14" t="s">
        <v>290</v>
      </c>
      <c r="B54" s="177" t="s">
        <v>295</v>
      </c>
      <c r="C54" s="229"/>
      <c r="D54" s="229"/>
      <c r="E54" s="229"/>
      <c r="F54" s="229"/>
      <c r="G54" s="229"/>
    </row>
    <row r="55" spans="1:7" s="240" customFormat="1" ht="12" customHeight="1" thickBot="1" x14ac:dyDescent="0.3">
      <c r="A55" s="18" t="s">
        <v>174</v>
      </c>
      <c r="B55" s="19" t="s">
        <v>296</v>
      </c>
      <c r="C55" s="180">
        <f>SUM(C56:C58)</f>
        <v>0</v>
      </c>
      <c r="D55" s="180">
        <f>SUM(D56:D58)</f>
        <v>50</v>
      </c>
      <c r="E55" s="180">
        <f>SUM(E56:E58)</f>
        <v>150000</v>
      </c>
      <c r="F55" s="180">
        <f>SUM(F56:F58)</f>
        <v>150000</v>
      </c>
      <c r="G55" s="180">
        <f>SUM(G56:G58)</f>
        <v>150000</v>
      </c>
    </row>
    <row r="56" spans="1:7" s="240" customFormat="1" ht="12" customHeight="1" x14ac:dyDescent="0.25">
      <c r="A56" s="13" t="s">
        <v>94</v>
      </c>
      <c r="B56" s="241" t="s">
        <v>297</v>
      </c>
      <c r="C56" s="183"/>
      <c r="D56" s="183"/>
      <c r="E56" s="183"/>
      <c r="F56" s="183"/>
      <c r="G56" s="183"/>
    </row>
    <row r="57" spans="1:7" s="240" customFormat="1" ht="12" customHeight="1" x14ac:dyDescent="0.25">
      <c r="A57" s="12" t="s">
        <v>95</v>
      </c>
      <c r="B57" s="242" t="s">
        <v>430</v>
      </c>
      <c r="C57" s="182"/>
      <c r="D57" s="182"/>
      <c r="E57" s="182"/>
      <c r="F57" s="182"/>
      <c r="G57" s="182"/>
    </row>
    <row r="58" spans="1:7" s="240" customFormat="1" ht="12" customHeight="1" x14ac:dyDescent="0.25">
      <c r="A58" s="12" t="s">
        <v>300</v>
      </c>
      <c r="B58" s="242" t="s">
        <v>298</v>
      </c>
      <c r="C58" s="182"/>
      <c r="D58" s="182">
        <v>50</v>
      </c>
      <c r="E58" s="182">
        <f>50000+100000</f>
        <v>150000</v>
      </c>
      <c r="F58" s="182">
        <f>50000+100000</f>
        <v>150000</v>
      </c>
      <c r="G58" s="182">
        <f>50000+100000</f>
        <v>150000</v>
      </c>
    </row>
    <row r="59" spans="1:7" s="240" customFormat="1" ht="12" customHeight="1" thickBot="1" x14ac:dyDescent="0.3">
      <c r="A59" s="14" t="s">
        <v>301</v>
      </c>
      <c r="B59" s="177" t="s">
        <v>299</v>
      </c>
      <c r="C59" s="184"/>
      <c r="D59" s="184"/>
      <c r="E59" s="184"/>
      <c r="F59" s="184"/>
      <c r="G59" s="184"/>
    </row>
    <row r="60" spans="1:7" s="240" customFormat="1" ht="12" customHeight="1" thickBot="1" x14ac:dyDescent="0.3">
      <c r="A60" s="18" t="s">
        <v>23</v>
      </c>
      <c r="B60" s="175" t="s">
        <v>302</v>
      </c>
      <c r="C60" s="180">
        <f>SUM(C61:C63)</f>
        <v>4761</v>
      </c>
      <c r="D60" s="180">
        <f>SUM(D61:D63)</f>
        <v>4761</v>
      </c>
      <c r="E60" s="180">
        <f>SUM(E61:E63)</f>
        <v>4770000</v>
      </c>
      <c r="F60" s="180">
        <f>SUM(F61:F63)</f>
        <v>4810000</v>
      </c>
      <c r="G60" s="180">
        <f>SUM(G61:G63)</f>
        <v>4810000</v>
      </c>
    </row>
    <row r="61" spans="1:7" s="240" customFormat="1" ht="12" customHeight="1" x14ac:dyDescent="0.25">
      <c r="A61" s="13" t="s">
        <v>175</v>
      </c>
      <c r="B61" s="241" t="s">
        <v>304</v>
      </c>
      <c r="C61" s="185"/>
      <c r="D61" s="185"/>
      <c r="E61" s="185"/>
      <c r="F61" s="185"/>
      <c r="G61" s="185"/>
    </row>
    <row r="62" spans="1:7" s="240" customFormat="1" ht="12" customHeight="1" x14ac:dyDescent="0.25">
      <c r="A62" s="12" t="s">
        <v>176</v>
      </c>
      <c r="B62" s="242" t="s">
        <v>431</v>
      </c>
      <c r="C62" s="185">
        <v>61</v>
      </c>
      <c r="D62" s="185">
        <v>61</v>
      </c>
      <c r="E62" s="185">
        <f>60576+9424</f>
        <v>70000</v>
      </c>
      <c r="F62" s="185">
        <f>70000+40000</f>
        <v>110000</v>
      </c>
      <c r="G62" s="185">
        <f>70000+40000</f>
        <v>110000</v>
      </c>
    </row>
    <row r="63" spans="1:7" s="240" customFormat="1" ht="12" customHeight="1" x14ac:dyDescent="0.25">
      <c r="A63" s="12" t="s">
        <v>224</v>
      </c>
      <c r="B63" s="242" t="s">
        <v>305</v>
      </c>
      <c r="C63" s="185">
        <v>4700</v>
      </c>
      <c r="D63" s="185">
        <v>4700</v>
      </c>
      <c r="E63" s="185">
        <v>4700000</v>
      </c>
      <c r="F63" s="185">
        <v>4700000</v>
      </c>
      <c r="G63" s="185">
        <v>4700000</v>
      </c>
    </row>
    <row r="64" spans="1:7" s="240" customFormat="1" ht="12" customHeight="1" thickBot="1" x14ac:dyDescent="0.3">
      <c r="A64" s="14" t="s">
        <v>303</v>
      </c>
      <c r="B64" s="177" t="s">
        <v>306</v>
      </c>
      <c r="C64" s="185"/>
      <c r="D64" s="185"/>
      <c r="E64" s="185"/>
      <c r="F64" s="185"/>
      <c r="G64" s="185"/>
    </row>
    <row r="65" spans="1:7" s="240" customFormat="1" ht="12" customHeight="1" thickBot="1" x14ac:dyDescent="0.3">
      <c r="A65" s="278" t="s">
        <v>483</v>
      </c>
      <c r="B65" s="19" t="s">
        <v>307</v>
      </c>
      <c r="C65" s="186">
        <f>+C8+C15+C22+C29+C37+C49+C55+C60</f>
        <v>504149</v>
      </c>
      <c r="D65" s="186">
        <f>+D8+D15+D22+D29+D37+D49+D55+D60</f>
        <v>514175</v>
      </c>
      <c r="E65" s="186">
        <f>+E8+E15+E22+E29+E37+E49+E55+E60</f>
        <v>543779216</v>
      </c>
      <c r="F65" s="186">
        <f>+F8+F15+F22+F29+F37+F49+F55+F60</f>
        <v>566610741</v>
      </c>
      <c r="G65" s="186">
        <f>+G8+G15+G22+G29+G37+G49+G55+G60</f>
        <v>626504782</v>
      </c>
    </row>
    <row r="66" spans="1:7" s="240" customFormat="1" ht="12" customHeight="1" thickBot="1" x14ac:dyDescent="0.3">
      <c r="A66" s="268" t="s">
        <v>308</v>
      </c>
      <c r="B66" s="175" t="s">
        <v>309</v>
      </c>
      <c r="C66" s="180">
        <f>SUM(C67:C69)</f>
        <v>0</v>
      </c>
      <c r="D66" s="180">
        <f>SUM(D67:D69)</f>
        <v>0</v>
      </c>
      <c r="E66" s="180">
        <f>SUM(E67:E69)</f>
        <v>0</v>
      </c>
      <c r="F66" s="180">
        <f>SUM(F67:F69)</f>
        <v>0</v>
      </c>
      <c r="G66" s="180">
        <f>SUM(G67:G69)</f>
        <v>0</v>
      </c>
    </row>
    <row r="67" spans="1:7" s="240" customFormat="1" ht="12" customHeight="1" x14ac:dyDescent="0.25">
      <c r="A67" s="13" t="s">
        <v>340</v>
      </c>
      <c r="B67" s="241" t="s">
        <v>310</v>
      </c>
      <c r="C67" s="185"/>
      <c r="D67" s="185"/>
      <c r="E67" s="185"/>
      <c r="F67" s="185"/>
      <c r="G67" s="185"/>
    </row>
    <row r="68" spans="1:7" s="240" customFormat="1" ht="12" customHeight="1" x14ac:dyDescent="0.25">
      <c r="A68" s="12" t="s">
        <v>349</v>
      </c>
      <c r="B68" s="242" t="s">
        <v>311</v>
      </c>
      <c r="C68" s="185"/>
      <c r="D68" s="185"/>
      <c r="E68" s="185"/>
      <c r="F68" s="185"/>
      <c r="G68" s="185"/>
    </row>
    <row r="69" spans="1:7" s="240" customFormat="1" ht="12" customHeight="1" thickBot="1" x14ac:dyDescent="0.3">
      <c r="A69" s="14" t="s">
        <v>350</v>
      </c>
      <c r="B69" s="272" t="s">
        <v>468</v>
      </c>
      <c r="C69" s="185"/>
      <c r="D69" s="185"/>
      <c r="E69" s="185"/>
      <c r="F69" s="185"/>
      <c r="G69" s="185"/>
    </row>
    <row r="70" spans="1:7" s="240" customFormat="1" ht="12" customHeight="1" thickBot="1" x14ac:dyDescent="0.3">
      <c r="A70" s="268" t="s">
        <v>313</v>
      </c>
      <c r="B70" s="175" t="s">
        <v>314</v>
      </c>
      <c r="C70" s="180">
        <f>SUM(C71:C74)</f>
        <v>0</v>
      </c>
      <c r="D70" s="180">
        <f>SUM(D71:D74)</f>
        <v>0</v>
      </c>
      <c r="E70" s="180">
        <f>SUM(E71:E74)</f>
        <v>0</v>
      </c>
      <c r="F70" s="180">
        <f>SUM(F71:F74)</f>
        <v>0</v>
      </c>
      <c r="G70" s="180">
        <f>SUM(G71:G74)</f>
        <v>0</v>
      </c>
    </row>
    <row r="71" spans="1:7" s="240" customFormat="1" ht="12" customHeight="1" x14ac:dyDescent="0.25">
      <c r="A71" s="13" t="s">
        <v>145</v>
      </c>
      <c r="B71" s="241" t="s">
        <v>315</v>
      </c>
      <c r="C71" s="185"/>
      <c r="D71" s="185"/>
      <c r="E71" s="185"/>
      <c r="F71" s="185"/>
      <c r="G71" s="185"/>
    </row>
    <row r="72" spans="1:7" s="240" customFormat="1" ht="12" customHeight="1" x14ac:dyDescent="0.25">
      <c r="A72" s="12" t="s">
        <v>146</v>
      </c>
      <c r="B72" s="242" t="s">
        <v>316</v>
      </c>
      <c r="C72" s="185"/>
      <c r="D72" s="185"/>
      <c r="E72" s="185"/>
      <c r="F72" s="185"/>
      <c r="G72" s="185"/>
    </row>
    <row r="73" spans="1:7" s="240" customFormat="1" ht="12" customHeight="1" x14ac:dyDescent="0.25">
      <c r="A73" s="12" t="s">
        <v>341</v>
      </c>
      <c r="B73" s="242" t="s">
        <v>317</v>
      </c>
      <c r="C73" s="185"/>
      <c r="D73" s="185"/>
      <c r="E73" s="185"/>
      <c r="F73" s="185"/>
      <c r="G73" s="185"/>
    </row>
    <row r="74" spans="1:7" s="240" customFormat="1" ht="12" customHeight="1" thickBot="1" x14ac:dyDescent="0.3">
      <c r="A74" s="14" t="s">
        <v>342</v>
      </c>
      <c r="B74" s="177" t="s">
        <v>318</v>
      </c>
      <c r="C74" s="185"/>
      <c r="D74" s="185"/>
      <c r="E74" s="185"/>
      <c r="F74" s="185"/>
      <c r="G74" s="185"/>
    </row>
    <row r="75" spans="1:7" s="240" customFormat="1" ht="12" customHeight="1" thickBot="1" x14ac:dyDescent="0.3">
      <c r="A75" s="268" t="s">
        <v>319</v>
      </c>
      <c r="B75" s="175" t="s">
        <v>320</v>
      </c>
      <c r="C75" s="180">
        <f>SUM(C76:C77)</f>
        <v>159250</v>
      </c>
      <c r="D75" s="180">
        <f>SUM(D76:D77)</f>
        <v>172129</v>
      </c>
      <c r="E75" s="180">
        <f>SUM(E76:E77)</f>
        <v>172128534</v>
      </c>
      <c r="F75" s="180">
        <f>SUM(F76:F77)</f>
        <v>172128534</v>
      </c>
      <c r="G75" s="180">
        <f>SUM(G76:G77)</f>
        <v>172128534</v>
      </c>
    </row>
    <row r="76" spans="1:7" s="240" customFormat="1" ht="12" customHeight="1" x14ac:dyDescent="0.25">
      <c r="A76" s="13" t="s">
        <v>343</v>
      </c>
      <c r="B76" s="241" t="s">
        <v>321</v>
      </c>
      <c r="C76" s="185">
        <v>159250</v>
      </c>
      <c r="D76" s="185">
        <f>159250+12879</f>
        <v>172129</v>
      </c>
      <c r="E76" s="185">
        <v>172128534</v>
      </c>
      <c r="F76" s="185">
        <v>172128534</v>
      </c>
      <c r="G76" s="185">
        <v>172128534</v>
      </c>
    </row>
    <row r="77" spans="1:7" s="240" customFormat="1" ht="12" customHeight="1" thickBot="1" x14ac:dyDescent="0.3">
      <c r="A77" s="14" t="s">
        <v>344</v>
      </c>
      <c r="B77" s="177" t="s">
        <v>322</v>
      </c>
      <c r="C77" s="185"/>
      <c r="D77" s="185"/>
      <c r="E77" s="185"/>
      <c r="F77" s="185"/>
      <c r="G77" s="185"/>
    </row>
    <row r="78" spans="1:7" s="240" customFormat="1" ht="12" customHeight="1" thickBot="1" x14ac:dyDescent="0.3">
      <c r="A78" s="268" t="s">
        <v>323</v>
      </c>
      <c r="B78" s="175" t="s">
        <v>324</v>
      </c>
      <c r="C78" s="180">
        <f>SUM(C79:C81)</f>
        <v>0</v>
      </c>
      <c r="D78" s="180">
        <f>SUM(D79:D81)</f>
        <v>0</v>
      </c>
      <c r="E78" s="180">
        <f>SUM(E79:E81)</f>
        <v>0</v>
      </c>
      <c r="F78" s="180">
        <f>SUM(F79:F81)</f>
        <v>0</v>
      </c>
      <c r="G78" s="180">
        <f>SUM(G79:G81)</f>
        <v>7777206</v>
      </c>
    </row>
    <row r="79" spans="1:7" s="240" customFormat="1" ht="12" customHeight="1" x14ac:dyDescent="0.25">
      <c r="A79" s="13" t="s">
        <v>345</v>
      </c>
      <c r="B79" s="241" t="s">
        <v>325</v>
      </c>
      <c r="C79" s="185"/>
      <c r="D79" s="185"/>
      <c r="E79" s="185"/>
      <c r="F79" s="185"/>
      <c r="G79" s="185">
        <v>7777206</v>
      </c>
    </row>
    <row r="80" spans="1:7" s="240" customFormat="1" ht="12" customHeight="1" x14ac:dyDescent="0.25">
      <c r="A80" s="12" t="s">
        <v>346</v>
      </c>
      <c r="B80" s="242" t="s">
        <v>326</v>
      </c>
      <c r="C80" s="185"/>
      <c r="D80" s="185"/>
      <c r="E80" s="185"/>
      <c r="F80" s="185"/>
      <c r="G80" s="185"/>
    </row>
    <row r="81" spans="1:7" s="240" customFormat="1" ht="12" customHeight="1" thickBot="1" x14ac:dyDescent="0.3">
      <c r="A81" s="14" t="s">
        <v>347</v>
      </c>
      <c r="B81" s="177" t="s">
        <v>327</v>
      </c>
      <c r="C81" s="185"/>
      <c r="D81" s="185"/>
      <c r="E81" s="185"/>
      <c r="F81" s="185"/>
      <c r="G81" s="185"/>
    </row>
    <row r="82" spans="1:7" s="240" customFormat="1" ht="12" customHeight="1" thickBot="1" x14ac:dyDescent="0.3">
      <c r="A82" s="268" t="s">
        <v>328</v>
      </c>
      <c r="B82" s="175" t="s">
        <v>348</v>
      </c>
      <c r="C82" s="180">
        <f>SUM(C83:C86)</f>
        <v>0</v>
      </c>
      <c r="D82" s="180">
        <f>SUM(D83:D86)</f>
        <v>0</v>
      </c>
      <c r="E82" s="180">
        <f>SUM(E83:E86)</f>
        <v>0</v>
      </c>
      <c r="F82" s="180">
        <f>SUM(F83:F86)</f>
        <v>0</v>
      </c>
      <c r="G82" s="180">
        <f>SUM(G83:G86)</f>
        <v>0</v>
      </c>
    </row>
    <row r="83" spans="1:7" s="240" customFormat="1" ht="12" customHeight="1" x14ac:dyDescent="0.25">
      <c r="A83" s="245" t="s">
        <v>329</v>
      </c>
      <c r="B83" s="241" t="s">
        <v>330</v>
      </c>
      <c r="C83" s="185"/>
      <c r="D83" s="185"/>
      <c r="E83" s="185"/>
      <c r="F83" s="185"/>
      <c r="G83" s="185"/>
    </row>
    <row r="84" spans="1:7" s="240" customFormat="1" ht="12" customHeight="1" x14ac:dyDescent="0.25">
      <c r="A84" s="246" t="s">
        <v>331</v>
      </c>
      <c r="B84" s="242" t="s">
        <v>332</v>
      </c>
      <c r="C84" s="185"/>
      <c r="D84" s="185"/>
      <c r="E84" s="185"/>
      <c r="F84" s="185"/>
      <c r="G84" s="185"/>
    </row>
    <row r="85" spans="1:7" s="240" customFormat="1" ht="12" customHeight="1" x14ac:dyDescent="0.25">
      <c r="A85" s="246" t="s">
        <v>333</v>
      </c>
      <c r="B85" s="242" t="s">
        <v>334</v>
      </c>
      <c r="C85" s="185"/>
      <c r="D85" s="185"/>
      <c r="E85" s="185"/>
      <c r="F85" s="185"/>
      <c r="G85" s="185"/>
    </row>
    <row r="86" spans="1:7" s="240" customFormat="1" ht="12" customHeight="1" thickBot="1" x14ac:dyDescent="0.3">
      <c r="A86" s="247" t="s">
        <v>335</v>
      </c>
      <c r="B86" s="177" t="s">
        <v>336</v>
      </c>
      <c r="C86" s="185"/>
      <c r="D86" s="185"/>
      <c r="E86" s="185"/>
      <c r="F86" s="185"/>
      <c r="G86" s="185"/>
    </row>
    <row r="87" spans="1:7" s="240" customFormat="1" ht="12" customHeight="1" thickBot="1" x14ac:dyDescent="0.3">
      <c r="A87" s="268" t="s">
        <v>337</v>
      </c>
      <c r="B87" s="175" t="s">
        <v>482</v>
      </c>
      <c r="C87" s="267"/>
      <c r="D87" s="267"/>
      <c r="E87" s="267"/>
      <c r="F87" s="267"/>
      <c r="G87" s="267"/>
    </row>
    <row r="88" spans="1:7" s="240" customFormat="1" ht="13.5" customHeight="1" thickBot="1" x14ac:dyDescent="0.3">
      <c r="A88" s="268" t="s">
        <v>339</v>
      </c>
      <c r="B88" s="175" t="s">
        <v>338</v>
      </c>
      <c r="C88" s="267"/>
      <c r="D88" s="267"/>
      <c r="E88" s="267"/>
      <c r="F88" s="267"/>
      <c r="G88" s="267"/>
    </row>
    <row r="89" spans="1:7" s="240" customFormat="1" ht="15.75" customHeight="1" thickBot="1" x14ac:dyDescent="0.3">
      <c r="A89" s="268" t="s">
        <v>351</v>
      </c>
      <c r="B89" s="248" t="s">
        <v>485</v>
      </c>
      <c r="C89" s="186">
        <f>+C66+C70+C75+C78+C82+C88+C87</f>
        <v>159250</v>
      </c>
      <c r="D89" s="186">
        <f>+D66+D70+D75+D78+D82+D88+D87</f>
        <v>172129</v>
      </c>
      <c r="E89" s="186">
        <f>+E66+E70+E75+E78+E82+E88+E87</f>
        <v>172128534</v>
      </c>
      <c r="F89" s="186">
        <f>+F66+F70+F75+F78+F82+F88+F87</f>
        <v>172128534</v>
      </c>
      <c r="G89" s="186">
        <f>+G66+G70+G75+G78+G82+G88+G87</f>
        <v>179905740</v>
      </c>
    </row>
    <row r="90" spans="1:7" s="240" customFormat="1" ht="16.5" customHeight="1" thickBot="1" x14ac:dyDescent="0.3">
      <c r="A90" s="269" t="s">
        <v>484</v>
      </c>
      <c r="B90" s="249" t="s">
        <v>486</v>
      </c>
      <c r="C90" s="186">
        <f>+C65+C89</f>
        <v>663399</v>
      </c>
      <c r="D90" s="186">
        <f>+D65+D89</f>
        <v>686304</v>
      </c>
      <c r="E90" s="186">
        <f>+E65+E89</f>
        <v>715907750</v>
      </c>
      <c r="F90" s="186">
        <f>+F65+F89</f>
        <v>738739275</v>
      </c>
      <c r="G90" s="186">
        <f>+G65+G89</f>
        <v>806410522</v>
      </c>
    </row>
    <row r="91" spans="1:7" s="240" customFormat="1" ht="83.25" customHeight="1" x14ac:dyDescent="0.25">
      <c r="A91" s="3"/>
      <c r="B91" s="4"/>
      <c r="C91" s="187"/>
      <c r="D91" s="187"/>
      <c r="E91" s="187"/>
      <c r="F91" s="187"/>
      <c r="G91" s="187"/>
    </row>
    <row r="92" spans="1:7" s="214" customFormat="1" ht="16.5" customHeight="1" x14ac:dyDescent="0.3">
      <c r="A92" s="672" t="s">
        <v>44</v>
      </c>
      <c r="B92" s="672"/>
    </row>
    <row r="93" spans="1:7" s="417" customFormat="1" ht="16.5" customHeight="1" thickBot="1" x14ac:dyDescent="0.35">
      <c r="A93" s="676" t="s">
        <v>148</v>
      </c>
      <c r="B93" s="676"/>
      <c r="C93" s="68"/>
      <c r="D93" s="68"/>
      <c r="E93" s="68"/>
      <c r="F93" s="68"/>
      <c r="G93" s="68"/>
    </row>
    <row r="94" spans="1:7" s="214" customFormat="1" ht="38.1" customHeight="1" thickBot="1" x14ac:dyDescent="0.35">
      <c r="A94" s="21" t="s">
        <v>67</v>
      </c>
      <c r="B94" s="22" t="s">
        <v>45</v>
      </c>
      <c r="C94" s="30" t="s">
        <v>638</v>
      </c>
      <c r="D94" s="30" t="s">
        <v>681</v>
      </c>
      <c r="E94" s="30" t="s">
        <v>699</v>
      </c>
      <c r="F94" s="30" t="s">
        <v>710</v>
      </c>
      <c r="G94" s="30" t="s">
        <v>723</v>
      </c>
    </row>
    <row r="95" spans="1:7" s="239" customFormat="1" ht="12" customHeight="1" thickBot="1" x14ac:dyDescent="0.25">
      <c r="A95" s="25" t="s">
        <v>494</v>
      </c>
      <c r="B95" s="26" t="s">
        <v>495</v>
      </c>
      <c r="C95" s="27" t="s">
        <v>496</v>
      </c>
      <c r="D95" s="27" t="s">
        <v>496</v>
      </c>
      <c r="E95" s="27" t="s">
        <v>496</v>
      </c>
      <c r="F95" s="27" t="s">
        <v>496</v>
      </c>
      <c r="G95" s="27" t="s">
        <v>496</v>
      </c>
    </row>
    <row r="96" spans="1:7" s="214" customFormat="1" ht="12" customHeight="1" thickBot="1" x14ac:dyDescent="0.35">
      <c r="A96" s="20" t="s">
        <v>16</v>
      </c>
      <c r="B96" s="24" t="s">
        <v>444</v>
      </c>
      <c r="C96" s="179">
        <f>C97+C98+C99+C100+C101+C114</f>
        <v>415482</v>
      </c>
      <c r="D96" s="179">
        <f>D97+D98+D99+D100+D101+D114</f>
        <v>431203</v>
      </c>
      <c r="E96" s="179">
        <f>E97+E98+E99+E100+E101+E114</f>
        <v>454431843</v>
      </c>
      <c r="F96" s="179">
        <f>F97+F98+F99+F100+F101+F114</f>
        <v>473217868</v>
      </c>
      <c r="G96" s="179">
        <f>G97+G98+G99+G100+G101+G114</f>
        <v>496645620</v>
      </c>
    </row>
    <row r="97" spans="1:7" s="214" customFormat="1" ht="12" customHeight="1" x14ac:dyDescent="0.3">
      <c r="A97" s="15" t="s">
        <v>96</v>
      </c>
      <c r="B97" s="8" t="s">
        <v>46</v>
      </c>
      <c r="C97" s="181">
        <v>73044</v>
      </c>
      <c r="D97" s="181">
        <f>73044+4468+476+22-7-1</f>
        <v>78002</v>
      </c>
      <c r="E97" s="181">
        <f>78002488+384300+227638+40112+85275+640500+26000-3000+2198950-173700-26000</f>
        <v>81402563</v>
      </c>
      <c r="F97" s="181">
        <f>81402563+471000+70650+224350+200000</f>
        <v>82368563</v>
      </c>
      <c r="G97" s="181">
        <f>81402563+471000+70650+224350+200000+237795</f>
        <v>82606358</v>
      </c>
    </row>
    <row r="98" spans="1:7" s="214" customFormat="1" ht="12" customHeight="1" x14ac:dyDescent="0.3">
      <c r="A98" s="12" t="s">
        <v>97</v>
      </c>
      <c r="B98" s="6" t="s">
        <v>177</v>
      </c>
      <c r="C98" s="182">
        <v>23620</v>
      </c>
      <c r="D98" s="182">
        <f>23620+572+129-22</f>
        <v>24299</v>
      </c>
      <c r="E98" s="182">
        <f>24299233+103761+61462+10832+23025+172935+7020+20000+2002+593726-46895-7020</f>
        <v>25240081</v>
      </c>
      <c r="F98" s="182">
        <f>25240081+127170+19076+60575+102340</f>
        <v>25549242</v>
      </c>
      <c r="G98" s="182">
        <f>25240081+127170+19076+60575+102340+64205</f>
        <v>25613447</v>
      </c>
    </row>
    <row r="99" spans="1:7" s="214" customFormat="1" ht="12" customHeight="1" x14ac:dyDescent="0.3">
      <c r="A99" s="12" t="s">
        <v>98</v>
      </c>
      <c r="B99" s="6" t="s">
        <v>135</v>
      </c>
      <c r="C99" s="184">
        <f>175156+1436</f>
        <v>176592</v>
      </c>
      <c r="D99" s="184">
        <f>176592+281-1210-2+2286+179</f>
        <v>178126</v>
      </c>
      <c r="E99" s="184">
        <f>178126582-280889-1435608+2286000+718947+228600-80000-20000-1000</f>
        <v>179542632</v>
      </c>
      <c r="F99" s="184">
        <f>179542632+457200-302340+380400+150000+762000</f>
        <v>180989892</v>
      </c>
      <c r="G99" s="184">
        <f>179542632+457200-302340+380400+150000+762000+3548000</f>
        <v>184537892</v>
      </c>
    </row>
    <row r="100" spans="1:7" s="214" customFormat="1" ht="12" customHeight="1" x14ac:dyDescent="0.3">
      <c r="A100" s="12" t="s">
        <v>99</v>
      </c>
      <c r="B100" s="9" t="s">
        <v>178</v>
      </c>
      <c r="C100" s="184">
        <v>6014</v>
      </c>
      <c r="D100" s="184">
        <f>6014+7</f>
        <v>6021</v>
      </c>
      <c r="E100" s="184">
        <f>6021600+110200+1020+284480+2050000</f>
        <v>8467300</v>
      </c>
      <c r="F100" s="184">
        <f>8467300+98600+3307500+1055000</f>
        <v>12928400</v>
      </c>
      <c r="G100" s="184">
        <f>8467300+98600+3307500+1055000+1277500</f>
        <v>14205900</v>
      </c>
    </row>
    <row r="101" spans="1:7" s="214" customFormat="1" ht="12" customHeight="1" x14ac:dyDescent="0.3">
      <c r="A101" s="12" t="s">
        <v>110</v>
      </c>
      <c r="B101" s="17" t="s">
        <v>179</v>
      </c>
      <c r="C101" s="184">
        <f>C102+C103+C104+C105+C106+C107+C108+C109+C110+C111+C112+C113</f>
        <v>110372</v>
      </c>
      <c r="D101" s="184">
        <f>D102+D103+D104+D105+D106+D107+D108+D109+D110+D111+D112+D113</f>
        <v>109716</v>
      </c>
      <c r="E101" s="184">
        <f>E102+E103+E104+E105+E106+E107+E108+E109+E110+E111+E112+E113</f>
        <v>126984619</v>
      </c>
      <c r="F101" s="184">
        <f>F102+F103+F104+F105+F106+F107+F108+F109+F110+F111+F112+F113</f>
        <v>132687817</v>
      </c>
      <c r="G101" s="184">
        <f>G102+G103+G104+G105+G106+G107+G108+G109+G110+G111+G112+G113</f>
        <v>131787789</v>
      </c>
    </row>
    <row r="102" spans="1:7" s="214" customFormat="1" ht="12" customHeight="1" x14ac:dyDescent="0.3">
      <c r="A102" s="12" t="s">
        <v>100</v>
      </c>
      <c r="B102" s="6" t="s">
        <v>449</v>
      </c>
      <c r="C102" s="184"/>
      <c r="D102" s="184"/>
      <c r="E102" s="184"/>
      <c r="F102" s="184"/>
      <c r="G102" s="184"/>
    </row>
    <row r="103" spans="1:7" s="214" customFormat="1" ht="12" customHeight="1" x14ac:dyDescent="0.3">
      <c r="A103" s="12" t="s">
        <v>101</v>
      </c>
      <c r="B103" s="72" t="s">
        <v>448</v>
      </c>
      <c r="C103" s="184"/>
      <c r="D103" s="184"/>
      <c r="E103" s="184"/>
      <c r="F103" s="184"/>
      <c r="G103" s="184"/>
    </row>
    <row r="104" spans="1:7" s="214" customFormat="1" ht="12" customHeight="1" x14ac:dyDescent="0.3">
      <c r="A104" s="12" t="s">
        <v>111</v>
      </c>
      <c r="B104" s="72" t="s">
        <v>447</v>
      </c>
      <c r="C104" s="184"/>
      <c r="D104" s="184">
        <f>1316+2701</f>
        <v>4017</v>
      </c>
      <c r="E104" s="184">
        <f>4016843+280889</f>
        <v>4297732</v>
      </c>
      <c r="F104" s="184">
        <f>4297732+3198</f>
        <v>4300930</v>
      </c>
      <c r="G104" s="184">
        <f>4297732+3198</f>
        <v>4300930</v>
      </c>
    </row>
    <row r="105" spans="1:7" s="214" customFormat="1" ht="12" customHeight="1" x14ac:dyDescent="0.3">
      <c r="A105" s="12" t="s">
        <v>112</v>
      </c>
      <c r="B105" s="70" t="s">
        <v>354</v>
      </c>
      <c r="C105" s="184"/>
      <c r="D105" s="184"/>
      <c r="E105" s="184"/>
      <c r="F105" s="184"/>
      <c r="G105" s="184"/>
    </row>
    <row r="106" spans="1:7" s="214" customFormat="1" ht="12" customHeight="1" x14ac:dyDescent="0.3">
      <c r="A106" s="12" t="s">
        <v>113</v>
      </c>
      <c r="B106" s="71" t="s">
        <v>355</v>
      </c>
      <c r="C106" s="184"/>
      <c r="D106" s="184"/>
      <c r="E106" s="184"/>
      <c r="F106" s="184"/>
      <c r="G106" s="184"/>
    </row>
    <row r="107" spans="1:7" s="214" customFormat="1" ht="12" customHeight="1" x14ac:dyDescent="0.3">
      <c r="A107" s="12" t="s">
        <v>114</v>
      </c>
      <c r="B107" s="71" t="s">
        <v>356</v>
      </c>
      <c r="C107" s="184"/>
      <c r="D107" s="184"/>
      <c r="E107" s="184"/>
      <c r="F107" s="184"/>
      <c r="G107" s="184"/>
    </row>
    <row r="108" spans="1:7" s="214" customFormat="1" ht="12" customHeight="1" x14ac:dyDescent="0.3">
      <c r="A108" s="12" t="s">
        <v>116</v>
      </c>
      <c r="B108" s="70" t="s">
        <v>357</v>
      </c>
      <c r="C108" s="184">
        <v>78616</v>
      </c>
      <c r="D108" s="184">
        <f>78616+4487+314-3590+2+180</f>
        <v>80009</v>
      </c>
      <c r="E108" s="184">
        <f>80008831+152781+80000+254635-137+707187+72390</f>
        <v>81275687</v>
      </c>
      <c r="F108" s="184">
        <f>81275687+100000</f>
        <v>81375687</v>
      </c>
      <c r="G108" s="184">
        <f>81275687+100000-28</f>
        <v>81375659</v>
      </c>
    </row>
    <row r="109" spans="1:7" s="214" customFormat="1" ht="12" customHeight="1" x14ac:dyDescent="0.3">
      <c r="A109" s="12" t="s">
        <v>180</v>
      </c>
      <c r="B109" s="70" t="s">
        <v>358</v>
      </c>
      <c r="C109" s="184"/>
      <c r="D109" s="184"/>
      <c r="E109" s="184"/>
      <c r="F109" s="184"/>
      <c r="G109" s="184"/>
    </row>
    <row r="110" spans="1:7" s="214" customFormat="1" ht="12" customHeight="1" x14ac:dyDescent="0.3">
      <c r="A110" s="12" t="s">
        <v>352</v>
      </c>
      <c r="B110" s="71" t="s">
        <v>359</v>
      </c>
      <c r="C110" s="184"/>
      <c r="D110" s="184"/>
      <c r="E110" s="184"/>
      <c r="F110" s="184"/>
      <c r="G110" s="184"/>
    </row>
    <row r="111" spans="1:7" s="214" customFormat="1" ht="12" customHeight="1" x14ac:dyDescent="0.3">
      <c r="A111" s="11" t="s">
        <v>353</v>
      </c>
      <c r="B111" s="72" t="s">
        <v>360</v>
      </c>
      <c r="C111" s="184"/>
      <c r="D111" s="184"/>
      <c r="E111" s="184"/>
      <c r="F111" s="184"/>
      <c r="G111" s="184"/>
    </row>
    <row r="112" spans="1:7" s="214" customFormat="1" ht="12" customHeight="1" x14ac:dyDescent="0.3">
      <c r="A112" s="12" t="s">
        <v>445</v>
      </c>
      <c r="B112" s="72" t="s">
        <v>361</v>
      </c>
      <c r="C112" s="184"/>
      <c r="D112" s="184"/>
      <c r="E112" s="184"/>
      <c r="F112" s="184"/>
      <c r="G112" s="184"/>
    </row>
    <row r="113" spans="1:7" s="214" customFormat="1" ht="12" customHeight="1" x14ac:dyDescent="0.3">
      <c r="A113" s="14" t="s">
        <v>446</v>
      </c>
      <c r="B113" s="72" t="s">
        <v>362</v>
      </c>
      <c r="C113" s="184">
        <v>31756</v>
      </c>
      <c r="D113" s="184">
        <f>31756+15+10-5516-650+75</f>
        <v>25690</v>
      </c>
      <c r="E113" s="184">
        <f>25690000+15721200</f>
        <v>41411200</v>
      </c>
      <c r="F113" s="184">
        <f>41411200+5600000</f>
        <v>47011200</v>
      </c>
      <c r="G113" s="184">
        <f>41411200+5600000-900000</f>
        <v>46111200</v>
      </c>
    </row>
    <row r="114" spans="1:7" s="214" customFormat="1" ht="12" customHeight="1" x14ac:dyDescent="0.3">
      <c r="A114" s="12" t="s">
        <v>450</v>
      </c>
      <c r="B114" s="9" t="s">
        <v>47</v>
      </c>
      <c r="C114" s="182">
        <f>C115+C116</f>
        <v>25840</v>
      </c>
      <c r="D114" s="182">
        <f>D115+D116</f>
        <v>35039</v>
      </c>
      <c r="E114" s="182">
        <f>E115+E116</f>
        <v>32794648</v>
      </c>
      <c r="F114" s="182">
        <f>F115+F116</f>
        <v>38693954</v>
      </c>
      <c r="G114" s="182">
        <f>G115+G116</f>
        <v>57894234</v>
      </c>
    </row>
    <row r="115" spans="1:7" s="214" customFormat="1" ht="12" customHeight="1" x14ac:dyDescent="0.3">
      <c r="A115" s="12" t="s">
        <v>451</v>
      </c>
      <c r="B115" s="6" t="s">
        <v>453</v>
      </c>
      <c r="C115" s="182">
        <f>25488+352</f>
        <v>25840</v>
      </c>
      <c r="D115" s="182">
        <f>25840+12878+586-4487-314+3590+477-1316+690+342-2701-281+75-15-10+321-270-179-75+82+2-180-16</f>
        <v>35039</v>
      </c>
      <c r="E115" s="182">
        <f>36007609+9424-360+52+2134-707187-284480-2792676+2428907+220595-2050000-72390+33020</f>
        <v>32794648</v>
      </c>
      <c r="F115" s="182">
        <f>32794648+127000-100000-598170-89726-284925-3198+64140+482744+114000-5600000-495500-3307500-3150000+1373593+2812727-74627-1055000-400000+655828+16339920-150000-762000</f>
        <v>38693954</v>
      </c>
      <c r="G115" s="182">
        <f>32794648+127000-100000-598170-89726-284925-3198+64140+482744+114000-5600000-495500-3307500-3150000+1373593+2812727-74627-1055000-400000+655828+16339920-150000-762000+19200280</f>
        <v>57894234</v>
      </c>
    </row>
    <row r="116" spans="1:7" s="214" customFormat="1" ht="12" customHeight="1" thickBot="1" x14ac:dyDescent="0.35">
      <c r="A116" s="12" t="s">
        <v>452</v>
      </c>
      <c r="B116" s="478" t="s">
        <v>454</v>
      </c>
      <c r="C116" s="182"/>
      <c r="D116" s="182"/>
      <c r="E116" s="182"/>
      <c r="F116" s="182"/>
      <c r="G116" s="182"/>
    </row>
    <row r="117" spans="1:7" s="214" customFormat="1" ht="12" customHeight="1" thickBot="1" x14ac:dyDescent="0.35">
      <c r="A117" s="18" t="s">
        <v>17</v>
      </c>
      <c r="B117" s="23" t="s">
        <v>363</v>
      </c>
      <c r="C117" s="180">
        <f>+C118+C120+C122</f>
        <v>86914</v>
      </c>
      <c r="D117" s="180">
        <f>+D118+D120+D122</f>
        <v>94559</v>
      </c>
      <c r="E117" s="180">
        <f>+E118+E120+E122</f>
        <v>98808872</v>
      </c>
      <c r="F117" s="180">
        <f>+F118+F120+F122</f>
        <v>102854372</v>
      </c>
      <c r="G117" s="180">
        <f>+G118+G120+G122</f>
        <v>147146156</v>
      </c>
    </row>
    <row r="118" spans="1:7" s="214" customFormat="1" ht="13.5" customHeight="1" x14ac:dyDescent="0.3">
      <c r="A118" s="13" t="s">
        <v>102</v>
      </c>
      <c r="B118" s="6" t="s">
        <v>222</v>
      </c>
      <c r="C118" s="183">
        <f>64633+300+4700</f>
        <v>69633</v>
      </c>
      <c r="D118" s="183">
        <f>69633+1210+8522+270-1</f>
        <v>79634</v>
      </c>
      <c r="E118" s="183">
        <f>79634032+1435608+2814772+1</f>
        <v>83884413</v>
      </c>
      <c r="F118" s="183">
        <f>83884413+495500+3150000</f>
        <v>87529913</v>
      </c>
      <c r="G118" s="183">
        <f>83884413+495500+3150000+480000</f>
        <v>88009913</v>
      </c>
    </row>
    <row r="119" spans="1:7" s="214" customFormat="1" ht="12" customHeight="1" x14ac:dyDescent="0.3">
      <c r="A119" s="13" t="s">
        <v>103</v>
      </c>
      <c r="B119" s="10" t="s">
        <v>367</v>
      </c>
      <c r="C119" s="183"/>
      <c r="D119" s="183"/>
      <c r="E119" s="183"/>
      <c r="F119" s="183"/>
      <c r="G119" s="183"/>
    </row>
    <row r="120" spans="1:7" s="214" customFormat="1" ht="12" customHeight="1" x14ac:dyDescent="0.3">
      <c r="A120" s="13" t="s">
        <v>104</v>
      </c>
      <c r="B120" s="10" t="s">
        <v>181</v>
      </c>
      <c r="C120" s="182">
        <f>19881-5000</f>
        <v>14881</v>
      </c>
      <c r="D120" s="182">
        <f>19881-5000-8522</f>
        <v>6359</v>
      </c>
      <c r="E120" s="182">
        <v>6358626</v>
      </c>
      <c r="F120" s="182">
        <v>6358626</v>
      </c>
      <c r="G120" s="182">
        <f>6358626+43811784</f>
        <v>50170410</v>
      </c>
    </row>
    <row r="121" spans="1:7" s="214" customFormat="1" ht="12" customHeight="1" x14ac:dyDescent="0.3">
      <c r="A121" s="13" t="s">
        <v>105</v>
      </c>
      <c r="B121" s="10" t="s">
        <v>368</v>
      </c>
      <c r="C121" s="172"/>
      <c r="D121" s="172"/>
      <c r="E121" s="172"/>
      <c r="F121" s="172"/>
      <c r="G121" s="172"/>
    </row>
    <row r="122" spans="1:7" s="214" customFormat="1" ht="12" customHeight="1" x14ac:dyDescent="0.3">
      <c r="A122" s="13" t="s">
        <v>106</v>
      </c>
      <c r="B122" s="177" t="s">
        <v>225</v>
      </c>
      <c r="C122" s="172">
        <f>C123+C124+C125+C126+C127+C128+C129+C130</f>
        <v>2400</v>
      </c>
      <c r="D122" s="172">
        <f>D123+D124+D125+D126+D127+D128+D129+D130</f>
        <v>8566</v>
      </c>
      <c r="E122" s="172">
        <f>E123+E124+E125+E126+E127+E128+E129+E130</f>
        <v>8565833</v>
      </c>
      <c r="F122" s="172">
        <f>F123+F124+F125+F126+F127+F128+F129+F130</f>
        <v>8965833</v>
      </c>
      <c r="G122" s="172">
        <f>G123+G124+G125+G126+G127+G128+G129+G130</f>
        <v>8965833</v>
      </c>
    </row>
    <row r="123" spans="1:7" s="214" customFormat="1" ht="12" customHeight="1" x14ac:dyDescent="0.3">
      <c r="A123" s="13" t="s">
        <v>115</v>
      </c>
      <c r="B123" s="176" t="s">
        <v>432</v>
      </c>
      <c r="C123" s="172"/>
      <c r="D123" s="172"/>
      <c r="E123" s="172"/>
      <c r="F123" s="172"/>
      <c r="G123" s="172"/>
    </row>
    <row r="124" spans="1:7" s="214" customFormat="1" ht="12" customHeight="1" x14ac:dyDescent="0.3">
      <c r="A124" s="13" t="s">
        <v>117</v>
      </c>
      <c r="B124" s="238" t="s">
        <v>373</v>
      </c>
      <c r="C124" s="172"/>
      <c r="D124" s="172"/>
      <c r="E124" s="172"/>
      <c r="F124" s="172"/>
      <c r="G124" s="172"/>
    </row>
    <row r="125" spans="1:7" s="214" customFormat="1" ht="15.6" x14ac:dyDescent="0.3">
      <c r="A125" s="13" t="s">
        <v>182</v>
      </c>
      <c r="B125" s="71" t="s">
        <v>356</v>
      </c>
      <c r="C125" s="172"/>
      <c r="D125" s="172"/>
      <c r="E125" s="172"/>
      <c r="F125" s="172"/>
      <c r="G125" s="172"/>
    </row>
    <row r="126" spans="1:7" s="214" customFormat="1" ht="12" customHeight="1" x14ac:dyDescent="0.3">
      <c r="A126" s="13" t="s">
        <v>183</v>
      </c>
      <c r="B126" s="71" t="s">
        <v>372</v>
      </c>
      <c r="C126" s="172"/>
      <c r="D126" s="172"/>
      <c r="E126" s="172"/>
      <c r="F126" s="172"/>
      <c r="G126" s="172"/>
    </row>
    <row r="127" spans="1:7" s="214" customFormat="1" ht="12" customHeight="1" x14ac:dyDescent="0.3">
      <c r="A127" s="13" t="s">
        <v>184</v>
      </c>
      <c r="B127" s="71" t="s">
        <v>371</v>
      </c>
      <c r="C127" s="172"/>
      <c r="D127" s="172"/>
      <c r="E127" s="172"/>
      <c r="F127" s="172"/>
      <c r="G127" s="172"/>
    </row>
    <row r="128" spans="1:7" s="214" customFormat="1" ht="12" customHeight="1" x14ac:dyDescent="0.3">
      <c r="A128" s="13" t="s">
        <v>364</v>
      </c>
      <c r="B128" s="71" t="s">
        <v>359</v>
      </c>
      <c r="C128" s="172"/>
      <c r="D128" s="172"/>
      <c r="E128" s="172"/>
      <c r="F128" s="172"/>
      <c r="G128" s="172"/>
    </row>
    <row r="129" spans="1:7" s="214" customFormat="1" ht="12" customHeight="1" x14ac:dyDescent="0.3">
      <c r="A129" s="13" t="s">
        <v>365</v>
      </c>
      <c r="B129" s="71" t="s">
        <v>370</v>
      </c>
      <c r="C129" s="172">
        <v>400</v>
      </c>
      <c r="D129" s="172">
        <v>400</v>
      </c>
      <c r="E129" s="172">
        <v>400000</v>
      </c>
      <c r="F129" s="172">
        <f>400000+400000</f>
        <v>800000</v>
      </c>
      <c r="G129" s="172">
        <f>400000+400000</f>
        <v>800000</v>
      </c>
    </row>
    <row r="130" spans="1:7" s="214" customFormat="1" ht="16.2" thickBot="1" x14ac:dyDescent="0.35">
      <c r="A130" s="11" t="s">
        <v>366</v>
      </c>
      <c r="B130" s="71" t="s">
        <v>369</v>
      </c>
      <c r="C130" s="173">
        <v>2000</v>
      </c>
      <c r="D130" s="173">
        <f>2000+5516+650</f>
        <v>8166</v>
      </c>
      <c r="E130" s="173">
        <v>8165833</v>
      </c>
      <c r="F130" s="173">
        <v>8165833</v>
      </c>
      <c r="G130" s="173">
        <v>8165833</v>
      </c>
    </row>
    <row r="131" spans="1:7" s="214" customFormat="1" ht="12" customHeight="1" thickBot="1" x14ac:dyDescent="0.35">
      <c r="A131" s="18" t="s">
        <v>18</v>
      </c>
      <c r="B131" s="63" t="s">
        <v>455</v>
      </c>
      <c r="C131" s="180">
        <f>+C96+C117</f>
        <v>502396</v>
      </c>
      <c r="D131" s="180">
        <f>+D96+D117</f>
        <v>525762</v>
      </c>
      <c r="E131" s="180">
        <f>+E96+E117</f>
        <v>553240715</v>
      </c>
      <c r="F131" s="180">
        <f>+F96+F117</f>
        <v>576072240</v>
      </c>
      <c r="G131" s="180">
        <f>+G96+G117</f>
        <v>643791776</v>
      </c>
    </row>
    <row r="132" spans="1:7" s="214" customFormat="1" ht="12" customHeight="1" thickBot="1" x14ac:dyDescent="0.35">
      <c r="A132" s="18" t="s">
        <v>19</v>
      </c>
      <c r="B132" s="63" t="s">
        <v>456</v>
      </c>
      <c r="C132" s="180">
        <f>+C133+C134+C135</f>
        <v>0</v>
      </c>
      <c r="D132" s="180">
        <f>+D133+D134+D135</f>
        <v>0</v>
      </c>
      <c r="E132" s="180">
        <f>+E133+E134+E135</f>
        <v>0</v>
      </c>
      <c r="F132" s="180">
        <f>+F133+F134+F135</f>
        <v>0</v>
      </c>
      <c r="G132" s="180">
        <f>+G133+G134+G135</f>
        <v>0</v>
      </c>
    </row>
    <row r="133" spans="1:7" s="214" customFormat="1" ht="12" customHeight="1" x14ac:dyDescent="0.3">
      <c r="A133" s="13" t="s">
        <v>264</v>
      </c>
      <c r="B133" s="10" t="s">
        <v>463</v>
      </c>
      <c r="C133" s="172"/>
      <c r="D133" s="172"/>
      <c r="E133" s="172"/>
      <c r="F133" s="172"/>
      <c r="G133" s="172"/>
    </row>
    <row r="134" spans="1:7" s="214" customFormat="1" ht="12" customHeight="1" x14ac:dyDescent="0.3">
      <c r="A134" s="13" t="s">
        <v>267</v>
      </c>
      <c r="B134" s="10" t="s">
        <v>464</v>
      </c>
      <c r="C134" s="172"/>
      <c r="D134" s="172"/>
      <c r="E134" s="172"/>
      <c r="F134" s="172"/>
      <c r="G134" s="172"/>
    </row>
    <row r="135" spans="1:7" s="214" customFormat="1" ht="12" customHeight="1" thickBot="1" x14ac:dyDescent="0.35">
      <c r="A135" s="11" t="s">
        <v>268</v>
      </c>
      <c r="B135" s="10" t="s">
        <v>465</v>
      </c>
      <c r="C135" s="172"/>
      <c r="D135" s="172"/>
      <c r="E135" s="172"/>
      <c r="F135" s="172"/>
      <c r="G135" s="172"/>
    </row>
    <row r="136" spans="1:7" s="214" customFormat="1" ht="12" customHeight="1" thickBot="1" x14ac:dyDescent="0.35">
      <c r="A136" s="18" t="s">
        <v>20</v>
      </c>
      <c r="B136" s="63" t="s">
        <v>457</v>
      </c>
      <c r="C136" s="180">
        <f>SUM(C137:C142)</f>
        <v>0</v>
      </c>
      <c r="D136" s="180">
        <f>SUM(D137:D142)</f>
        <v>0</v>
      </c>
      <c r="E136" s="180">
        <f>SUM(E137:E142)</f>
        <v>0</v>
      </c>
      <c r="F136" s="180">
        <f>SUM(F137:F142)</f>
        <v>0</v>
      </c>
      <c r="G136" s="180">
        <f>SUM(G137:G142)</f>
        <v>0</v>
      </c>
    </row>
    <row r="137" spans="1:7" s="214" customFormat="1" ht="12" customHeight="1" x14ac:dyDescent="0.3">
      <c r="A137" s="13" t="s">
        <v>89</v>
      </c>
      <c r="B137" s="7" t="s">
        <v>466</v>
      </c>
      <c r="C137" s="172"/>
      <c r="D137" s="172"/>
      <c r="E137" s="172"/>
      <c r="F137" s="172"/>
      <c r="G137" s="172"/>
    </row>
    <row r="138" spans="1:7" s="214" customFormat="1" ht="12" customHeight="1" x14ac:dyDescent="0.3">
      <c r="A138" s="13" t="s">
        <v>90</v>
      </c>
      <c r="B138" s="7" t="s">
        <v>458</v>
      </c>
      <c r="C138" s="172"/>
      <c r="D138" s="172"/>
      <c r="E138" s="172"/>
      <c r="F138" s="172"/>
      <c r="G138" s="172"/>
    </row>
    <row r="139" spans="1:7" s="214" customFormat="1" ht="12" customHeight="1" x14ac:dyDescent="0.3">
      <c r="A139" s="13" t="s">
        <v>91</v>
      </c>
      <c r="B139" s="7" t="s">
        <v>459</v>
      </c>
      <c r="C139" s="172"/>
      <c r="D139" s="172"/>
      <c r="E139" s="172"/>
      <c r="F139" s="172"/>
      <c r="G139" s="172"/>
    </row>
    <row r="140" spans="1:7" s="214" customFormat="1" ht="12" customHeight="1" x14ac:dyDescent="0.3">
      <c r="A140" s="13" t="s">
        <v>169</v>
      </c>
      <c r="B140" s="7" t="s">
        <v>460</v>
      </c>
      <c r="C140" s="172"/>
      <c r="D140" s="172"/>
      <c r="E140" s="172"/>
      <c r="F140" s="172"/>
      <c r="G140" s="172"/>
    </row>
    <row r="141" spans="1:7" s="214" customFormat="1" ht="12" customHeight="1" x14ac:dyDescent="0.3">
      <c r="A141" s="13" t="s">
        <v>170</v>
      </c>
      <c r="B141" s="7" t="s">
        <v>461</v>
      </c>
      <c r="C141" s="172"/>
      <c r="D141" s="172"/>
      <c r="E141" s="172"/>
      <c r="F141" s="172"/>
      <c r="G141" s="172"/>
    </row>
    <row r="142" spans="1:7" s="214" customFormat="1" ht="12" customHeight="1" thickBot="1" x14ac:dyDescent="0.35">
      <c r="A142" s="11" t="s">
        <v>171</v>
      </c>
      <c r="B142" s="7" t="s">
        <v>462</v>
      </c>
      <c r="C142" s="172"/>
      <c r="D142" s="172"/>
      <c r="E142" s="172"/>
      <c r="F142" s="172"/>
      <c r="G142" s="172"/>
    </row>
    <row r="143" spans="1:7" s="214" customFormat="1" ht="12" customHeight="1" thickBot="1" x14ac:dyDescent="0.35">
      <c r="A143" s="18" t="s">
        <v>21</v>
      </c>
      <c r="B143" s="63" t="s">
        <v>470</v>
      </c>
      <c r="C143" s="186">
        <f>+C144+C145+C146+C147</f>
        <v>8111</v>
      </c>
      <c r="D143" s="186">
        <f>+D144+D145+D146+D147</f>
        <v>8111</v>
      </c>
      <c r="E143" s="186">
        <f>+E144+E145+E146+E147</f>
        <v>8111444</v>
      </c>
      <c r="F143" s="186">
        <f>+F144+F145+F146+F147</f>
        <v>8111444</v>
      </c>
      <c r="G143" s="186">
        <f>+G144+G145+G146+G147</f>
        <v>8111444</v>
      </c>
    </row>
    <row r="144" spans="1:7" s="214" customFormat="1" ht="12" customHeight="1" x14ac:dyDescent="0.3">
      <c r="A144" s="13" t="s">
        <v>92</v>
      </c>
      <c r="B144" s="7" t="s">
        <v>374</v>
      </c>
      <c r="C144" s="172"/>
      <c r="D144" s="172"/>
      <c r="E144" s="172"/>
      <c r="F144" s="172"/>
      <c r="G144" s="172"/>
    </row>
    <row r="145" spans="1:7" s="214" customFormat="1" ht="12" customHeight="1" x14ac:dyDescent="0.3">
      <c r="A145" s="13" t="s">
        <v>93</v>
      </c>
      <c r="B145" s="7" t="s">
        <v>375</v>
      </c>
      <c r="C145" s="172">
        <v>8111</v>
      </c>
      <c r="D145" s="172">
        <v>8111</v>
      </c>
      <c r="E145" s="172">
        <v>8111444</v>
      </c>
      <c r="F145" s="172">
        <v>8111444</v>
      </c>
      <c r="G145" s="172">
        <v>8111444</v>
      </c>
    </row>
    <row r="146" spans="1:7" s="214" customFormat="1" ht="12" customHeight="1" x14ac:dyDescent="0.3">
      <c r="A146" s="13" t="s">
        <v>288</v>
      </c>
      <c r="B146" s="7" t="s">
        <v>471</v>
      </c>
      <c r="C146" s="172"/>
      <c r="D146" s="172"/>
      <c r="E146" s="172"/>
      <c r="F146" s="172"/>
      <c r="G146" s="172"/>
    </row>
    <row r="147" spans="1:7" s="214" customFormat="1" ht="12" customHeight="1" thickBot="1" x14ac:dyDescent="0.35">
      <c r="A147" s="11" t="s">
        <v>289</v>
      </c>
      <c r="B147" s="5" t="s">
        <v>394</v>
      </c>
      <c r="C147" s="172"/>
      <c r="D147" s="172"/>
      <c r="E147" s="172"/>
      <c r="F147" s="172"/>
      <c r="G147" s="172"/>
    </row>
    <row r="148" spans="1:7" s="214" customFormat="1" ht="12" customHeight="1" thickBot="1" x14ac:dyDescent="0.35">
      <c r="A148" s="18" t="s">
        <v>22</v>
      </c>
      <c r="B148" s="63" t="s">
        <v>472</v>
      </c>
      <c r="C148" s="189">
        <f>SUM(C149:C153)</f>
        <v>0</v>
      </c>
      <c r="D148" s="189">
        <f>SUM(D149:D153)</f>
        <v>0</v>
      </c>
      <c r="E148" s="189">
        <f>SUM(E149:E153)</f>
        <v>0</v>
      </c>
      <c r="F148" s="189">
        <f>SUM(F149:F153)</f>
        <v>0</v>
      </c>
      <c r="G148" s="189">
        <f>SUM(G149:G153)</f>
        <v>0</v>
      </c>
    </row>
    <row r="149" spans="1:7" s="214" customFormat="1" ht="12" customHeight="1" x14ac:dyDescent="0.3">
      <c r="A149" s="13" t="s">
        <v>94</v>
      </c>
      <c r="B149" s="7" t="s">
        <v>467</v>
      </c>
      <c r="C149" s="172"/>
      <c r="D149" s="172"/>
      <c r="E149" s="172"/>
      <c r="F149" s="172"/>
      <c r="G149" s="172"/>
    </row>
    <row r="150" spans="1:7" s="214" customFormat="1" ht="12" customHeight="1" x14ac:dyDescent="0.3">
      <c r="A150" s="13" t="s">
        <v>95</v>
      </c>
      <c r="B150" s="7" t="s">
        <v>474</v>
      </c>
      <c r="C150" s="172"/>
      <c r="D150" s="172"/>
      <c r="E150" s="172"/>
      <c r="F150" s="172"/>
      <c r="G150" s="172"/>
    </row>
    <row r="151" spans="1:7" s="214" customFormat="1" ht="12" customHeight="1" x14ac:dyDescent="0.3">
      <c r="A151" s="13" t="s">
        <v>300</v>
      </c>
      <c r="B151" s="7" t="s">
        <v>469</v>
      </c>
      <c r="C151" s="172"/>
      <c r="D151" s="172"/>
      <c r="E151" s="172"/>
      <c r="F151" s="172"/>
      <c r="G151" s="172"/>
    </row>
    <row r="152" spans="1:7" s="214" customFormat="1" ht="12" customHeight="1" x14ac:dyDescent="0.3">
      <c r="A152" s="13" t="s">
        <v>301</v>
      </c>
      <c r="B152" s="7" t="s">
        <v>475</v>
      </c>
      <c r="C152" s="172"/>
      <c r="D152" s="172"/>
      <c r="E152" s="172"/>
      <c r="F152" s="172"/>
      <c r="G152" s="172"/>
    </row>
    <row r="153" spans="1:7" s="214" customFormat="1" ht="12" customHeight="1" thickBot="1" x14ac:dyDescent="0.35">
      <c r="A153" s="13" t="s">
        <v>473</v>
      </c>
      <c r="B153" s="7" t="s">
        <v>476</v>
      </c>
      <c r="C153" s="172"/>
      <c r="D153" s="172"/>
      <c r="E153" s="172"/>
      <c r="F153" s="172"/>
      <c r="G153" s="172"/>
    </row>
    <row r="154" spans="1:7" s="214" customFormat="1" ht="12" customHeight="1" thickBot="1" x14ac:dyDescent="0.35">
      <c r="A154" s="18" t="s">
        <v>23</v>
      </c>
      <c r="B154" s="63" t="s">
        <v>477</v>
      </c>
      <c r="C154" s="277"/>
      <c r="D154" s="277"/>
      <c r="E154" s="277"/>
      <c r="F154" s="277"/>
      <c r="G154" s="277"/>
    </row>
    <row r="155" spans="1:7" s="214" customFormat="1" ht="12" customHeight="1" thickBot="1" x14ac:dyDescent="0.35">
      <c r="A155" s="18" t="s">
        <v>24</v>
      </c>
      <c r="B155" s="63" t="s">
        <v>553</v>
      </c>
      <c r="C155" s="277">
        <v>152892</v>
      </c>
      <c r="D155" s="277">
        <f>152892-461</f>
        <v>152431</v>
      </c>
      <c r="E155" s="277">
        <f>152431000+8763+89154+14605+125673+4315355-52-2428907</f>
        <v>154555591</v>
      </c>
      <c r="F155" s="277">
        <f>154555591</f>
        <v>154555591</v>
      </c>
      <c r="G155" s="277">
        <f>154555591-48289</f>
        <v>154507302</v>
      </c>
    </row>
    <row r="156" spans="1:7" s="214" customFormat="1" ht="15" customHeight="1" thickBot="1" x14ac:dyDescent="0.35">
      <c r="A156" s="18" t="s">
        <v>25</v>
      </c>
      <c r="B156" s="63" t="s">
        <v>480</v>
      </c>
      <c r="C156" s="250">
        <f>+C132+C136+C143+C148+C154+C155</f>
        <v>161003</v>
      </c>
      <c r="D156" s="250">
        <f>+D132+D136+D143+D148+D154+D155</f>
        <v>160542</v>
      </c>
      <c r="E156" s="250">
        <f>+E132+E136+E143+E148+E154+E155</f>
        <v>162667035</v>
      </c>
      <c r="F156" s="250">
        <f>+F132+F136+F143+F148+F154+F155</f>
        <v>162667035</v>
      </c>
      <c r="G156" s="250">
        <f>+G132+G136+G143+G148+G154+G155</f>
        <v>162618746</v>
      </c>
    </row>
    <row r="157" spans="1:7" s="240" customFormat="1" ht="12.9" customHeight="1" thickBot="1" x14ac:dyDescent="0.3">
      <c r="A157" s="178" t="s">
        <v>26</v>
      </c>
      <c r="B157" s="213" t="s">
        <v>479</v>
      </c>
      <c r="C157" s="250">
        <f>+C131+C156</f>
        <v>663399</v>
      </c>
      <c r="D157" s="250">
        <f>+D131+D156</f>
        <v>686304</v>
      </c>
      <c r="E157" s="250">
        <f>+E131+E156</f>
        <v>715907750</v>
      </c>
      <c r="F157" s="250">
        <f>+F131+F156</f>
        <v>738739275</v>
      </c>
      <c r="G157" s="250">
        <f>+G131+G156</f>
        <v>806410522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indexed="20"/>
  </sheetPr>
  <dimension ref="A1:G157"/>
  <sheetViews>
    <sheetView zoomScaleNormal="100" zoomScaleSheetLayoutView="85" workbookViewId="0">
      <selection activeCell="C162" sqref="C162"/>
    </sheetView>
  </sheetViews>
  <sheetFormatPr defaultColWidth="9.33203125" defaultRowHeight="13.2" x14ac:dyDescent="0.25"/>
  <cols>
    <col min="1" max="1" width="17.109375" style="570" customWidth="1"/>
    <col min="2" max="2" width="63.77734375" style="542" customWidth="1"/>
    <col min="3" max="3" width="23.33203125" style="571" customWidth="1"/>
    <col min="4" max="4" width="22.33203125" style="571" customWidth="1"/>
    <col min="5" max="5" width="21.33203125" style="571" customWidth="1"/>
    <col min="6" max="6" width="21.6640625" style="571" customWidth="1"/>
    <col min="7" max="7" width="22" style="571" customWidth="1"/>
    <col min="8" max="16384" width="9.33203125" style="573"/>
  </cols>
  <sheetData>
    <row r="1" spans="1:7" s="2" customFormat="1" ht="16.5" customHeight="1" thickBot="1" x14ac:dyDescent="0.3">
      <c r="A1" s="142"/>
      <c r="B1" s="143"/>
      <c r="C1" s="297" t="s">
        <v>713</v>
      </c>
      <c r="D1" s="519"/>
      <c r="E1" s="519"/>
      <c r="F1" s="519"/>
      <c r="G1" s="519"/>
    </row>
    <row r="2" spans="1:7" s="53" customFormat="1" ht="21" customHeight="1" x14ac:dyDescent="0.25">
      <c r="A2" s="232" t="s">
        <v>59</v>
      </c>
      <c r="B2" s="200" t="s">
        <v>548</v>
      </c>
      <c r="C2" s="202" t="s">
        <v>51</v>
      </c>
      <c r="D2" s="202" t="s">
        <v>51</v>
      </c>
      <c r="E2" s="202" t="s">
        <v>51</v>
      </c>
      <c r="F2" s="202" t="s">
        <v>51</v>
      </c>
      <c r="G2" s="202" t="s">
        <v>51</v>
      </c>
    </row>
    <row r="3" spans="1:7" s="53" customFormat="1" ht="16.2" thickBot="1" x14ac:dyDescent="0.3">
      <c r="A3" s="144" t="s">
        <v>196</v>
      </c>
      <c r="B3" s="201" t="s">
        <v>433</v>
      </c>
      <c r="C3" s="279" t="s">
        <v>57</v>
      </c>
      <c r="D3" s="279" t="s">
        <v>57</v>
      </c>
      <c r="E3" s="279" t="s">
        <v>57</v>
      </c>
      <c r="F3" s="279" t="s">
        <v>57</v>
      </c>
      <c r="G3" s="279" t="s">
        <v>57</v>
      </c>
    </row>
    <row r="4" spans="1:7" s="54" customFormat="1" ht="15.9" customHeight="1" thickBot="1" x14ac:dyDescent="0.35">
      <c r="A4" s="145"/>
      <c r="B4" s="145"/>
      <c r="C4" s="146"/>
      <c r="D4" s="146"/>
      <c r="E4" s="146"/>
      <c r="F4" s="146"/>
      <c r="G4" s="146"/>
    </row>
    <row r="5" spans="1:7" ht="13.8" thickBot="1" x14ac:dyDescent="0.3">
      <c r="A5" s="233" t="s">
        <v>198</v>
      </c>
      <c r="B5" s="147" t="s">
        <v>53</v>
      </c>
      <c r="C5" s="203" t="s">
        <v>606</v>
      </c>
      <c r="D5" s="203" t="s">
        <v>606</v>
      </c>
      <c r="E5" s="203" t="s">
        <v>615</v>
      </c>
      <c r="F5" s="203" t="s">
        <v>615</v>
      </c>
      <c r="G5" s="203" t="s">
        <v>615</v>
      </c>
    </row>
    <row r="6" spans="1:7" s="214" customFormat="1" ht="38.1" customHeight="1" thickBot="1" x14ac:dyDescent="0.35">
      <c r="A6" s="21" t="s">
        <v>67</v>
      </c>
      <c r="B6" s="22" t="s">
        <v>15</v>
      </c>
      <c r="C6" s="30" t="s">
        <v>638</v>
      </c>
      <c r="D6" s="30" t="s">
        <v>681</v>
      </c>
      <c r="E6" s="30" t="s">
        <v>699</v>
      </c>
      <c r="F6" s="30" t="s">
        <v>710</v>
      </c>
      <c r="G6" s="30" t="s">
        <v>723</v>
      </c>
    </row>
    <row r="7" spans="1:7" s="239" customFormat="1" ht="12" customHeight="1" thickBot="1" x14ac:dyDescent="0.25">
      <c r="A7" s="234" t="s">
        <v>494</v>
      </c>
      <c r="B7" s="235" t="s">
        <v>495</v>
      </c>
      <c r="C7" s="236" t="s">
        <v>496</v>
      </c>
      <c r="D7" s="236" t="s">
        <v>496</v>
      </c>
      <c r="E7" s="236" t="s">
        <v>496</v>
      </c>
      <c r="F7" s="236" t="s">
        <v>496</v>
      </c>
      <c r="G7" s="236" t="s">
        <v>496</v>
      </c>
    </row>
    <row r="8" spans="1:7" s="240" customFormat="1" ht="12" customHeight="1" thickBot="1" x14ac:dyDescent="0.3">
      <c r="A8" s="18" t="s">
        <v>16</v>
      </c>
      <c r="B8" s="19" t="s">
        <v>248</v>
      </c>
      <c r="C8" s="180">
        <f>+C9+C10+C11+C12+C13+C14</f>
        <v>220726</v>
      </c>
      <c r="D8" s="180">
        <f>+D9+D10+D11+D12+D13+D14</f>
        <v>222684</v>
      </c>
      <c r="E8" s="180">
        <f>+E9+E10+E11+E12+E13+E14</f>
        <v>238913095</v>
      </c>
      <c r="F8" s="180">
        <f>+F9+F10+F11+F12+F13+F14</f>
        <v>241120656</v>
      </c>
      <c r="G8" s="180">
        <f>+G9+G10+G11+G12+G13+G14</f>
        <v>242303330</v>
      </c>
    </row>
    <row r="9" spans="1:7" s="240" customFormat="1" ht="12" customHeight="1" x14ac:dyDescent="0.25">
      <c r="A9" s="13" t="s">
        <v>96</v>
      </c>
      <c r="B9" s="241" t="s">
        <v>249</v>
      </c>
      <c r="C9" s="183">
        <f>129684+352</f>
        <v>130036</v>
      </c>
      <c r="D9" s="183">
        <f>129684+352</f>
        <v>130036</v>
      </c>
      <c r="E9" s="183">
        <v>130036203</v>
      </c>
      <c r="F9" s="183">
        <v>130036203</v>
      </c>
      <c r="G9" s="183">
        <v>130036203</v>
      </c>
    </row>
    <row r="10" spans="1:7" s="240" customFormat="1" ht="12" customHeight="1" x14ac:dyDescent="0.25">
      <c r="A10" s="12" t="s">
        <v>97</v>
      </c>
      <c r="B10" s="242" t="s">
        <v>250</v>
      </c>
      <c r="C10" s="182">
        <v>51222</v>
      </c>
      <c r="D10" s="182">
        <v>51222</v>
      </c>
      <c r="E10" s="182">
        <f>51222140-914933</f>
        <v>50307207</v>
      </c>
      <c r="F10" s="182">
        <f>50307207+1243033</f>
        <v>51550240</v>
      </c>
      <c r="G10" s="182">
        <f>50307207+1243033</f>
        <v>51550240</v>
      </c>
    </row>
    <row r="11" spans="1:7" s="240" customFormat="1" ht="12" customHeight="1" x14ac:dyDescent="0.25">
      <c r="A11" s="12" t="s">
        <v>98</v>
      </c>
      <c r="B11" s="242" t="s">
        <v>251</v>
      </c>
      <c r="C11" s="182">
        <v>36662</v>
      </c>
      <c r="D11" s="182">
        <v>36662</v>
      </c>
      <c r="E11" s="182">
        <v>36662252</v>
      </c>
      <c r="F11" s="182">
        <f>36662252+64140+130560</f>
        <v>36856952</v>
      </c>
      <c r="G11" s="182">
        <f>36662252+64140+130560+942490</f>
        <v>37799442</v>
      </c>
    </row>
    <row r="12" spans="1:7" s="240" customFormat="1" ht="12" customHeight="1" x14ac:dyDescent="0.25">
      <c r="A12" s="12" t="s">
        <v>99</v>
      </c>
      <c r="B12" s="242" t="s">
        <v>252</v>
      </c>
      <c r="C12" s="182">
        <v>2806</v>
      </c>
      <c r="D12" s="182">
        <f>2806+690</f>
        <v>3496</v>
      </c>
      <c r="E12" s="182">
        <v>3495417</v>
      </c>
      <c r="F12" s="182">
        <v>3495417</v>
      </c>
      <c r="G12" s="182">
        <v>3495417</v>
      </c>
    </row>
    <row r="13" spans="1:7" s="240" customFormat="1" ht="12" customHeight="1" x14ac:dyDescent="0.25">
      <c r="A13" s="12" t="s">
        <v>144</v>
      </c>
      <c r="B13" s="176" t="s">
        <v>436</v>
      </c>
      <c r="C13" s="182"/>
      <c r="D13" s="182">
        <f>342+926</f>
        <v>1268</v>
      </c>
      <c r="E13" s="182">
        <f>1268057+15721200+342000+738759+342000</f>
        <v>18412016</v>
      </c>
      <c r="F13" s="182">
        <f>18412016+114000+655828</f>
        <v>19181844</v>
      </c>
      <c r="G13" s="182">
        <f>18412016+114000+655828+240184</f>
        <v>19422028</v>
      </c>
    </row>
    <row r="14" spans="1:7" s="240" customFormat="1" ht="12" customHeight="1" thickBot="1" x14ac:dyDescent="0.3">
      <c r="A14" s="14" t="s">
        <v>100</v>
      </c>
      <c r="B14" s="177" t="s">
        <v>437</v>
      </c>
      <c r="C14" s="182"/>
      <c r="D14" s="182"/>
      <c r="E14" s="182"/>
      <c r="F14" s="182"/>
      <c r="G14" s="182"/>
    </row>
    <row r="15" spans="1:7" s="240" customFormat="1" ht="12" customHeight="1" thickBot="1" x14ac:dyDescent="0.3">
      <c r="A15" s="18" t="s">
        <v>17</v>
      </c>
      <c r="B15" s="175" t="s">
        <v>253</v>
      </c>
      <c r="C15" s="180">
        <f>+C16+C17+C18+C19+C20</f>
        <v>45522</v>
      </c>
      <c r="D15" s="180">
        <f>+D16+D17+D18+D19+D20</f>
        <v>51222</v>
      </c>
      <c r="E15" s="180">
        <f>+E16+E17+E18+E19+E20</f>
        <v>51621799</v>
      </c>
      <c r="F15" s="180">
        <f>+F16+F17+F18+F19+F20</f>
        <v>54458499</v>
      </c>
      <c r="G15" s="180">
        <f>+G16+G17+G18+G19+G20</f>
        <v>58308499</v>
      </c>
    </row>
    <row r="16" spans="1:7" s="240" customFormat="1" ht="12" customHeight="1" x14ac:dyDescent="0.25">
      <c r="A16" s="13" t="s">
        <v>102</v>
      </c>
      <c r="B16" s="241" t="s">
        <v>254</v>
      </c>
      <c r="C16" s="183"/>
      <c r="D16" s="183"/>
      <c r="E16" s="183"/>
      <c r="F16" s="183"/>
      <c r="G16" s="183"/>
    </row>
    <row r="17" spans="1:7" s="240" customFormat="1" ht="12" customHeight="1" x14ac:dyDescent="0.25">
      <c r="A17" s="12" t="s">
        <v>103</v>
      </c>
      <c r="B17" s="242" t="s">
        <v>255</v>
      </c>
      <c r="C17" s="182"/>
      <c r="D17" s="182"/>
      <c r="E17" s="182"/>
      <c r="F17" s="182"/>
      <c r="G17" s="182"/>
    </row>
    <row r="18" spans="1:7" s="240" customFormat="1" ht="12" customHeight="1" x14ac:dyDescent="0.25">
      <c r="A18" s="12" t="s">
        <v>104</v>
      </c>
      <c r="B18" s="242" t="s">
        <v>426</v>
      </c>
      <c r="C18" s="182"/>
      <c r="D18" s="182"/>
      <c r="E18" s="182"/>
      <c r="F18" s="182"/>
      <c r="G18" s="182"/>
    </row>
    <row r="19" spans="1:7" s="240" customFormat="1" ht="12" customHeight="1" x14ac:dyDescent="0.25">
      <c r="A19" s="12" t="s">
        <v>105</v>
      </c>
      <c r="B19" s="242" t="s">
        <v>427</v>
      </c>
      <c r="C19" s="182"/>
      <c r="D19" s="182"/>
      <c r="E19" s="182"/>
      <c r="F19" s="182"/>
      <c r="G19" s="182"/>
    </row>
    <row r="20" spans="1:7" s="240" customFormat="1" ht="12" customHeight="1" x14ac:dyDescent="0.25">
      <c r="A20" s="12" t="s">
        <v>106</v>
      </c>
      <c r="B20" s="242" t="s">
        <v>256</v>
      </c>
      <c r="C20" s="182">
        <v>45522</v>
      </c>
      <c r="D20" s="182">
        <f>45522+586+75+5040-1</f>
        <v>51222</v>
      </c>
      <c r="E20" s="182">
        <f>51222499+110200+289100</f>
        <v>51621799</v>
      </c>
      <c r="F20" s="182">
        <f>51621799+98600+2812727-74627</f>
        <v>54458499</v>
      </c>
      <c r="G20" s="182">
        <f>51621799+98600+2812727-74627+3850000</f>
        <v>58308499</v>
      </c>
    </row>
    <row r="21" spans="1:7" s="240" customFormat="1" ht="12" customHeight="1" thickBot="1" x14ac:dyDescent="0.3">
      <c r="A21" s="14" t="s">
        <v>115</v>
      </c>
      <c r="B21" s="177" t="s">
        <v>257</v>
      </c>
      <c r="C21" s="184"/>
      <c r="D21" s="184"/>
      <c r="E21" s="184"/>
      <c r="F21" s="184"/>
      <c r="G21" s="184"/>
    </row>
    <row r="22" spans="1:7" s="240" customFormat="1" ht="12" customHeight="1" thickBot="1" x14ac:dyDescent="0.3">
      <c r="A22" s="18" t="s">
        <v>18</v>
      </c>
      <c r="B22" s="19" t="s">
        <v>258</v>
      </c>
      <c r="C22" s="180">
        <f>+C23+C24+C25+C26+C27</f>
        <v>0</v>
      </c>
      <c r="D22" s="180">
        <f>+D23+D24+D25+D26+D27</f>
        <v>0</v>
      </c>
      <c r="E22" s="180">
        <f>+E23+E24+E25+E26+E27</f>
        <v>0</v>
      </c>
      <c r="F22" s="180">
        <f>+F23+F24+F25+F26+F27</f>
        <v>0</v>
      </c>
      <c r="G22" s="180">
        <f>+G23+G24+G25+G26+G27</f>
        <v>46961784</v>
      </c>
    </row>
    <row r="23" spans="1:7" s="240" customFormat="1" ht="12" customHeight="1" x14ac:dyDescent="0.25">
      <c r="A23" s="13" t="s">
        <v>85</v>
      </c>
      <c r="B23" s="241" t="s">
        <v>259</v>
      </c>
      <c r="C23" s="183"/>
      <c r="D23" s="183"/>
      <c r="E23" s="183"/>
      <c r="F23" s="183"/>
      <c r="G23" s="183">
        <v>43811784</v>
      </c>
    </row>
    <row r="24" spans="1:7" s="240" customFormat="1" ht="12" customHeight="1" x14ac:dyDescent="0.25">
      <c r="A24" s="12" t="s">
        <v>86</v>
      </c>
      <c r="B24" s="242" t="s">
        <v>260</v>
      </c>
      <c r="C24" s="182"/>
      <c r="D24" s="182"/>
      <c r="E24" s="182"/>
      <c r="F24" s="182"/>
      <c r="G24" s="182"/>
    </row>
    <row r="25" spans="1:7" s="240" customFormat="1" ht="12" customHeight="1" x14ac:dyDescent="0.25">
      <c r="A25" s="12" t="s">
        <v>87</v>
      </c>
      <c r="B25" s="242" t="s">
        <v>428</v>
      </c>
      <c r="C25" s="182"/>
      <c r="D25" s="182"/>
      <c r="E25" s="182"/>
      <c r="F25" s="182"/>
      <c r="G25" s="182"/>
    </row>
    <row r="26" spans="1:7" s="240" customFormat="1" ht="12" customHeight="1" x14ac:dyDescent="0.25">
      <c r="A26" s="12" t="s">
        <v>88</v>
      </c>
      <c r="B26" s="242" t="s">
        <v>429</v>
      </c>
      <c r="C26" s="182"/>
      <c r="D26" s="182"/>
      <c r="E26" s="182"/>
      <c r="F26" s="182"/>
      <c r="G26" s="182"/>
    </row>
    <row r="27" spans="1:7" s="240" customFormat="1" ht="12" customHeight="1" x14ac:dyDescent="0.25">
      <c r="A27" s="12" t="s">
        <v>165</v>
      </c>
      <c r="B27" s="242" t="s">
        <v>261</v>
      </c>
      <c r="C27" s="182"/>
      <c r="D27" s="182"/>
      <c r="E27" s="182"/>
      <c r="F27" s="182"/>
      <c r="G27" s="182">
        <v>3150000</v>
      </c>
    </row>
    <row r="28" spans="1:7" s="240" customFormat="1" ht="12" customHeight="1" thickBot="1" x14ac:dyDescent="0.3">
      <c r="A28" s="14" t="s">
        <v>166</v>
      </c>
      <c r="B28" s="243" t="s">
        <v>262</v>
      </c>
      <c r="C28" s="184"/>
      <c r="D28" s="184"/>
      <c r="E28" s="184"/>
      <c r="F28" s="184"/>
      <c r="G28" s="184"/>
    </row>
    <row r="29" spans="1:7" s="240" customFormat="1" ht="12" customHeight="1" thickBot="1" x14ac:dyDescent="0.3">
      <c r="A29" s="18" t="s">
        <v>167</v>
      </c>
      <c r="B29" s="19" t="s">
        <v>263</v>
      </c>
      <c r="C29" s="186">
        <f>+C30+C34+C35+C36</f>
        <v>32674</v>
      </c>
      <c r="D29" s="186">
        <f>+D30+D34+D35+D36</f>
        <v>23458</v>
      </c>
      <c r="E29" s="186">
        <f>+E30+E34+E35+E36</f>
        <v>34487184</v>
      </c>
      <c r="F29" s="186">
        <f>+F30+F34+F35+F36</f>
        <v>38332542</v>
      </c>
      <c r="G29" s="186">
        <f>+G30+G34+G35+G36</f>
        <v>27031845</v>
      </c>
    </row>
    <row r="30" spans="1:7" s="240" customFormat="1" ht="12" customHeight="1" x14ac:dyDescent="0.25">
      <c r="A30" s="13" t="s">
        <v>264</v>
      </c>
      <c r="B30" s="241" t="s">
        <v>443</v>
      </c>
      <c r="C30" s="237">
        <f>+C31+C32+C33</f>
        <v>3144</v>
      </c>
      <c r="D30" s="237">
        <f>+D31+D32+D33</f>
        <v>3144</v>
      </c>
      <c r="E30" s="237">
        <f>+E31+E32+E33</f>
        <v>26957184</v>
      </c>
      <c r="F30" s="237">
        <f>+F31+F32+F33</f>
        <v>30802542</v>
      </c>
      <c r="G30" s="237">
        <f>+G31+G32+G33</f>
        <v>19501845</v>
      </c>
    </row>
    <row r="31" spans="1:7" s="240" customFormat="1" ht="12" customHeight="1" x14ac:dyDescent="0.25">
      <c r="A31" s="12" t="s">
        <v>265</v>
      </c>
      <c r="B31" s="242" t="s">
        <v>270</v>
      </c>
      <c r="C31" s="182">
        <f>51000-47504-352</f>
        <v>3144</v>
      </c>
      <c r="D31" s="182">
        <f>51000-47504-352</f>
        <v>3144</v>
      </c>
      <c r="E31" s="182">
        <f>51000000+35000000-60445725+717759+707187+284480-2428907+2050000+72390</f>
        <v>26957184</v>
      </c>
      <c r="F31" s="182">
        <f>26957184+100000+598170+89726+284925+3198-64140-114000+495500+3307500+3150000-1373593-2812727+74627-655828+762000</f>
        <v>30802542</v>
      </c>
      <c r="G31" s="182">
        <f>26957184+100000+598170+89726+284925+3198-64140-114000+495500+3307500+3150000-1373593-2812727+74627-655828+762000+7899583-19200280</f>
        <v>19501845</v>
      </c>
    </row>
    <row r="32" spans="1:7" s="240" customFormat="1" ht="12" customHeight="1" x14ac:dyDescent="0.25">
      <c r="A32" s="12" t="s">
        <v>266</v>
      </c>
      <c r="B32" s="242" t="s">
        <v>271</v>
      </c>
      <c r="C32" s="182"/>
      <c r="D32" s="182"/>
      <c r="E32" s="182"/>
      <c r="F32" s="182"/>
      <c r="G32" s="182"/>
    </row>
    <row r="33" spans="1:7" s="240" customFormat="1" ht="12" customHeight="1" x14ac:dyDescent="0.25">
      <c r="A33" s="12" t="s">
        <v>441</v>
      </c>
      <c r="B33" s="271" t="s">
        <v>442</v>
      </c>
      <c r="C33" s="182">
        <f>35000-35000</f>
        <v>0</v>
      </c>
      <c r="D33" s="182">
        <f>35000-35000</f>
        <v>0</v>
      </c>
      <c r="E33" s="182">
        <f>35000-35000</f>
        <v>0</v>
      </c>
      <c r="F33" s="182">
        <f>35000-35000</f>
        <v>0</v>
      </c>
      <c r="G33" s="182">
        <f>35000-35000</f>
        <v>0</v>
      </c>
    </row>
    <row r="34" spans="1:7" s="240" customFormat="1" ht="12" customHeight="1" x14ac:dyDescent="0.25">
      <c r="A34" s="12" t="s">
        <v>267</v>
      </c>
      <c r="B34" s="242" t="s">
        <v>272</v>
      </c>
      <c r="C34" s="182">
        <v>7400</v>
      </c>
      <c r="D34" s="182">
        <v>7400</v>
      </c>
      <c r="E34" s="182">
        <v>7400000</v>
      </c>
      <c r="F34" s="182">
        <v>7400000</v>
      </c>
      <c r="G34" s="182">
        <v>7400000</v>
      </c>
    </row>
    <row r="35" spans="1:7" s="240" customFormat="1" ht="12" customHeight="1" x14ac:dyDescent="0.25">
      <c r="A35" s="12" t="s">
        <v>268</v>
      </c>
      <c r="B35" s="242" t="s">
        <v>597</v>
      </c>
      <c r="C35" s="182">
        <f>27000-5000</f>
        <v>22000</v>
      </c>
      <c r="D35" s="182">
        <f>27000-9411-5001+180+16</f>
        <v>12784</v>
      </c>
      <c r="E35" s="182"/>
      <c r="F35" s="182"/>
      <c r="G35" s="182"/>
    </row>
    <row r="36" spans="1:7" s="240" customFormat="1" ht="12" customHeight="1" thickBot="1" x14ac:dyDescent="0.3">
      <c r="A36" s="14" t="s">
        <v>269</v>
      </c>
      <c r="B36" s="243" t="s">
        <v>274</v>
      </c>
      <c r="C36" s="184">
        <v>130</v>
      </c>
      <c r="D36" s="184">
        <v>130</v>
      </c>
      <c r="E36" s="184">
        <v>130000</v>
      </c>
      <c r="F36" s="184">
        <v>130000</v>
      </c>
      <c r="G36" s="184">
        <v>130000</v>
      </c>
    </row>
    <row r="37" spans="1:7" s="240" customFormat="1" ht="12" customHeight="1" thickBot="1" x14ac:dyDescent="0.3">
      <c r="A37" s="18" t="s">
        <v>20</v>
      </c>
      <c r="B37" s="19" t="s">
        <v>438</v>
      </c>
      <c r="C37" s="180">
        <f>SUM(C38:C48)</f>
        <v>12700</v>
      </c>
      <c r="D37" s="180">
        <f>SUM(D38:D48)</f>
        <v>12700</v>
      </c>
      <c r="E37" s="180">
        <f>SUM(E38:E48)</f>
        <v>12700000</v>
      </c>
      <c r="F37" s="180">
        <f>SUM(F38:F48)</f>
        <v>12700000</v>
      </c>
      <c r="G37" s="180">
        <f>SUM(G38:G48)</f>
        <v>12700000</v>
      </c>
    </row>
    <row r="38" spans="1:7" s="240" customFormat="1" ht="12" customHeight="1" x14ac:dyDescent="0.25">
      <c r="A38" s="13" t="s">
        <v>89</v>
      </c>
      <c r="B38" s="241" t="s">
        <v>277</v>
      </c>
      <c r="C38" s="183"/>
      <c r="D38" s="183"/>
      <c r="E38" s="183"/>
      <c r="F38" s="183"/>
      <c r="G38" s="183"/>
    </row>
    <row r="39" spans="1:7" s="240" customFormat="1" ht="12" customHeight="1" x14ac:dyDescent="0.25">
      <c r="A39" s="12" t="s">
        <v>90</v>
      </c>
      <c r="B39" s="242" t="s">
        <v>278</v>
      </c>
      <c r="C39" s="182"/>
      <c r="D39" s="182"/>
      <c r="E39" s="182"/>
      <c r="F39" s="182"/>
      <c r="G39" s="182"/>
    </row>
    <row r="40" spans="1:7" s="240" customFormat="1" ht="12" customHeight="1" x14ac:dyDescent="0.25">
      <c r="A40" s="12" t="s">
        <v>91</v>
      </c>
      <c r="B40" s="242" t="s">
        <v>279</v>
      </c>
      <c r="C40" s="182"/>
      <c r="D40" s="182"/>
      <c r="E40" s="182"/>
      <c r="F40" s="182"/>
      <c r="G40" s="182"/>
    </row>
    <row r="41" spans="1:7" s="240" customFormat="1" ht="12" customHeight="1" x14ac:dyDescent="0.25">
      <c r="A41" s="12" t="s">
        <v>169</v>
      </c>
      <c r="B41" s="242" t="s">
        <v>280</v>
      </c>
      <c r="C41" s="182"/>
      <c r="D41" s="182"/>
      <c r="E41" s="182"/>
      <c r="F41" s="182"/>
      <c r="G41" s="182"/>
    </row>
    <row r="42" spans="1:7" s="240" customFormat="1" ht="12" customHeight="1" x14ac:dyDescent="0.25">
      <c r="A42" s="12" t="s">
        <v>170</v>
      </c>
      <c r="B42" s="242" t="s">
        <v>281</v>
      </c>
      <c r="C42" s="182">
        <v>10000</v>
      </c>
      <c r="D42" s="182">
        <v>10000</v>
      </c>
      <c r="E42" s="182">
        <v>10000000</v>
      </c>
      <c r="F42" s="182">
        <v>10000000</v>
      </c>
      <c r="G42" s="182">
        <v>10000000</v>
      </c>
    </row>
    <row r="43" spans="1:7" s="240" customFormat="1" ht="12" customHeight="1" x14ac:dyDescent="0.25">
      <c r="A43" s="12" t="s">
        <v>171</v>
      </c>
      <c r="B43" s="242" t="s">
        <v>282</v>
      </c>
      <c r="C43" s="182">
        <f>10000*0.27</f>
        <v>2700</v>
      </c>
      <c r="D43" s="182">
        <f>10000*0.27</f>
        <v>2700</v>
      </c>
      <c r="E43" s="182">
        <v>2700000</v>
      </c>
      <c r="F43" s="182">
        <v>2700000</v>
      </c>
      <c r="G43" s="182">
        <v>2700000</v>
      </c>
    </row>
    <row r="44" spans="1:7" s="240" customFormat="1" ht="12" customHeight="1" x14ac:dyDescent="0.25">
      <c r="A44" s="12" t="s">
        <v>172</v>
      </c>
      <c r="B44" s="242" t="s">
        <v>283</v>
      </c>
      <c r="C44" s="182"/>
      <c r="D44" s="182"/>
      <c r="E44" s="182"/>
      <c r="F44" s="182"/>
      <c r="G44" s="182"/>
    </row>
    <row r="45" spans="1:7" s="240" customFormat="1" ht="12" customHeight="1" x14ac:dyDescent="0.25">
      <c r="A45" s="12" t="s">
        <v>173</v>
      </c>
      <c r="B45" s="242" t="s">
        <v>284</v>
      </c>
      <c r="C45" s="182"/>
      <c r="D45" s="182"/>
      <c r="E45" s="182"/>
      <c r="F45" s="182"/>
      <c r="G45" s="182"/>
    </row>
    <row r="46" spans="1:7" s="240" customFormat="1" ht="12" customHeight="1" x14ac:dyDescent="0.25">
      <c r="A46" s="12" t="s">
        <v>275</v>
      </c>
      <c r="B46" s="242" t="s">
        <v>285</v>
      </c>
      <c r="C46" s="185"/>
      <c r="D46" s="185"/>
      <c r="E46" s="185"/>
      <c r="F46" s="185"/>
      <c r="G46" s="185"/>
    </row>
    <row r="47" spans="1:7" s="240" customFormat="1" ht="12" customHeight="1" x14ac:dyDescent="0.25">
      <c r="A47" s="14" t="s">
        <v>276</v>
      </c>
      <c r="B47" s="243" t="s">
        <v>440</v>
      </c>
      <c r="C47" s="229"/>
      <c r="D47" s="229"/>
      <c r="E47" s="229"/>
      <c r="F47" s="229"/>
      <c r="G47" s="229"/>
    </row>
    <row r="48" spans="1:7" s="240" customFormat="1" ht="12" customHeight="1" thickBot="1" x14ac:dyDescent="0.3">
      <c r="A48" s="14" t="s">
        <v>439</v>
      </c>
      <c r="B48" s="177" t="s">
        <v>286</v>
      </c>
      <c r="C48" s="229"/>
      <c r="D48" s="229"/>
      <c r="E48" s="229"/>
      <c r="F48" s="229"/>
      <c r="G48" s="229"/>
    </row>
    <row r="49" spans="1:7" s="240" customFormat="1" ht="12" customHeight="1" thickBot="1" x14ac:dyDescent="0.3">
      <c r="A49" s="18" t="s">
        <v>21</v>
      </c>
      <c r="B49" s="19" t="s">
        <v>287</v>
      </c>
      <c r="C49" s="180">
        <f>SUM(C50:C54)</f>
        <v>0</v>
      </c>
      <c r="D49" s="180">
        <f>SUM(D50:D54)</f>
        <v>0</v>
      </c>
      <c r="E49" s="180">
        <f>SUM(E50:E54)</f>
        <v>0</v>
      </c>
      <c r="F49" s="180">
        <f>SUM(F50:F54)</f>
        <v>0</v>
      </c>
      <c r="G49" s="180">
        <f>SUM(G50:G54)</f>
        <v>0</v>
      </c>
    </row>
    <row r="50" spans="1:7" s="240" customFormat="1" ht="12" customHeight="1" x14ac:dyDescent="0.25">
      <c r="A50" s="13" t="s">
        <v>92</v>
      </c>
      <c r="B50" s="241" t="s">
        <v>291</v>
      </c>
      <c r="C50" s="266"/>
      <c r="D50" s="266"/>
      <c r="E50" s="266"/>
      <c r="F50" s="266"/>
      <c r="G50" s="266"/>
    </row>
    <row r="51" spans="1:7" s="240" customFormat="1" ht="12" customHeight="1" x14ac:dyDescent="0.25">
      <c r="A51" s="12" t="s">
        <v>93</v>
      </c>
      <c r="B51" s="242" t="s">
        <v>292</v>
      </c>
      <c r="C51" s="185"/>
      <c r="D51" s="185"/>
      <c r="E51" s="185"/>
      <c r="F51" s="185"/>
      <c r="G51" s="185"/>
    </row>
    <row r="52" spans="1:7" s="240" customFormat="1" ht="12" customHeight="1" x14ac:dyDescent="0.25">
      <c r="A52" s="12" t="s">
        <v>288</v>
      </c>
      <c r="B52" s="242" t="s">
        <v>293</v>
      </c>
      <c r="C52" s="185"/>
      <c r="D52" s="185"/>
      <c r="E52" s="185"/>
      <c r="F52" s="185"/>
      <c r="G52" s="185"/>
    </row>
    <row r="53" spans="1:7" s="240" customFormat="1" ht="12" customHeight="1" x14ac:dyDescent="0.25">
      <c r="A53" s="12" t="s">
        <v>289</v>
      </c>
      <c r="B53" s="242" t="s">
        <v>294</v>
      </c>
      <c r="C53" s="185"/>
      <c r="D53" s="185"/>
      <c r="E53" s="185"/>
      <c r="F53" s="185"/>
      <c r="G53" s="185"/>
    </row>
    <row r="54" spans="1:7" s="240" customFormat="1" ht="12" customHeight="1" thickBot="1" x14ac:dyDescent="0.3">
      <c r="A54" s="14" t="s">
        <v>290</v>
      </c>
      <c r="B54" s="177" t="s">
        <v>295</v>
      </c>
      <c r="C54" s="229"/>
      <c r="D54" s="229"/>
      <c r="E54" s="229"/>
      <c r="F54" s="229"/>
      <c r="G54" s="229"/>
    </row>
    <row r="55" spans="1:7" s="240" customFormat="1" ht="12" customHeight="1" thickBot="1" x14ac:dyDescent="0.3">
      <c r="A55" s="18" t="s">
        <v>174</v>
      </c>
      <c r="B55" s="19" t="s">
        <v>296</v>
      </c>
      <c r="C55" s="180">
        <f>SUM(C56:C58)</f>
        <v>0</v>
      </c>
      <c r="D55" s="180">
        <f>SUM(D56:D58)</f>
        <v>0</v>
      </c>
      <c r="E55" s="180">
        <f>SUM(E56:E58)</f>
        <v>0</v>
      </c>
      <c r="F55" s="180">
        <f>SUM(F56:F58)</f>
        <v>0</v>
      </c>
      <c r="G55" s="180">
        <f>SUM(G56:G58)</f>
        <v>0</v>
      </c>
    </row>
    <row r="56" spans="1:7" s="240" customFormat="1" ht="12" customHeight="1" x14ac:dyDescent="0.25">
      <c r="A56" s="13" t="s">
        <v>94</v>
      </c>
      <c r="B56" s="241" t="s">
        <v>297</v>
      </c>
      <c r="C56" s="183"/>
      <c r="D56" s="183"/>
      <c r="E56" s="183"/>
      <c r="F56" s="183"/>
      <c r="G56" s="183"/>
    </row>
    <row r="57" spans="1:7" s="240" customFormat="1" ht="12" customHeight="1" x14ac:dyDescent="0.25">
      <c r="A57" s="12" t="s">
        <v>95</v>
      </c>
      <c r="B57" s="242" t="s">
        <v>430</v>
      </c>
      <c r="C57" s="182"/>
      <c r="D57" s="182"/>
      <c r="E57" s="182"/>
      <c r="F57" s="182"/>
      <c r="G57" s="182"/>
    </row>
    <row r="58" spans="1:7" s="240" customFormat="1" ht="12" customHeight="1" x14ac:dyDescent="0.25">
      <c r="A58" s="12" t="s">
        <v>300</v>
      </c>
      <c r="B58" s="242" t="s">
        <v>298</v>
      </c>
      <c r="C58" s="182"/>
      <c r="D58" s="182"/>
      <c r="E58" s="182"/>
      <c r="F58" s="182"/>
      <c r="G58" s="182"/>
    </row>
    <row r="59" spans="1:7" s="240" customFormat="1" ht="12" customHeight="1" thickBot="1" x14ac:dyDescent="0.3">
      <c r="A59" s="14" t="s">
        <v>301</v>
      </c>
      <c r="B59" s="177" t="s">
        <v>299</v>
      </c>
      <c r="C59" s="184"/>
      <c r="D59" s="184"/>
      <c r="E59" s="184"/>
      <c r="F59" s="184"/>
      <c r="G59" s="184"/>
    </row>
    <row r="60" spans="1:7" s="240" customFormat="1" ht="12" customHeight="1" thickBot="1" x14ac:dyDescent="0.3">
      <c r="A60" s="18" t="s">
        <v>23</v>
      </c>
      <c r="B60" s="175" t="s">
        <v>302</v>
      </c>
      <c r="C60" s="180">
        <f>SUM(C61:C63)</f>
        <v>4700</v>
      </c>
      <c r="D60" s="180">
        <f>SUM(D61:D63)</f>
        <v>4700</v>
      </c>
      <c r="E60" s="180">
        <f>SUM(E61:E63)</f>
        <v>4700000</v>
      </c>
      <c r="F60" s="180">
        <f>SUM(F61:F63)</f>
        <v>4700000</v>
      </c>
      <c r="G60" s="180">
        <f>SUM(G61:G63)</f>
        <v>4700000</v>
      </c>
    </row>
    <row r="61" spans="1:7" s="240" customFormat="1" ht="12" customHeight="1" x14ac:dyDescent="0.25">
      <c r="A61" s="13" t="s">
        <v>175</v>
      </c>
      <c r="B61" s="241" t="s">
        <v>304</v>
      </c>
      <c r="C61" s="185"/>
      <c r="D61" s="185"/>
      <c r="E61" s="185"/>
      <c r="F61" s="185"/>
      <c r="G61" s="185"/>
    </row>
    <row r="62" spans="1:7" s="240" customFormat="1" ht="12" customHeight="1" x14ac:dyDescent="0.25">
      <c r="A62" s="12" t="s">
        <v>176</v>
      </c>
      <c r="B62" s="242" t="s">
        <v>431</v>
      </c>
      <c r="C62" s="185"/>
      <c r="D62" s="185"/>
      <c r="E62" s="185"/>
      <c r="F62" s="185"/>
      <c r="G62" s="185"/>
    </row>
    <row r="63" spans="1:7" s="240" customFormat="1" ht="12" customHeight="1" x14ac:dyDescent="0.25">
      <c r="A63" s="12" t="s">
        <v>224</v>
      </c>
      <c r="B63" s="242" t="s">
        <v>305</v>
      </c>
      <c r="C63" s="185">
        <v>4700</v>
      </c>
      <c r="D63" s="185">
        <v>4700</v>
      </c>
      <c r="E63" s="185">
        <v>4700000</v>
      </c>
      <c r="F63" s="185">
        <v>4700000</v>
      </c>
      <c r="G63" s="185">
        <v>4700000</v>
      </c>
    </row>
    <row r="64" spans="1:7" s="240" customFormat="1" ht="12" customHeight="1" thickBot="1" x14ac:dyDescent="0.3">
      <c r="A64" s="14" t="s">
        <v>303</v>
      </c>
      <c r="B64" s="177" t="s">
        <v>306</v>
      </c>
      <c r="C64" s="185"/>
      <c r="D64" s="185"/>
      <c r="E64" s="185"/>
      <c r="F64" s="185"/>
      <c r="G64" s="185"/>
    </row>
    <row r="65" spans="1:7" s="240" customFormat="1" ht="12" customHeight="1" thickBot="1" x14ac:dyDescent="0.3">
      <c r="A65" s="278" t="s">
        <v>483</v>
      </c>
      <c r="B65" s="19" t="s">
        <v>307</v>
      </c>
      <c r="C65" s="186">
        <f>+C8+C15+C22+C29+C37+C49+C55+C60</f>
        <v>316322</v>
      </c>
      <c r="D65" s="186">
        <f>+D8+D15+D22+D29+D37+D49+D55+D60</f>
        <v>314764</v>
      </c>
      <c r="E65" s="186">
        <f>+E8+E15+E22+E29+E37+E49+E55+E60</f>
        <v>342422078</v>
      </c>
      <c r="F65" s="186">
        <f>+F8+F15+F22+F29+F37+F49+F55+F60</f>
        <v>351311697</v>
      </c>
      <c r="G65" s="186">
        <f>+G8+G15+G22+G29+G37+G49+G55+G60</f>
        <v>392005458</v>
      </c>
    </row>
    <row r="66" spans="1:7" s="240" customFormat="1" ht="12" customHeight="1" thickBot="1" x14ac:dyDescent="0.3">
      <c r="A66" s="268" t="s">
        <v>308</v>
      </c>
      <c r="B66" s="175" t="s">
        <v>309</v>
      </c>
      <c r="C66" s="180">
        <f>SUM(C67:C69)</f>
        <v>0</v>
      </c>
      <c r="D66" s="180">
        <f>SUM(D67:D69)</f>
        <v>0</v>
      </c>
      <c r="E66" s="180">
        <f>SUM(E67:E69)</f>
        <v>0</v>
      </c>
      <c r="F66" s="180">
        <f>SUM(F67:F69)</f>
        <v>0</v>
      </c>
      <c r="G66" s="180">
        <f>SUM(G67:G69)</f>
        <v>0</v>
      </c>
    </row>
    <row r="67" spans="1:7" s="240" customFormat="1" ht="12" customHeight="1" x14ac:dyDescent="0.25">
      <c r="A67" s="13" t="s">
        <v>340</v>
      </c>
      <c r="B67" s="241" t="s">
        <v>310</v>
      </c>
      <c r="C67" s="185"/>
      <c r="D67" s="185"/>
      <c r="E67" s="185"/>
      <c r="F67" s="185"/>
      <c r="G67" s="185"/>
    </row>
    <row r="68" spans="1:7" s="240" customFormat="1" ht="12" customHeight="1" x14ac:dyDescent="0.25">
      <c r="A68" s="12" t="s">
        <v>349</v>
      </c>
      <c r="B68" s="242" t="s">
        <v>311</v>
      </c>
      <c r="C68" s="185"/>
      <c r="D68" s="185"/>
      <c r="E68" s="185"/>
      <c r="F68" s="185"/>
      <c r="G68" s="185"/>
    </row>
    <row r="69" spans="1:7" s="240" customFormat="1" ht="12" customHeight="1" thickBot="1" x14ac:dyDescent="0.3">
      <c r="A69" s="14" t="s">
        <v>350</v>
      </c>
      <c r="B69" s="272" t="s">
        <v>468</v>
      </c>
      <c r="C69" s="185"/>
      <c r="D69" s="185"/>
      <c r="E69" s="185"/>
      <c r="F69" s="185"/>
      <c r="G69" s="185"/>
    </row>
    <row r="70" spans="1:7" s="240" customFormat="1" ht="12" customHeight="1" thickBot="1" x14ac:dyDescent="0.3">
      <c r="A70" s="268" t="s">
        <v>313</v>
      </c>
      <c r="B70" s="175" t="s">
        <v>314</v>
      </c>
      <c r="C70" s="180">
        <f>SUM(C71:C74)</f>
        <v>0</v>
      </c>
      <c r="D70" s="180">
        <f>SUM(D71:D74)</f>
        <v>0</v>
      </c>
      <c r="E70" s="180">
        <f>SUM(E71:E74)</f>
        <v>0</v>
      </c>
      <c r="F70" s="180">
        <f>SUM(F71:F74)</f>
        <v>0</v>
      </c>
      <c r="G70" s="180">
        <f>SUM(G71:G74)</f>
        <v>0</v>
      </c>
    </row>
    <row r="71" spans="1:7" s="240" customFormat="1" ht="12" customHeight="1" x14ac:dyDescent="0.25">
      <c r="A71" s="13" t="s">
        <v>145</v>
      </c>
      <c r="B71" s="241" t="s">
        <v>315</v>
      </c>
      <c r="C71" s="185"/>
      <c r="D71" s="185"/>
      <c r="E71" s="185"/>
      <c r="F71" s="185"/>
      <c r="G71" s="185"/>
    </row>
    <row r="72" spans="1:7" s="240" customFormat="1" ht="12" customHeight="1" x14ac:dyDescent="0.25">
      <c r="A72" s="12" t="s">
        <v>146</v>
      </c>
      <c r="B72" s="242" t="s">
        <v>316</v>
      </c>
      <c r="C72" s="185"/>
      <c r="D72" s="185"/>
      <c r="E72" s="185"/>
      <c r="F72" s="185"/>
      <c r="G72" s="185"/>
    </row>
    <row r="73" spans="1:7" s="240" customFormat="1" ht="12" customHeight="1" x14ac:dyDescent="0.25">
      <c r="A73" s="12" t="s">
        <v>341</v>
      </c>
      <c r="B73" s="242" t="s">
        <v>317</v>
      </c>
      <c r="C73" s="185"/>
      <c r="D73" s="185"/>
      <c r="E73" s="185"/>
      <c r="F73" s="185"/>
      <c r="G73" s="185"/>
    </row>
    <row r="74" spans="1:7" s="240" customFormat="1" ht="12" customHeight="1" thickBot="1" x14ac:dyDescent="0.3">
      <c r="A74" s="14" t="s">
        <v>342</v>
      </c>
      <c r="B74" s="177" t="s">
        <v>318</v>
      </c>
      <c r="C74" s="185"/>
      <c r="D74" s="185"/>
      <c r="E74" s="185"/>
      <c r="F74" s="185"/>
      <c r="G74" s="185"/>
    </row>
    <row r="75" spans="1:7" s="240" customFormat="1" ht="12" customHeight="1" thickBot="1" x14ac:dyDescent="0.3">
      <c r="A75" s="268" t="s">
        <v>319</v>
      </c>
      <c r="B75" s="175" t="s">
        <v>320</v>
      </c>
      <c r="C75" s="180">
        <f>SUM(C76:C77)</f>
        <v>159250</v>
      </c>
      <c r="D75" s="180">
        <f>SUM(D76:D77)</f>
        <v>172129</v>
      </c>
      <c r="E75" s="180">
        <f>SUM(E76:E77)</f>
        <v>172128534</v>
      </c>
      <c r="F75" s="180">
        <f>SUM(F76:F77)</f>
        <v>172128534</v>
      </c>
      <c r="G75" s="180">
        <f>SUM(G76:G77)</f>
        <v>172128534</v>
      </c>
    </row>
    <row r="76" spans="1:7" s="240" customFormat="1" ht="12" customHeight="1" x14ac:dyDescent="0.25">
      <c r="A76" s="13" t="s">
        <v>343</v>
      </c>
      <c r="B76" s="241" t="s">
        <v>321</v>
      </c>
      <c r="C76" s="185">
        <f>159250</f>
        <v>159250</v>
      </c>
      <c r="D76" s="185">
        <f>159250+12879</f>
        <v>172129</v>
      </c>
      <c r="E76" s="185">
        <v>172128534</v>
      </c>
      <c r="F76" s="185">
        <v>172128534</v>
      </c>
      <c r="G76" s="185">
        <v>172128534</v>
      </c>
    </row>
    <row r="77" spans="1:7" s="240" customFormat="1" ht="12" customHeight="1" thickBot="1" x14ac:dyDescent="0.3">
      <c r="A77" s="14" t="s">
        <v>344</v>
      </c>
      <c r="B77" s="177" t="s">
        <v>322</v>
      </c>
      <c r="C77" s="185"/>
      <c r="D77" s="185"/>
      <c r="E77" s="185"/>
      <c r="F77" s="185"/>
      <c r="G77" s="185"/>
    </row>
    <row r="78" spans="1:7" s="240" customFormat="1" ht="12" customHeight="1" thickBot="1" x14ac:dyDescent="0.3">
      <c r="A78" s="268" t="s">
        <v>323</v>
      </c>
      <c r="B78" s="175" t="s">
        <v>324</v>
      </c>
      <c r="C78" s="180">
        <f>SUM(C79:C81)</f>
        <v>0</v>
      </c>
      <c r="D78" s="180">
        <f>SUM(D79:D81)</f>
        <v>0</v>
      </c>
      <c r="E78" s="180">
        <f>SUM(E79:E81)</f>
        <v>0</v>
      </c>
      <c r="F78" s="180">
        <f>SUM(F79:F81)</f>
        <v>0</v>
      </c>
      <c r="G78" s="180">
        <f>SUM(G79:G81)</f>
        <v>7777206</v>
      </c>
    </row>
    <row r="79" spans="1:7" s="240" customFormat="1" ht="12" customHeight="1" x14ac:dyDescent="0.25">
      <c r="A79" s="13" t="s">
        <v>345</v>
      </c>
      <c r="B79" s="241" t="s">
        <v>325</v>
      </c>
      <c r="C79" s="185"/>
      <c r="D79" s="185"/>
      <c r="E79" s="185"/>
      <c r="F79" s="185"/>
      <c r="G79" s="185">
        <v>7777206</v>
      </c>
    </row>
    <row r="80" spans="1:7" s="240" customFormat="1" ht="12" customHeight="1" x14ac:dyDescent="0.25">
      <c r="A80" s="12" t="s">
        <v>346</v>
      </c>
      <c r="B80" s="242" t="s">
        <v>326</v>
      </c>
      <c r="C80" s="185"/>
      <c r="D80" s="185"/>
      <c r="E80" s="185"/>
      <c r="F80" s="185"/>
      <c r="G80" s="185"/>
    </row>
    <row r="81" spans="1:7" s="240" customFormat="1" ht="12" customHeight="1" thickBot="1" x14ac:dyDescent="0.3">
      <c r="A81" s="14" t="s">
        <v>347</v>
      </c>
      <c r="B81" s="177" t="s">
        <v>327</v>
      </c>
      <c r="C81" s="185"/>
      <c r="D81" s="185"/>
      <c r="E81" s="185"/>
      <c r="F81" s="185"/>
      <c r="G81" s="185"/>
    </row>
    <row r="82" spans="1:7" s="240" customFormat="1" ht="12" customHeight="1" thickBot="1" x14ac:dyDescent="0.3">
      <c r="A82" s="268" t="s">
        <v>328</v>
      </c>
      <c r="B82" s="175" t="s">
        <v>348</v>
      </c>
      <c r="C82" s="180">
        <f>SUM(C83:C86)</f>
        <v>0</v>
      </c>
      <c r="D82" s="180">
        <f>SUM(D83:D86)</f>
        <v>0</v>
      </c>
      <c r="E82" s="180">
        <f>SUM(E83:E86)</f>
        <v>0</v>
      </c>
      <c r="F82" s="180">
        <f>SUM(F83:F86)</f>
        <v>0</v>
      </c>
      <c r="G82" s="180">
        <f>SUM(G83:G86)</f>
        <v>0</v>
      </c>
    </row>
    <row r="83" spans="1:7" s="240" customFormat="1" ht="12" customHeight="1" x14ac:dyDescent="0.25">
      <c r="A83" s="245" t="s">
        <v>329</v>
      </c>
      <c r="B83" s="241" t="s">
        <v>330</v>
      </c>
      <c r="C83" s="185"/>
      <c r="D83" s="185"/>
      <c r="E83" s="185"/>
      <c r="F83" s="185"/>
      <c r="G83" s="185"/>
    </row>
    <row r="84" spans="1:7" s="240" customFormat="1" ht="12" customHeight="1" x14ac:dyDescent="0.25">
      <c r="A84" s="246" t="s">
        <v>331</v>
      </c>
      <c r="B84" s="242" t="s">
        <v>332</v>
      </c>
      <c r="C84" s="185"/>
      <c r="D84" s="185"/>
      <c r="E84" s="185"/>
      <c r="F84" s="185"/>
      <c r="G84" s="185"/>
    </row>
    <row r="85" spans="1:7" s="240" customFormat="1" ht="12" customHeight="1" x14ac:dyDescent="0.25">
      <c r="A85" s="246" t="s">
        <v>333</v>
      </c>
      <c r="B85" s="242" t="s">
        <v>334</v>
      </c>
      <c r="C85" s="185"/>
      <c r="D85" s="185"/>
      <c r="E85" s="185"/>
      <c r="F85" s="185"/>
      <c r="G85" s="185"/>
    </row>
    <row r="86" spans="1:7" s="240" customFormat="1" ht="12" customHeight="1" thickBot="1" x14ac:dyDescent="0.3">
      <c r="A86" s="247" t="s">
        <v>335</v>
      </c>
      <c r="B86" s="177" t="s">
        <v>336</v>
      </c>
      <c r="C86" s="185"/>
      <c r="D86" s="185"/>
      <c r="E86" s="185"/>
      <c r="F86" s="185"/>
      <c r="G86" s="185"/>
    </row>
    <row r="87" spans="1:7" s="240" customFormat="1" ht="12" customHeight="1" thickBot="1" x14ac:dyDescent="0.3">
      <c r="A87" s="268" t="s">
        <v>337</v>
      </c>
      <c r="B87" s="175" t="s">
        <v>482</v>
      </c>
      <c r="C87" s="267"/>
      <c r="D87" s="267"/>
      <c r="E87" s="267"/>
      <c r="F87" s="267"/>
      <c r="G87" s="267"/>
    </row>
    <row r="88" spans="1:7" s="240" customFormat="1" ht="13.5" customHeight="1" thickBot="1" x14ac:dyDescent="0.3">
      <c r="A88" s="268" t="s">
        <v>339</v>
      </c>
      <c r="B88" s="175" t="s">
        <v>338</v>
      </c>
      <c r="C88" s="267"/>
      <c r="D88" s="267"/>
      <c r="E88" s="267"/>
      <c r="F88" s="267"/>
      <c r="G88" s="267"/>
    </row>
    <row r="89" spans="1:7" s="240" customFormat="1" ht="15.75" customHeight="1" thickBot="1" x14ac:dyDescent="0.3">
      <c r="A89" s="268" t="s">
        <v>351</v>
      </c>
      <c r="B89" s="248" t="s">
        <v>485</v>
      </c>
      <c r="C89" s="186">
        <f>+C66+C70+C75+C78+C82+C88+C87</f>
        <v>159250</v>
      </c>
      <c r="D89" s="186">
        <f>+D66+D70+D75+D78+D82+D88+D87</f>
        <v>172129</v>
      </c>
      <c r="E89" s="186">
        <f>+E66+E70+E75+E78+E82+E88+E87</f>
        <v>172128534</v>
      </c>
      <c r="F89" s="186">
        <f>+F66+F70+F75+F78+F82+F88+F87</f>
        <v>172128534</v>
      </c>
      <c r="G89" s="186">
        <f>+G66+G70+G75+G78+G82+G88+G87</f>
        <v>179905740</v>
      </c>
    </row>
    <row r="90" spans="1:7" s="240" customFormat="1" ht="16.5" customHeight="1" thickBot="1" x14ac:dyDescent="0.3">
      <c r="A90" s="269" t="s">
        <v>484</v>
      </c>
      <c r="B90" s="249" t="s">
        <v>486</v>
      </c>
      <c r="C90" s="186">
        <f>+C65+C89</f>
        <v>475572</v>
      </c>
      <c r="D90" s="186">
        <f>+D65+D89</f>
        <v>486893</v>
      </c>
      <c r="E90" s="186">
        <f>+E65+E89</f>
        <v>514550612</v>
      </c>
      <c r="F90" s="186">
        <f>+F65+F89</f>
        <v>523440231</v>
      </c>
      <c r="G90" s="186">
        <f>+G65+G89</f>
        <v>571911198</v>
      </c>
    </row>
    <row r="91" spans="1:7" s="240" customFormat="1" ht="83.25" customHeight="1" x14ac:dyDescent="0.25">
      <c r="A91" s="3"/>
      <c r="B91" s="4"/>
      <c r="C91" s="187"/>
      <c r="D91" s="187"/>
      <c r="E91" s="187"/>
      <c r="F91" s="187"/>
      <c r="G91" s="187"/>
    </row>
    <row r="92" spans="1:7" s="214" customFormat="1" ht="16.5" customHeight="1" x14ac:dyDescent="0.3">
      <c r="A92" s="672" t="s">
        <v>44</v>
      </c>
      <c r="B92" s="672"/>
    </row>
    <row r="93" spans="1:7" s="417" customFormat="1" ht="16.5" customHeight="1" thickBot="1" x14ac:dyDescent="0.35">
      <c r="A93" s="676" t="s">
        <v>148</v>
      </c>
      <c r="B93" s="676"/>
      <c r="C93" s="68"/>
      <c r="D93" s="68"/>
      <c r="E93" s="68"/>
      <c r="F93" s="68"/>
      <c r="G93" s="68"/>
    </row>
    <row r="94" spans="1:7" s="214" customFormat="1" ht="38.1" customHeight="1" thickBot="1" x14ac:dyDescent="0.35">
      <c r="A94" s="21" t="s">
        <v>67</v>
      </c>
      <c r="B94" s="22" t="s">
        <v>45</v>
      </c>
      <c r="C94" s="30" t="str">
        <f>+C6</f>
        <v>Eredeti előirányzat (2016.01)</v>
      </c>
      <c r="D94" s="30" t="str">
        <f>+D6</f>
        <v>Módosított előirányzat (2016.05)</v>
      </c>
      <c r="E94" s="30" t="str">
        <f>+E6</f>
        <v>Módosított előirányzat (2016.09)</v>
      </c>
      <c r="F94" s="30" t="str">
        <f>+F6</f>
        <v>Módosított előirányzat (2016.11)</v>
      </c>
      <c r="G94" s="30" t="str">
        <f>+G6</f>
        <v>Módosított előirányzat (2016.12)</v>
      </c>
    </row>
    <row r="95" spans="1:7" s="239" customFormat="1" ht="12" customHeight="1" thickBot="1" x14ac:dyDescent="0.25">
      <c r="A95" s="25" t="s">
        <v>494</v>
      </c>
      <c r="B95" s="26" t="s">
        <v>495</v>
      </c>
      <c r="C95" s="27" t="s">
        <v>496</v>
      </c>
      <c r="D95" s="27" t="s">
        <v>496</v>
      </c>
      <c r="E95" s="27" t="s">
        <v>496</v>
      </c>
      <c r="F95" s="27" t="s">
        <v>496</v>
      </c>
      <c r="G95" s="27" t="s">
        <v>496</v>
      </c>
    </row>
    <row r="96" spans="1:7" s="531" customFormat="1" ht="12" customHeight="1" thickBot="1" x14ac:dyDescent="0.35">
      <c r="A96" s="20" t="s">
        <v>16</v>
      </c>
      <c r="B96" s="24" t="s">
        <v>706</v>
      </c>
      <c r="C96" s="179">
        <f>C97+C98+C99+C100+C101+C114</f>
        <v>234105</v>
      </c>
      <c r="D96" s="179">
        <f>D97+D98+D99+D100+D101+D114</f>
        <v>244408</v>
      </c>
      <c r="E96" s="179">
        <f>E97+E98+E99+E100+E101+E114</f>
        <v>265690538</v>
      </c>
      <c r="F96" s="179">
        <f>F97+F98+F99+F100+F101+F114</f>
        <v>270934657</v>
      </c>
      <c r="G96" s="179">
        <f>G97+G98+G99+G100+G101+G114</f>
        <v>275162129</v>
      </c>
    </row>
    <row r="97" spans="1:7" s="531" customFormat="1" ht="12" customHeight="1" x14ac:dyDescent="0.3">
      <c r="A97" s="15" t="s">
        <v>96</v>
      </c>
      <c r="B97" s="8" t="s">
        <v>46</v>
      </c>
      <c r="C97" s="181">
        <f>1699+4407+2124+22676+2570+96+1663+2105</f>
        <v>37340</v>
      </c>
      <c r="D97" s="181">
        <f>37340+4468+476+22-7</f>
        <v>42299</v>
      </c>
      <c r="E97" s="181">
        <f>42299488+384300+227638+85275+640500</f>
        <v>43637201</v>
      </c>
      <c r="F97" s="181">
        <f>43637201+471000+70650+224350</f>
        <v>44403201</v>
      </c>
      <c r="G97" s="181">
        <f>43637201+471000+70650+224350+237795</f>
        <v>44640996</v>
      </c>
    </row>
    <row r="98" spans="1:7" s="531" customFormat="1" ht="12" customHeight="1" x14ac:dyDescent="0.3">
      <c r="A98" s="12" t="s">
        <v>97</v>
      </c>
      <c r="B98" s="6" t="s">
        <v>177</v>
      </c>
      <c r="C98" s="182">
        <f>472+1217+587+9727+707+32+224+582</f>
        <v>13548</v>
      </c>
      <c r="D98" s="182">
        <f>13548+572+129-22</f>
        <v>14227</v>
      </c>
      <c r="E98" s="182">
        <f>14227233+103761+61462+718947+23025+172935+20000</f>
        <v>15327363</v>
      </c>
      <c r="F98" s="182">
        <f>15327363+127170+19076+60575</f>
        <v>15534184</v>
      </c>
      <c r="G98" s="182">
        <f>15327363+127170+19076+60575+64205</f>
        <v>15598389</v>
      </c>
    </row>
    <row r="99" spans="1:7" s="531" customFormat="1" ht="12" customHeight="1" x14ac:dyDescent="0.3">
      <c r="A99" s="12" t="s">
        <v>98</v>
      </c>
      <c r="B99" s="6" t="s">
        <v>135</v>
      </c>
      <c r="C99" s="184">
        <f>1930+16142+5679+3674+9519+3677+12395+37320+806+1713+483+260+123+1238+10+2141+2151</f>
        <v>99261</v>
      </c>
      <c r="D99" s="184">
        <f>99542-1210-2+179</f>
        <v>98509</v>
      </c>
      <c r="E99" s="184">
        <f>98509582-1057-280889-1435608+228600-80000-20000+717947</f>
        <v>97638575</v>
      </c>
      <c r="F99" s="184">
        <f>98509582-1057-280889-1435608+228600-80000-20000+717947+762000</f>
        <v>98400575</v>
      </c>
      <c r="G99" s="184">
        <f>98509582-1057-280889-1435608+228600-80000-20000+717947+762000+3548000</f>
        <v>101948575</v>
      </c>
    </row>
    <row r="100" spans="1:7" s="531" customFormat="1" ht="12" customHeight="1" x14ac:dyDescent="0.3">
      <c r="A100" s="12" t="s">
        <v>99</v>
      </c>
      <c r="B100" s="9" t="s">
        <v>178</v>
      </c>
      <c r="C100" s="184">
        <f>700+850+2100</f>
        <v>3650</v>
      </c>
      <c r="D100" s="184">
        <f>3650+7</f>
        <v>3657</v>
      </c>
      <c r="E100" s="184">
        <f>3657080+110200+1020+284480+2050000</f>
        <v>6102780</v>
      </c>
      <c r="F100" s="184">
        <f>6102780+98600+3307500</f>
        <v>9508880</v>
      </c>
      <c r="G100" s="184">
        <f>6102780+98600+3307500+1277500</f>
        <v>10786380</v>
      </c>
    </row>
    <row r="101" spans="1:7" s="531" customFormat="1" ht="12" customHeight="1" x14ac:dyDescent="0.3">
      <c r="A101" s="12" t="s">
        <v>110</v>
      </c>
      <c r="B101" s="17" t="s">
        <v>179</v>
      </c>
      <c r="C101" s="184">
        <f>C102+C103+C104+C105+C106+C107+C108+C109+C110+C111+C112+C113</f>
        <v>80306</v>
      </c>
      <c r="D101" s="184">
        <f>D102+D103+D104+D105+D106+D107+D108+D109+D110+D111+D112+D113</f>
        <v>85716</v>
      </c>
      <c r="E101" s="184">
        <f>E102+E103+E104+E105+E106+E107+E108+E109+E110+E111+E112+E113</f>
        <v>102984619</v>
      </c>
      <c r="F101" s="184">
        <f>F102+F103+F104+F105+F106+F107+F108+F109+F110+F111+F112+F113</f>
        <v>103087817</v>
      </c>
      <c r="G101" s="184">
        <f>G102+G103+G104+G105+G106+G107+G108+G109+G110+G111+G112+G113</f>
        <v>102187789</v>
      </c>
    </row>
    <row r="102" spans="1:7" s="531" customFormat="1" ht="12" customHeight="1" x14ac:dyDescent="0.3">
      <c r="A102" s="12" t="s">
        <v>100</v>
      </c>
      <c r="B102" s="6" t="s">
        <v>449</v>
      </c>
      <c r="C102" s="184"/>
      <c r="D102" s="184"/>
      <c r="E102" s="184"/>
      <c r="F102" s="184"/>
      <c r="G102" s="184"/>
    </row>
    <row r="103" spans="1:7" s="531" customFormat="1" ht="12" customHeight="1" x14ac:dyDescent="0.3">
      <c r="A103" s="12" t="s">
        <v>101</v>
      </c>
      <c r="B103" s="72" t="s">
        <v>448</v>
      </c>
      <c r="C103" s="184"/>
      <c r="D103" s="184"/>
      <c r="E103" s="184"/>
      <c r="F103" s="184"/>
      <c r="G103" s="184"/>
    </row>
    <row r="104" spans="1:7" s="531" customFormat="1" ht="12" customHeight="1" x14ac:dyDescent="0.3">
      <c r="A104" s="12" t="s">
        <v>111</v>
      </c>
      <c r="B104" s="72" t="s">
        <v>447</v>
      </c>
      <c r="C104" s="184"/>
      <c r="D104" s="184">
        <f>1316+2701</f>
        <v>4017</v>
      </c>
      <c r="E104" s="184">
        <f>4016843+280889</f>
        <v>4297732</v>
      </c>
      <c r="F104" s="184">
        <f>4297732+3198</f>
        <v>4300930</v>
      </c>
      <c r="G104" s="184">
        <f>4297732+3198</f>
        <v>4300930</v>
      </c>
    </row>
    <row r="105" spans="1:7" s="531" customFormat="1" ht="12" customHeight="1" x14ac:dyDescent="0.3">
      <c r="A105" s="12" t="s">
        <v>112</v>
      </c>
      <c r="B105" s="70" t="s">
        <v>354</v>
      </c>
      <c r="C105" s="184"/>
      <c r="D105" s="184"/>
      <c r="E105" s="184"/>
      <c r="F105" s="184"/>
      <c r="G105" s="184"/>
    </row>
    <row r="106" spans="1:7" s="531" customFormat="1" ht="12" customHeight="1" x14ac:dyDescent="0.3">
      <c r="A106" s="12" t="s">
        <v>113</v>
      </c>
      <c r="B106" s="71" t="s">
        <v>355</v>
      </c>
      <c r="C106" s="184"/>
      <c r="D106" s="184"/>
      <c r="E106" s="184"/>
      <c r="F106" s="184"/>
      <c r="G106" s="184"/>
    </row>
    <row r="107" spans="1:7" s="531" customFormat="1" ht="12" customHeight="1" x14ac:dyDescent="0.3">
      <c r="A107" s="12" t="s">
        <v>114</v>
      </c>
      <c r="B107" s="71" t="s">
        <v>356</v>
      </c>
      <c r="C107" s="184"/>
      <c r="D107" s="184"/>
      <c r="E107" s="184"/>
      <c r="F107" s="184"/>
      <c r="G107" s="184"/>
    </row>
    <row r="108" spans="1:7" s="531" customFormat="1" ht="12" customHeight="1" x14ac:dyDescent="0.3">
      <c r="A108" s="12" t="s">
        <v>116</v>
      </c>
      <c r="B108" s="70" t="s">
        <v>357</v>
      </c>
      <c r="C108" s="184">
        <f>74926+1097+650+993+67+883</f>
        <v>78616</v>
      </c>
      <c r="D108" s="184">
        <f>74926+1097+650+993+67+883+4487+314-3590+2+180</f>
        <v>80009</v>
      </c>
      <c r="E108" s="184">
        <f>80008831+152781+80000+254635-137+707187+72390</f>
        <v>81275687</v>
      </c>
      <c r="F108" s="184">
        <f>81275687+100000</f>
        <v>81375687</v>
      </c>
      <c r="G108" s="184">
        <f>81275687+100000-28</f>
        <v>81375659</v>
      </c>
    </row>
    <row r="109" spans="1:7" s="531" customFormat="1" ht="12" customHeight="1" x14ac:dyDescent="0.3">
      <c r="A109" s="12" t="s">
        <v>180</v>
      </c>
      <c r="B109" s="70" t="s">
        <v>358</v>
      </c>
      <c r="C109" s="184"/>
      <c r="D109" s="184"/>
      <c r="E109" s="184"/>
      <c r="F109" s="184"/>
      <c r="G109" s="184"/>
    </row>
    <row r="110" spans="1:7" s="531" customFormat="1" ht="12" customHeight="1" x14ac:dyDescent="0.3">
      <c r="A110" s="12" t="s">
        <v>352</v>
      </c>
      <c r="B110" s="71" t="s">
        <v>359</v>
      </c>
      <c r="C110" s="184"/>
      <c r="D110" s="184"/>
      <c r="E110" s="184"/>
      <c r="F110" s="184"/>
      <c r="G110" s="184"/>
    </row>
    <row r="111" spans="1:7" s="531" customFormat="1" ht="12" customHeight="1" x14ac:dyDescent="0.3">
      <c r="A111" s="11" t="s">
        <v>353</v>
      </c>
      <c r="B111" s="72" t="s">
        <v>360</v>
      </c>
      <c r="C111" s="184"/>
      <c r="D111" s="184"/>
      <c r="E111" s="184"/>
      <c r="F111" s="184"/>
      <c r="G111" s="184"/>
    </row>
    <row r="112" spans="1:7" s="531" customFormat="1" ht="12" customHeight="1" x14ac:dyDescent="0.3">
      <c r="A112" s="12" t="s">
        <v>445</v>
      </c>
      <c r="B112" s="72" t="s">
        <v>361</v>
      </c>
      <c r="C112" s="184"/>
      <c r="D112" s="184"/>
      <c r="E112" s="184"/>
      <c r="F112" s="184"/>
      <c r="G112" s="184"/>
    </row>
    <row r="113" spans="1:7" s="531" customFormat="1" ht="12" customHeight="1" x14ac:dyDescent="0.3">
      <c r="A113" s="14" t="s">
        <v>446</v>
      </c>
      <c r="B113" s="72" t="s">
        <v>362</v>
      </c>
      <c r="C113" s="184">
        <f>693+997</f>
        <v>1690</v>
      </c>
      <c r="D113" s="184">
        <f>693+997</f>
        <v>1690</v>
      </c>
      <c r="E113" s="184">
        <f>1690000+15721200</f>
        <v>17411200</v>
      </c>
      <c r="F113" s="184">
        <f>1690000+15721200</f>
        <v>17411200</v>
      </c>
      <c r="G113" s="184">
        <f>1690000+15721200-900000</f>
        <v>16511200</v>
      </c>
    </row>
    <row r="114" spans="1:7" s="531" customFormat="1" ht="12" customHeight="1" x14ac:dyDescent="0.3">
      <c r="A114" s="12" t="s">
        <v>450</v>
      </c>
      <c r="B114" s="9" t="s">
        <v>47</v>
      </c>
      <c r="C114" s="182"/>
      <c r="D114" s="182"/>
      <c r="E114" s="182"/>
      <c r="F114" s="182"/>
      <c r="G114" s="182"/>
    </row>
    <row r="115" spans="1:7" s="531" customFormat="1" ht="12" customHeight="1" x14ac:dyDescent="0.3">
      <c r="A115" s="12" t="s">
        <v>451</v>
      </c>
      <c r="B115" s="6" t="s">
        <v>453</v>
      </c>
      <c r="C115" s="182"/>
      <c r="D115" s="182"/>
      <c r="E115" s="182"/>
      <c r="F115" s="182"/>
      <c r="G115" s="182"/>
    </row>
    <row r="116" spans="1:7" s="531" customFormat="1" ht="12" customHeight="1" thickBot="1" x14ac:dyDescent="0.35">
      <c r="A116" s="16" t="s">
        <v>452</v>
      </c>
      <c r="B116" s="276" t="s">
        <v>454</v>
      </c>
      <c r="C116" s="188"/>
      <c r="D116" s="188"/>
      <c r="E116" s="188"/>
      <c r="F116" s="188"/>
      <c r="G116" s="188"/>
    </row>
    <row r="117" spans="1:7" s="214" customFormat="1" ht="12" customHeight="1" thickBot="1" x14ac:dyDescent="0.35">
      <c r="A117" s="273" t="s">
        <v>17</v>
      </c>
      <c r="B117" s="274" t="s">
        <v>363</v>
      </c>
      <c r="C117" s="275">
        <f>+C118+C120+C122</f>
        <v>80464</v>
      </c>
      <c r="D117" s="275">
        <f>+D118+D120+D122</f>
        <v>81943</v>
      </c>
      <c r="E117" s="275">
        <f>+E118+E120+E122</f>
        <v>86193039</v>
      </c>
      <c r="F117" s="275">
        <f>+F118+F120+F122</f>
        <v>89838539</v>
      </c>
      <c r="G117" s="275">
        <f>+G118+G120+G122</f>
        <v>134130323</v>
      </c>
    </row>
    <row r="118" spans="1:7" s="214" customFormat="1" ht="12" customHeight="1" x14ac:dyDescent="0.3">
      <c r="A118" s="13" t="s">
        <v>102</v>
      </c>
      <c r="B118" s="6" t="s">
        <v>222</v>
      </c>
      <c r="C118" s="183">
        <f>34769+21192+127+127+127+2540+1+4700</f>
        <v>63583</v>
      </c>
      <c r="D118" s="183">
        <f>63583+8522+270+1209</f>
        <v>73584</v>
      </c>
      <c r="E118" s="183">
        <f>73584032+1435608+2814772+1</f>
        <v>77834413</v>
      </c>
      <c r="F118" s="183">
        <f>77834413+495500+3150000</f>
        <v>81479913</v>
      </c>
      <c r="G118" s="183">
        <f>77834413+495500+3150000+480000</f>
        <v>81959913</v>
      </c>
    </row>
    <row r="119" spans="1:7" s="214" customFormat="1" ht="12" customHeight="1" x14ac:dyDescent="0.3">
      <c r="A119" s="13" t="s">
        <v>103</v>
      </c>
      <c r="B119" s="10" t="s">
        <v>367</v>
      </c>
      <c r="C119" s="183"/>
      <c r="D119" s="183"/>
      <c r="E119" s="183"/>
      <c r="F119" s="183"/>
      <c r="G119" s="183"/>
    </row>
    <row r="120" spans="1:7" s="214" customFormat="1" ht="12" customHeight="1" x14ac:dyDescent="0.3">
      <c r="A120" s="13" t="s">
        <v>104</v>
      </c>
      <c r="B120" s="10" t="s">
        <v>181</v>
      </c>
      <c r="C120" s="182">
        <f>9835+8522+1524-5000</f>
        <v>14881</v>
      </c>
      <c r="D120" s="182">
        <f>9835+8522+1524-5000-8522</f>
        <v>6359</v>
      </c>
      <c r="E120" s="182">
        <v>6358626</v>
      </c>
      <c r="F120" s="182">
        <v>6358626</v>
      </c>
      <c r="G120" s="182">
        <f>6358626+43811784</f>
        <v>50170410</v>
      </c>
    </row>
    <row r="121" spans="1:7" s="214" customFormat="1" ht="12" customHeight="1" x14ac:dyDescent="0.3">
      <c r="A121" s="13" t="s">
        <v>105</v>
      </c>
      <c r="B121" s="10" t="s">
        <v>368</v>
      </c>
      <c r="C121" s="172"/>
      <c r="D121" s="172"/>
      <c r="E121" s="172"/>
      <c r="F121" s="172"/>
      <c r="G121" s="172"/>
    </row>
    <row r="122" spans="1:7" s="214" customFormat="1" ht="12" customHeight="1" x14ac:dyDescent="0.3">
      <c r="A122" s="13" t="s">
        <v>106</v>
      </c>
      <c r="B122" s="177" t="s">
        <v>225</v>
      </c>
      <c r="C122" s="172">
        <f>C123+C124+C125+C126+C127+C128+C129+C130</f>
        <v>2000</v>
      </c>
      <c r="D122" s="172">
        <f>D123+D124+D125+D126+D127+D128+D129+D130</f>
        <v>2000</v>
      </c>
      <c r="E122" s="172">
        <f>E123+E124+E125+E126+E127+E128+E129+E130</f>
        <v>2000000</v>
      </c>
      <c r="F122" s="172">
        <f>F123+F124+F125+F126+F127+F128+F129+F130</f>
        <v>2000000</v>
      </c>
      <c r="G122" s="172">
        <f>G123+G124+G125+G126+G127+G128+G129+G130</f>
        <v>2000000</v>
      </c>
    </row>
    <row r="123" spans="1:7" s="214" customFormat="1" ht="12" customHeight="1" x14ac:dyDescent="0.3">
      <c r="A123" s="13" t="s">
        <v>115</v>
      </c>
      <c r="B123" s="176" t="s">
        <v>432</v>
      </c>
      <c r="C123" s="172"/>
      <c r="D123" s="172"/>
      <c r="E123" s="172"/>
      <c r="F123" s="172"/>
      <c r="G123" s="172"/>
    </row>
    <row r="124" spans="1:7" s="214" customFormat="1" ht="12" customHeight="1" x14ac:dyDescent="0.3">
      <c r="A124" s="13" t="s">
        <v>117</v>
      </c>
      <c r="B124" s="238" t="s">
        <v>373</v>
      </c>
      <c r="C124" s="172"/>
      <c r="D124" s="172"/>
      <c r="E124" s="172"/>
      <c r="F124" s="172"/>
      <c r="G124" s="172"/>
    </row>
    <row r="125" spans="1:7" s="214" customFormat="1" ht="15.6" x14ac:dyDescent="0.3">
      <c r="A125" s="13" t="s">
        <v>182</v>
      </c>
      <c r="B125" s="71" t="s">
        <v>356</v>
      </c>
      <c r="C125" s="172"/>
      <c r="D125" s="172"/>
      <c r="E125" s="172"/>
      <c r="F125" s="172"/>
      <c r="G125" s="172"/>
    </row>
    <row r="126" spans="1:7" s="214" customFormat="1" ht="12" customHeight="1" x14ac:dyDescent="0.3">
      <c r="A126" s="13" t="s">
        <v>183</v>
      </c>
      <c r="B126" s="71" t="s">
        <v>372</v>
      </c>
      <c r="C126" s="172"/>
      <c r="D126" s="172"/>
      <c r="E126" s="172"/>
      <c r="F126" s="172"/>
      <c r="G126" s="172"/>
    </row>
    <row r="127" spans="1:7" s="214" customFormat="1" ht="12" customHeight="1" x14ac:dyDescent="0.3">
      <c r="A127" s="13" t="s">
        <v>184</v>
      </c>
      <c r="B127" s="71" t="s">
        <v>371</v>
      </c>
      <c r="C127" s="172"/>
      <c r="D127" s="172"/>
      <c r="E127" s="172"/>
      <c r="F127" s="172"/>
      <c r="G127" s="172"/>
    </row>
    <row r="128" spans="1:7" s="214" customFormat="1" ht="12" customHeight="1" x14ac:dyDescent="0.3">
      <c r="A128" s="13" t="s">
        <v>364</v>
      </c>
      <c r="B128" s="71" t="s">
        <v>359</v>
      </c>
      <c r="C128" s="172"/>
      <c r="D128" s="172"/>
      <c r="E128" s="172"/>
      <c r="F128" s="172"/>
      <c r="G128" s="172"/>
    </row>
    <row r="129" spans="1:7" s="214" customFormat="1" ht="12" customHeight="1" x14ac:dyDescent="0.3">
      <c r="A129" s="13" t="s">
        <v>365</v>
      </c>
      <c r="B129" s="71" t="s">
        <v>370</v>
      </c>
      <c r="C129" s="172"/>
      <c r="D129" s="172"/>
      <c r="E129" s="172"/>
      <c r="F129" s="172"/>
      <c r="G129" s="172"/>
    </row>
    <row r="130" spans="1:7" s="214" customFormat="1" ht="16.2" thickBot="1" x14ac:dyDescent="0.35">
      <c r="A130" s="11" t="s">
        <v>366</v>
      </c>
      <c r="B130" s="71" t="s">
        <v>369</v>
      </c>
      <c r="C130" s="173">
        <v>2000</v>
      </c>
      <c r="D130" s="173">
        <v>2000</v>
      </c>
      <c r="E130" s="173">
        <v>2000000</v>
      </c>
      <c r="F130" s="173">
        <v>2000000</v>
      </c>
      <c r="G130" s="173">
        <v>2000000</v>
      </c>
    </row>
    <row r="131" spans="1:7" s="214" customFormat="1" ht="12" customHeight="1" thickBot="1" x14ac:dyDescent="0.35">
      <c r="A131" s="18" t="s">
        <v>18</v>
      </c>
      <c r="B131" s="63" t="s">
        <v>455</v>
      </c>
      <c r="C131" s="180">
        <f>+C96+C117</f>
        <v>314569</v>
      </c>
      <c r="D131" s="180">
        <f>+D96+D117</f>
        <v>326351</v>
      </c>
      <c r="E131" s="180">
        <f>+E96+E117</f>
        <v>351883577</v>
      </c>
      <c r="F131" s="180">
        <f>+F96+F117</f>
        <v>360773196</v>
      </c>
      <c r="G131" s="180">
        <f>+G96+G117</f>
        <v>409292452</v>
      </c>
    </row>
    <row r="132" spans="1:7" s="214" customFormat="1" ht="12" customHeight="1" thickBot="1" x14ac:dyDescent="0.35">
      <c r="A132" s="18" t="s">
        <v>19</v>
      </c>
      <c r="B132" s="63" t="s">
        <v>456</v>
      </c>
      <c r="C132" s="180">
        <f>+C133+C134+C135</f>
        <v>0</v>
      </c>
      <c r="D132" s="180">
        <f>+D133+D134+D135</f>
        <v>0</v>
      </c>
      <c r="E132" s="180">
        <f>+E133+E134+E135</f>
        <v>0</v>
      </c>
      <c r="F132" s="180">
        <f>+F133+F134+F135</f>
        <v>0</v>
      </c>
      <c r="G132" s="180">
        <f>+G133+G134+G135</f>
        <v>0</v>
      </c>
    </row>
    <row r="133" spans="1:7" s="214" customFormat="1" ht="12" customHeight="1" x14ac:dyDescent="0.3">
      <c r="A133" s="13" t="s">
        <v>264</v>
      </c>
      <c r="B133" s="10" t="s">
        <v>463</v>
      </c>
      <c r="C133" s="172"/>
      <c r="D133" s="172"/>
      <c r="E133" s="172"/>
      <c r="F133" s="172"/>
      <c r="G133" s="172"/>
    </row>
    <row r="134" spans="1:7" s="214" customFormat="1" ht="12" customHeight="1" x14ac:dyDescent="0.3">
      <c r="A134" s="13" t="s">
        <v>267</v>
      </c>
      <c r="B134" s="10" t="s">
        <v>464</v>
      </c>
      <c r="C134" s="172"/>
      <c r="D134" s="172"/>
      <c r="E134" s="172"/>
      <c r="F134" s="172"/>
      <c r="G134" s="172"/>
    </row>
    <row r="135" spans="1:7" s="214" customFormat="1" ht="12" customHeight="1" thickBot="1" x14ac:dyDescent="0.35">
      <c r="A135" s="11" t="s">
        <v>268</v>
      </c>
      <c r="B135" s="10" t="s">
        <v>465</v>
      </c>
      <c r="C135" s="172"/>
      <c r="D135" s="172"/>
      <c r="E135" s="172"/>
      <c r="F135" s="172"/>
      <c r="G135" s="172"/>
    </row>
    <row r="136" spans="1:7" s="214" customFormat="1" ht="12" customHeight="1" thickBot="1" x14ac:dyDescent="0.35">
      <c r="A136" s="18" t="s">
        <v>20</v>
      </c>
      <c r="B136" s="63" t="s">
        <v>457</v>
      </c>
      <c r="C136" s="180">
        <f>SUM(C137:C142)</f>
        <v>0</v>
      </c>
      <c r="D136" s="180">
        <f>SUM(D137:D142)</f>
        <v>0</v>
      </c>
      <c r="E136" s="180">
        <f>SUM(E137:E142)</f>
        <v>0</v>
      </c>
      <c r="F136" s="180">
        <f>SUM(F137:F142)</f>
        <v>0</v>
      </c>
      <c r="G136" s="180">
        <f>SUM(G137:G142)</f>
        <v>0</v>
      </c>
    </row>
    <row r="137" spans="1:7" s="214" customFormat="1" ht="12" customHeight="1" x14ac:dyDescent="0.3">
      <c r="A137" s="13" t="s">
        <v>89</v>
      </c>
      <c r="B137" s="7" t="s">
        <v>466</v>
      </c>
      <c r="C137" s="172"/>
      <c r="D137" s="172"/>
      <c r="E137" s="172"/>
      <c r="F137" s="172"/>
      <c r="G137" s="172"/>
    </row>
    <row r="138" spans="1:7" s="214" customFormat="1" ht="12" customHeight="1" x14ac:dyDescent="0.3">
      <c r="A138" s="13" t="s">
        <v>90</v>
      </c>
      <c r="B138" s="7" t="s">
        <v>458</v>
      </c>
      <c r="C138" s="172"/>
      <c r="D138" s="172"/>
      <c r="E138" s="172"/>
      <c r="F138" s="172"/>
      <c r="G138" s="172"/>
    </row>
    <row r="139" spans="1:7" s="214" customFormat="1" ht="12" customHeight="1" x14ac:dyDescent="0.3">
      <c r="A139" s="13" t="s">
        <v>91</v>
      </c>
      <c r="B139" s="7" t="s">
        <v>459</v>
      </c>
      <c r="C139" s="172"/>
      <c r="D139" s="172"/>
      <c r="E139" s="172"/>
      <c r="F139" s="172"/>
      <c r="G139" s="172"/>
    </row>
    <row r="140" spans="1:7" s="214" customFormat="1" ht="12" customHeight="1" x14ac:dyDescent="0.3">
      <c r="A140" s="13" t="s">
        <v>169</v>
      </c>
      <c r="B140" s="7" t="s">
        <v>460</v>
      </c>
      <c r="C140" s="172"/>
      <c r="D140" s="172"/>
      <c r="E140" s="172"/>
      <c r="F140" s="172"/>
      <c r="G140" s="172"/>
    </row>
    <row r="141" spans="1:7" s="214" customFormat="1" ht="12" customHeight="1" x14ac:dyDescent="0.3">
      <c r="A141" s="13" t="s">
        <v>170</v>
      </c>
      <c r="B141" s="7" t="s">
        <v>461</v>
      </c>
      <c r="C141" s="172"/>
      <c r="D141" s="172"/>
      <c r="E141" s="172"/>
      <c r="F141" s="172"/>
      <c r="G141" s="172"/>
    </row>
    <row r="142" spans="1:7" s="214" customFormat="1" ht="12" customHeight="1" thickBot="1" x14ac:dyDescent="0.35">
      <c r="A142" s="11" t="s">
        <v>171</v>
      </c>
      <c r="B142" s="7" t="s">
        <v>462</v>
      </c>
      <c r="C142" s="172"/>
      <c r="D142" s="172"/>
      <c r="E142" s="172"/>
      <c r="F142" s="172"/>
      <c r="G142" s="172"/>
    </row>
    <row r="143" spans="1:7" s="214" customFormat="1" ht="12" customHeight="1" thickBot="1" x14ac:dyDescent="0.35">
      <c r="A143" s="18" t="s">
        <v>21</v>
      </c>
      <c r="B143" s="63" t="s">
        <v>470</v>
      </c>
      <c r="C143" s="186">
        <f>+C144+C145+C146+C147</f>
        <v>8111</v>
      </c>
      <c r="D143" s="186">
        <f>+D144+D145+D146+D147</f>
        <v>8111</v>
      </c>
      <c r="E143" s="186">
        <f>+E144+E145+E146+E147</f>
        <v>8111444</v>
      </c>
      <c r="F143" s="186">
        <f>+F144+F145+F146+F147</f>
        <v>8111444</v>
      </c>
      <c r="G143" s="186">
        <f>+G144+G145+G146+G147</f>
        <v>8111444</v>
      </c>
    </row>
    <row r="144" spans="1:7" s="214" customFormat="1" ht="12" customHeight="1" x14ac:dyDescent="0.3">
      <c r="A144" s="13" t="s">
        <v>92</v>
      </c>
      <c r="B144" s="7" t="s">
        <v>374</v>
      </c>
      <c r="C144" s="172"/>
      <c r="D144" s="172"/>
      <c r="E144" s="172"/>
      <c r="F144" s="172"/>
      <c r="G144" s="172"/>
    </row>
    <row r="145" spans="1:7" s="214" customFormat="1" ht="12" customHeight="1" x14ac:dyDescent="0.3">
      <c r="A145" s="13" t="s">
        <v>93</v>
      </c>
      <c r="B145" s="7" t="s">
        <v>375</v>
      </c>
      <c r="C145" s="172">
        <v>8111</v>
      </c>
      <c r="D145" s="172">
        <v>8111</v>
      </c>
      <c r="E145" s="172">
        <v>8111444</v>
      </c>
      <c r="F145" s="172">
        <v>8111444</v>
      </c>
      <c r="G145" s="172">
        <v>8111444</v>
      </c>
    </row>
    <row r="146" spans="1:7" s="214" customFormat="1" ht="12" customHeight="1" x14ac:dyDescent="0.3">
      <c r="A146" s="13" t="s">
        <v>288</v>
      </c>
      <c r="B146" s="7" t="s">
        <v>471</v>
      </c>
      <c r="C146" s="172"/>
      <c r="D146" s="172"/>
      <c r="E146" s="172"/>
      <c r="F146" s="172"/>
      <c r="G146" s="172"/>
    </row>
    <row r="147" spans="1:7" s="214" customFormat="1" ht="12" customHeight="1" thickBot="1" x14ac:dyDescent="0.35">
      <c r="A147" s="11" t="s">
        <v>289</v>
      </c>
      <c r="B147" s="5" t="s">
        <v>394</v>
      </c>
      <c r="C147" s="172"/>
      <c r="D147" s="172"/>
      <c r="E147" s="172"/>
      <c r="F147" s="172"/>
      <c r="G147" s="172"/>
    </row>
    <row r="148" spans="1:7" s="214" customFormat="1" ht="12" customHeight="1" thickBot="1" x14ac:dyDescent="0.35">
      <c r="A148" s="18" t="s">
        <v>22</v>
      </c>
      <c r="B148" s="63" t="s">
        <v>472</v>
      </c>
      <c r="C148" s="189">
        <f>SUM(C149:C153)</f>
        <v>0</v>
      </c>
      <c r="D148" s="189">
        <f>SUM(D149:D153)</f>
        <v>0</v>
      </c>
      <c r="E148" s="189">
        <f>SUM(E149:E153)</f>
        <v>0</v>
      </c>
      <c r="F148" s="189">
        <f>SUM(F149:F153)</f>
        <v>0</v>
      </c>
      <c r="G148" s="189">
        <f>SUM(G149:G153)</f>
        <v>0</v>
      </c>
    </row>
    <row r="149" spans="1:7" s="214" customFormat="1" ht="12" customHeight="1" x14ac:dyDescent="0.3">
      <c r="A149" s="13" t="s">
        <v>94</v>
      </c>
      <c r="B149" s="7" t="s">
        <v>467</v>
      </c>
      <c r="C149" s="172"/>
      <c r="D149" s="172"/>
      <c r="E149" s="172"/>
      <c r="F149" s="172"/>
      <c r="G149" s="172"/>
    </row>
    <row r="150" spans="1:7" s="214" customFormat="1" ht="12" customHeight="1" x14ac:dyDescent="0.3">
      <c r="A150" s="13" t="s">
        <v>95</v>
      </c>
      <c r="B150" s="7" t="s">
        <v>474</v>
      </c>
      <c r="C150" s="172"/>
      <c r="D150" s="172"/>
      <c r="E150" s="172"/>
      <c r="F150" s="172"/>
      <c r="G150" s="172"/>
    </row>
    <row r="151" spans="1:7" s="214" customFormat="1" ht="12" customHeight="1" x14ac:dyDescent="0.3">
      <c r="A151" s="13" t="s">
        <v>300</v>
      </c>
      <c r="B151" s="7" t="s">
        <v>469</v>
      </c>
      <c r="C151" s="172"/>
      <c r="D151" s="172"/>
      <c r="E151" s="172"/>
      <c r="F151" s="172"/>
      <c r="G151" s="172"/>
    </row>
    <row r="152" spans="1:7" s="214" customFormat="1" ht="12" customHeight="1" x14ac:dyDescent="0.3">
      <c r="A152" s="13" t="s">
        <v>301</v>
      </c>
      <c r="B152" s="7" t="s">
        <v>475</v>
      </c>
      <c r="C152" s="172"/>
      <c r="D152" s="172"/>
      <c r="E152" s="172"/>
      <c r="F152" s="172"/>
      <c r="G152" s="172"/>
    </row>
    <row r="153" spans="1:7" s="214" customFormat="1" ht="12" customHeight="1" thickBot="1" x14ac:dyDescent="0.35">
      <c r="A153" s="13" t="s">
        <v>473</v>
      </c>
      <c r="B153" s="7" t="s">
        <v>476</v>
      </c>
      <c r="C153" s="172"/>
      <c r="D153" s="172"/>
      <c r="E153" s="172"/>
      <c r="F153" s="172"/>
      <c r="G153" s="172"/>
    </row>
    <row r="154" spans="1:7" s="214" customFormat="1" ht="12" customHeight="1" thickBot="1" x14ac:dyDescent="0.35">
      <c r="A154" s="18" t="s">
        <v>23</v>
      </c>
      <c r="B154" s="63" t="s">
        <v>477</v>
      </c>
      <c r="C154" s="277"/>
      <c r="D154" s="277"/>
      <c r="E154" s="277"/>
      <c r="F154" s="277"/>
      <c r="G154" s="277"/>
    </row>
    <row r="155" spans="1:7" s="214" customFormat="1" ht="12" customHeight="1" thickBot="1" x14ac:dyDescent="0.35">
      <c r="A155" s="18" t="s">
        <v>24</v>
      </c>
      <c r="B155" s="63" t="s">
        <v>553</v>
      </c>
      <c r="C155" s="277">
        <v>152892</v>
      </c>
      <c r="D155" s="277">
        <f>152892-461</f>
        <v>152431</v>
      </c>
      <c r="E155" s="277">
        <f>152431000+8763+89154+14605+125673+4315355-52-2428907</f>
        <v>154555591</v>
      </c>
      <c r="F155" s="277">
        <f>152431000+8763+89154+14605+125673+4315355-52-2428907</f>
        <v>154555591</v>
      </c>
      <c r="G155" s="277">
        <f>152431000+8763+89154+14605+125673+4315355-52-2428907-48289</f>
        <v>154507302</v>
      </c>
    </row>
    <row r="156" spans="1:7" s="214" customFormat="1" ht="15" customHeight="1" thickBot="1" x14ac:dyDescent="0.35">
      <c r="A156" s="18" t="s">
        <v>25</v>
      </c>
      <c r="B156" s="63" t="s">
        <v>480</v>
      </c>
      <c r="C156" s="250">
        <f>+C132+C136+C143+C148+C154+C155</f>
        <v>161003</v>
      </c>
      <c r="D156" s="250">
        <f>+D132+D136+D143+D148+D154+D155</f>
        <v>160542</v>
      </c>
      <c r="E156" s="250">
        <f>+E132+E136+E143+E148+E154+E155</f>
        <v>162667035</v>
      </c>
      <c r="F156" s="250">
        <f>+F132+F136+F143+F148+F154+F155</f>
        <v>162667035</v>
      </c>
      <c r="G156" s="250">
        <f>+G132+G136+G143+G148+G154+G155</f>
        <v>162618746</v>
      </c>
    </row>
    <row r="157" spans="1:7" s="240" customFormat="1" ht="12.9" customHeight="1" thickBot="1" x14ac:dyDescent="0.3">
      <c r="A157" s="178" t="s">
        <v>26</v>
      </c>
      <c r="B157" s="213" t="s">
        <v>479</v>
      </c>
      <c r="C157" s="250">
        <f>+C131+C156</f>
        <v>475572</v>
      </c>
      <c r="D157" s="250">
        <f>+D131+D156</f>
        <v>486893</v>
      </c>
      <c r="E157" s="250">
        <f>+E131+E156</f>
        <v>514550612</v>
      </c>
      <c r="F157" s="250">
        <f>+F131+F156</f>
        <v>523440231</v>
      </c>
      <c r="G157" s="250">
        <f>+G131+G156</f>
        <v>571911198</v>
      </c>
    </row>
  </sheetData>
  <sheetProtection formatCells="0"/>
  <mergeCells count="2">
    <mergeCell ref="A92:B92"/>
    <mergeCell ref="A93:B93"/>
  </mergeCells>
  <phoneticPr fontId="2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verticalDpi="300" r:id="rId1"/>
  <headerFooter alignWithMargins="0"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20"/>
  </sheetPr>
  <dimension ref="A1:G157"/>
  <sheetViews>
    <sheetView zoomScaleNormal="100" zoomScaleSheetLayoutView="85" workbookViewId="0">
      <selection activeCell="J12" sqref="J12"/>
    </sheetView>
  </sheetViews>
  <sheetFormatPr defaultColWidth="9.33203125" defaultRowHeight="13.2" x14ac:dyDescent="0.25"/>
  <cols>
    <col min="1" max="1" width="19.44140625" style="570" customWidth="1"/>
    <col min="2" max="2" width="65.77734375" style="542" customWidth="1"/>
    <col min="3" max="3" width="21.33203125" style="571" customWidth="1"/>
    <col min="4" max="4" width="22.109375" style="571" customWidth="1"/>
    <col min="5" max="5" width="22" style="571" customWidth="1"/>
    <col min="6" max="6" width="21.44140625" style="571" customWidth="1"/>
    <col min="7" max="7" width="21.77734375" style="571" customWidth="1"/>
    <col min="8" max="16384" width="9.33203125" style="573"/>
  </cols>
  <sheetData>
    <row r="1" spans="1:7" s="2" customFormat="1" ht="16.5" customHeight="1" thickBot="1" x14ac:dyDescent="0.3">
      <c r="A1" s="142"/>
      <c r="B1" s="143"/>
      <c r="C1" s="297" t="s">
        <v>712</v>
      </c>
      <c r="D1" s="519"/>
      <c r="E1" s="519"/>
      <c r="F1" s="519"/>
      <c r="G1" s="519"/>
    </row>
    <row r="2" spans="1:7" s="53" customFormat="1" ht="21" customHeight="1" x14ac:dyDescent="0.25">
      <c r="A2" s="232" t="s">
        <v>59</v>
      </c>
      <c r="B2" s="200" t="s">
        <v>547</v>
      </c>
      <c r="C2" s="202" t="s">
        <v>51</v>
      </c>
      <c r="D2" s="202" t="s">
        <v>51</v>
      </c>
      <c r="E2" s="202" t="s">
        <v>51</v>
      </c>
      <c r="F2" s="202" t="s">
        <v>51</v>
      </c>
      <c r="G2" s="202" t="s">
        <v>51</v>
      </c>
    </row>
    <row r="3" spans="1:7" s="53" customFormat="1" ht="16.2" thickBot="1" x14ac:dyDescent="0.3">
      <c r="A3" s="144" t="s">
        <v>196</v>
      </c>
      <c r="B3" s="201" t="s">
        <v>434</v>
      </c>
      <c r="C3" s="279" t="s">
        <v>58</v>
      </c>
      <c r="D3" s="279" t="s">
        <v>58</v>
      </c>
      <c r="E3" s="279" t="s">
        <v>58</v>
      </c>
      <c r="F3" s="279" t="s">
        <v>58</v>
      </c>
      <c r="G3" s="279" t="s">
        <v>58</v>
      </c>
    </row>
    <row r="4" spans="1:7" s="54" customFormat="1" ht="15.9" customHeight="1" thickBot="1" x14ac:dyDescent="0.35">
      <c r="A4" s="145"/>
      <c r="B4" s="145"/>
      <c r="C4" s="146"/>
      <c r="D4" s="146"/>
      <c r="E4" s="146"/>
      <c r="F4" s="146"/>
      <c r="G4" s="146"/>
    </row>
    <row r="5" spans="1:7" ht="13.8" thickBot="1" x14ac:dyDescent="0.3">
      <c r="A5" s="233" t="s">
        <v>198</v>
      </c>
      <c r="B5" s="147" t="s">
        <v>53</v>
      </c>
      <c r="C5" s="203" t="s">
        <v>606</v>
      </c>
      <c r="D5" s="203" t="s">
        <v>606</v>
      </c>
      <c r="E5" s="203" t="s">
        <v>615</v>
      </c>
      <c r="F5" s="203" t="s">
        <v>615</v>
      </c>
      <c r="G5" s="203" t="s">
        <v>615</v>
      </c>
    </row>
    <row r="6" spans="1:7" s="214" customFormat="1" ht="38.1" customHeight="1" thickBot="1" x14ac:dyDescent="0.35">
      <c r="A6" s="21" t="s">
        <v>67</v>
      </c>
      <c r="B6" s="22" t="s">
        <v>15</v>
      </c>
      <c r="C6" s="30" t="s">
        <v>638</v>
      </c>
      <c r="D6" s="30" t="s">
        <v>681</v>
      </c>
      <c r="E6" s="30" t="s">
        <v>699</v>
      </c>
      <c r="F6" s="30" t="s">
        <v>710</v>
      </c>
      <c r="G6" s="30" t="s">
        <v>723</v>
      </c>
    </row>
    <row r="7" spans="1:7" s="239" customFormat="1" ht="12" customHeight="1" thickBot="1" x14ac:dyDescent="0.25">
      <c r="A7" s="234" t="s">
        <v>494</v>
      </c>
      <c r="B7" s="235" t="s">
        <v>495</v>
      </c>
      <c r="C7" s="236" t="s">
        <v>496</v>
      </c>
      <c r="D7" s="236" t="s">
        <v>496</v>
      </c>
      <c r="E7" s="236" t="s">
        <v>496</v>
      </c>
      <c r="F7" s="236" t="s">
        <v>496</v>
      </c>
      <c r="G7" s="236" t="s">
        <v>496</v>
      </c>
    </row>
    <row r="8" spans="1:7" s="240" customFormat="1" ht="12" customHeight="1" thickBot="1" x14ac:dyDescent="0.3">
      <c r="A8" s="18" t="s">
        <v>16</v>
      </c>
      <c r="B8" s="19" t="s">
        <v>248</v>
      </c>
      <c r="C8" s="180">
        <f>+C9+C10+C11+C12+C13+C14</f>
        <v>0</v>
      </c>
      <c r="D8" s="180">
        <f>+D9+D10+D11+D12+D13+D14</f>
        <v>0</v>
      </c>
      <c r="E8" s="180">
        <f>+E9+E10+E11+E12+E13+E14</f>
        <v>0</v>
      </c>
      <c r="F8" s="180">
        <f>+F9+F10+F11+F12+F13+F14</f>
        <v>0</v>
      </c>
      <c r="G8" s="180">
        <f>+G9+G10+G11+G12+G13+G14</f>
        <v>0</v>
      </c>
    </row>
    <row r="9" spans="1:7" s="240" customFormat="1" ht="12" customHeight="1" x14ac:dyDescent="0.25">
      <c r="A9" s="13" t="s">
        <v>96</v>
      </c>
      <c r="B9" s="241" t="s">
        <v>249</v>
      </c>
      <c r="C9" s="183"/>
      <c r="D9" s="183"/>
      <c r="E9" s="183"/>
      <c r="F9" s="183"/>
      <c r="G9" s="183"/>
    </row>
    <row r="10" spans="1:7" s="240" customFormat="1" ht="12" customHeight="1" x14ac:dyDescent="0.25">
      <c r="A10" s="12" t="s">
        <v>97</v>
      </c>
      <c r="B10" s="242" t="s">
        <v>250</v>
      </c>
      <c r="C10" s="182"/>
      <c r="D10" s="182"/>
      <c r="E10" s="182"/>
      <c r="F10" s="182"/>
      <c r="G10" s="182"/>
    </row>
    <row r="11" spans="1:7" s="240" customFormat="1" ht="12" customHeight="1" x14ac:dyDescent="0.25">
      <c r="A11" s="12" t="s">
        <v>98</v>
      </c>
      <c r="B11" s="242" t="s">
        <v>251</v>
      </c>
      <c r="C11" s="182"/>
      <c r="D11" s="182"/>
      <c r="E11" s="182"/>
      <c r="F11" s="182"/>
      <c r="G11" s="182"/>
    </row>
    <row r="12" spans="1:7" s="240" customFormat="1" ht="12" customHeight="1" x14ac:dyDescent="0.25">
      <c r="A12" s="12" t="s">
        <v>99</v>
      </c>
      <c r="B12" s="242" t="s">
        <v>252</v>
      </c>
      <c r="C12" s="182"/>
      <c r="D12" s="182"/>
      <c r="E12" s="182"/>
      <c r="F12" s="182"/>
      <c r="G12" s="182"/>
    </row>
    <row r="13" spans="1:7" s="240" customFormat="1" ht="12" customHeight="1" x14ac:dyDescent="0.25">
      <c r="A13" s="12" t="s">
        <v>144</v>
      </c>
      <c r="B13" s="176" t="s">
        <v>436</v>
      </c>
      <c r="C13" s="182"/>
      <c r="D13" s="182"/>
      <c r="E13" s="182"/>
      <c r="F13" s="182"/>
      <c r="G13" s="182"/>
    </row>
    <row r="14" spans="1:7" s="240" customFormat="1" ht="12" customHeight="1" thickBot="1" x14ac:dyDescent="0.3">
      <c r="A14" s="14" t="s">
        <v>100</v>
      </c>
      <c r="B14" s="177" t="s">
        <v>437</v>
      </c>
      <c r="C14" s="182"/>
      <c r="D14" s="182"/>
      <c r="E14" s="182"/>
      <c r="F14" s="182"/>
      <c r="G14" s="182"/>
    </row>
    <row r="15" spans="1:7" s="240" customFormat="1" ht="12" customHeight="1" thickBot="1" x14ac:dyDescent="0.3">
      <c r="A15" s="18" t="s">
        <v>17</v>
      </c>
      <c r="B15" s="175" t="s">
        <v>253</v>
      </c>
      <c r="C15" s="180">
        <f>+C16+C17+C18+C19+C20</f>
        <v>1246</v>
      </c>
      <c r="D15" s="180">
        <f>+D16+D17+D18+D19+D20</f>
        <v>1246</v>
      </c>
      <c r="E15" s="180">
        <f>+E16+E17+E18+E19+E20</f>
        <v>1245840</v>
      </c>
      <c r="F15" s="180">
        <f>+F16+F17+F18+F19+F20</f>
        <v>1728584</v>
      </c>
      <c r="G15" s="180">
        <f>+G16+G17+G18+G19+G20</f>
        <v>1728584</v>
      </c>
    </row>
    <row r="16" spans="1:7" s="240" customFormat="1" ht="12" customHeight="1" x14ac:dyDescent="0.25">
      <c r="A16" s="13" t="s">
        <v>102</v>
      </c>
      <c r="B16" s="241" t="s">
        <v>254</v>
      </c>
      <c r="C16" s="183"/>
      <c r="D16" s="183"/>
      <c r="E16" s="183"/>
      <c r="F16" s="183"/>
      <c r="G16" s="183"/>
    </row>
    <row r="17" spans="1:7" s="240" customFormat="1" ht="12" customHeight="1" x14ac:dyDescent="0.25">
      <c r="A17" s="12" t="s">
        <v>103</v>
      </c>
      <c r="B17" s="242" t="s">
        <v>255</v>
      </c>
      <c r="C17" s="182"/>
      <c r="D17" s="182"/>
      <c r="E17" s="182"/>
      <c r="F17" s="182"/>
      <c r="G17" s="182"/>
    </row>
    <row r="18" spans="1:7" s="240" customFormat="1" ht="12" customHeight="1" x14ac:dyDescent="0.25">
      <c r="A18" s="12" t="s">
        <v>104</v>
      </c>
      <c r="B18" s="242" t="s">
        <v>426</v>
      </c>
      <c r="C18" s="182"/>
      <c r="D18" s="182"/>
      <c r="E18" s="182"/>
      <c r="F18" s="182"/>
      <c r="G18" s="182"/>
    </row>
    <row r="19" spans="1:7" s="240" customFormat="1" ht="12" customHeight="1" x14ac:dyDescent="0.25">
      <c r="A19" s="12" t="s">
        <v>105</v>
      </c>
      <c r="B19" s="242" t="s">
        <v>427</v>
      </c>
      <c r="C19" s="182"/>
      <c r="D19" s="182"/>
      <c r="E19" s="182"/>
      <c r="F19" s="182"/>
      <c r="G19" s="182"/>
    </row>
    <row r="20" spans="1:7" s="240" customFormat="1" ht="12" customHeight="1" x14ac:dyDescent="0.25">
      <c r="A20" s="12" t="s">
        <v>106</v>
      </c>
      <c r="B20" s="242" t="s">
        <v>256</v>
      </c>
      <c r="C20" s="182">
        <v>1246</v>
      </c>
      <c r="D20" s="182">
        <v>1246</v>
      </c>
      <c r="E20" s="182">
        <f>835200+410640</f>
        <v>1245840</v>
      </c>
      <c r="F20" s="182">
        <f>835200+410640+482744</f>
        <v>1728584</v>
      </c>
      <c r="G20" s="182">
        <f>835200+410640+482744</f>
        <v>1728584</v>
      </c>
    </row>
    <row r="21" spans="1:7" s="240" customFormat="1" ht="12" customHeight="1" thickBot="1" x14ac:dyDescent="0.3">
      <c r="A21" s="14" t="s">
        <v>115</v>
      </c>
      <c r="B21" s="177" t="s">
        <v>257</v>
      </c>
      <c r="C21" s="184"/>
      <c r="D21" s="184"/>
      <c r="E21" s="184"/>
      <c r="F21" s="184"/>
      <c r="G21" s="184"/>
    </row>
    <row r="22" spans="1:7" s="240" customFormat="1" ht="12" customHeight="1" thickBot="1" x14ac:dyDescent="0.3">
      <c r="A22" s="18" t="s">
        <v>18</v>
      </c>
      <c r="B22" s="19" t="s">
        <v>258</v>
      </c>
      <c r="C22" s="180">
        <f>+C23+C24+C25+C26+C27</f>
        <v>0</v>
      </c>
      <c r="D22" s="180">
        <f>+D23+D24+D25+D26+D27</f>
        <v>0</v>
      </c>
      <c r="E22" s="180">
        <f>+E23+E24+E25+E26+E27</f>
        <v>0</v>
      </c>
      <c r="F22" s="180">
        <f>+F23+F24+F25+F26+F27</f>
        <v>0</v>
      </c>
      <c r="G22" s="180">
        <f>+G23+G24+G25+G26+G27</f>
        <v>0</v>
      </c>
    </row>
    <row r="23" spans="1:7" s="240" customFormat="1" ht="12" customHeight="1" x14ac:dyDescent="0.25">
      <c r="A23" s="13" t="s">
        <v>85</v>
      </c>
      <c r="B23" s="241" t="s">
        <v>259</v>
      </c>
      <c r="C23" s="183"/>
      <c r="D23" s="183"/>
      <c r="E23" s="183"/>
      <c r="F23" s="183"/>
      <c r="G23" s="183"/>
    </row>
    <row r="24" spans="1:7" s="240" customFormat="1" ht="12" customHeight="1" x14ac:dyDescent="0.25">
      <c r="A24" s="12" t="s">
        <v>86</v>
      </c>
      <c r="B24" s="242" t="s">
        <v>260</v>
      </c>
      <c r="C24" s="182"/>
      <c r="D24" s="182"/>
      <c r="E24" s="182"/>
      <c r="F24" s="182"/>
      <c r="G24" s="182"/>
    </row>
    <row r="25" spans="1:7" s="240" customFormat="1" ht="12" customHeight="1" x14ac:dyDescent="0.25">
      <c r="A25" s="12" t="s">
        <v>87</v>
      </c>
      <c r="B25" s="242" t="s">
        <v>428</v>
      </c>
      <c r="C25" s="182"/>
      <c r="D25" s="182"/>
      <c r="E25" s="182"/>
      <c r="F25" s="182"/>
      <c r="G25" s="182"/>
    </row>
    <row r="26" spans="1:7" s="240" customFormat="1" ht="12" customHeight="1" x14ac:dyDescent="0.25">
      <c r="A26" s="12" t="s">
        <v>88</v>
      </c>
      <c r="B26" s="242" t="s">
        <v>429</v>
      </c>
      <c r="C26" s="182"/>
      <c r="D26" s="182"/>
      <c r="E26" s="182"/>
      <c r="F26" s="182"/>
      <c r="G26" s="182"/>
    </row>
    <row r="27" spans="1:7" s="240" customFormat="1" ht="12" customHeight="1" x14ac:dyDescent="0.25">
      <c r="A27" s="12" t="s">
        <v>165</v>
      </c>
      <c r="B27" s="242" t="s">
        <v>261</v>
      </c>
      <c r="C27" s="182"/>
      <c r="D27" s="182"/>
      <c r="E27" s="182"/>
      <c r="F27" s="182"/>
      <c r="G27" s="182"/>
    </row>
    <row r="28" spans="1:7" s="240" customFormat="1" ht="12" customHeight="1" thickBot="1" x14ac:dyDescent="0.3">
      <c r="A28" s="14" t="s">
        <v>166</v>
      </c>
      <c r="B28" s="243" t="s">
        <v>262</v>
      </c>
      <c r="C28" s="184"/>
      <c r="D28" s="184"/>
      <c r="E28" s="184"/>
      <c r="F28" s="184"/>
      <c r="G28" s="184"/>
    </row>
    <row r="29" spans="1:7" s="240" customFormat="1" ht="12" customHeight="1" thickBot="1" x14ac:dyDescent="0.3">
      <c r="A29" s="18" t="s">
        <v>167</v>
      </c>
      <c r="B29" s="19" t="s">
        <v>263</v>
      </c>
      <c r="C29" s="186">
        <f>+C30+C34+C35+C36</f>
        <v>87856</v>
      </c>
      <c r="D29" s="186">
        <f>+D30+D34+D35+D36</f>
        <v>97072</v>
      </c>
      <c r="E29" s="186">
        <f>+E30+E34+E35+E36</f>
        <v>86042816</v>
      </c>
      <c r="F29" s="186">
        <f>+F30+F34+F35+F36</f>
        <v>89632458</v>
      </c>
      <c r="G29" s="186">
        <f>+G30+G34+G35+G36</f>
        <v>106668155</v>
      </c>
    </row>
    <row r="30" spans="1:7" s="240" customFormat="1" ht="12" customHeight="1" x14ac:dyDescent="0.25">
      <c r="A30" s="13" t="s">
        <v>264</v>
      </c>
      <c r="B30" s="241" t="s">
        <v>443</v>
      </c>
      <c r="C30" s="237">
        <f>82504+5000+352</f>
        <v>87856</v>
      </c>
      <c r="D30" s="237">
        <f>82504+5000+352+9411-5000+5001-180-16</f>
        <v>97072</v>
      </c>
      <c r="E30" s="237">
        <f>87445725-27000000-717759-707187-284480+2428907-2050000-72390</f>
        <v>59042816</v>
      </c>
      <c r="F30" s="237">
        <f>59042816-100000-598170-89726-284925-3198+64140+114000-495500-3307500-3150000+1373593+2812727-74627+655828+4950000-762000</f>
        <v>60147458</v>
      </c>
      <c r="G30" s="237">
        <f>59042816-100000-598170-89726-284925-3198+64140+114000-495500-3307500-3150000+1373593+2812727-74627+655828+4950000-762000+3812000+480000-7899583+19200280</f>
        <v>75740155</v>
      </c>
    </row>
    <row r="31" spans="1:7" s="240" customFormat="1" ht="12" customHeight="1" x14ac:dyDescent="0.25">
      <c r="A31" s="12" t="s">
        <v>265</v>
      </c>
      <c r="B31" s="242" t="s">
        <v>270</v>
      </c>
      <c r="C31" s="182"/>
      <c r="D31" s="182"/>
      <c r="E31" s="182"/>
      <c r="F31" s="182"/>
      <c r="G31" s="182"/>
    </row>
    <row r="32" spans="1:7" s="240" customFormat="1" ht="12" customHeight="1" x14ac:dyDescent="0.25">
      <c r="A32" s="12" t="s">
        <v>266</v>
      </c>
      <c r="B32" s="242" t="s">
        <v>271</v>
      </c>
      <c r="C32" s="182"/>
      <c r="D32" s="182"/>
      <c r="E32" s="182"/>
      <c r="F32" s="182"/>
      <c r="G32" s="182"/>
    </row>
    <row r="33" spans="1:7" s="240" customFormat="1" ht="12" customHeight="1" x14ac:dyDescent="0.25">
      <c r="A33" s="12" t="s">
        <v>441</v>
      </c>
      <c r="B33" s="271" t="s">
        <v>442</v>
      </c>
      <c r="C33" s="182"/>
      <c r="D33" s="182"/>
      <c r="E33" s="182"/>
      <c r="F33" s="182"/>
      <c r="G33" s="182"/>
    </row>
    <row r="34" spans="1:7" s="240" customFormat="1" ht="12" customHeight="1" x14ac:dyDescent="0.25">
      <c r="A34" s="12" t="s">
        <v>267</v>
      </c>
      <c r="B34" s="242" t="s">
        <v>272</v>
      </c>
      <c r="C34" s="182"/>
      <c r="D34" s="182"/>
      <c r="E34" s="182"/>
      <c r="F34" s="182">
        <v>910000</v>
      </c>
      <c r="G34" s="182">
        <f>910000+126000</f>
        <v>1036000</v>
      </c>
    </row>
    <row r="35" spans="1:7" s="240" customFormat="1" ht="12" customHeight="1" x14ac:dyDescent="0.25">
      <c r="A35" s="12" t="s">
        <v>268</v>
      </c>
      <c r="B35" s="242" t="s">
        <v>597</v>
      </c>
      <c r="C35" s="182"/>
      <c r="D35" s="182"/>
      <c r="E35" s="182">
        <v>27000000</v>
      </c>
      <c r="F35" s="182">
        <f>27000000+1460000</f>
        <v>28460000</v>
      </c>
      <c r="G35" s="182">
        <f>27000000+1460000+1317000</f>
        <v>29777000</v>
      </c>
    </row>
    <row r="36" spans="1:7" s="240" customFormat="1" ht="12" customHeight="1" thickBot="1" x14ac:dyDescent="0.3">
      <c r="A36" s="14" t="s">
        <v>269</v>
      </c>
      <c r="B36" s="243" t="s">
        <v>274</v>
      </c>
      <c r="C36" s="184"/>
      <c r="D36" s="184"/>
      <c r="E36" s="184"/>
      <c r="F36" s="184">
        <v>115000</v>
      </c>
      <c r="G36" s="184">
        <v>115000</v>
      </c>
    </row>
    <row r="37" spans="1:7" s="240" customFormat="1" ht="12" customHeight="1" thickBot="1" x14ac:dyDescent="0.3">
      <c r="A37" s="18" t="s">
        <v>20</v>
      </c>
      <c r="B37" s="19" t="s">
        <v>438</v>
      </c>
      <c r="C37" s="180">
        <f>SUM(C38:C48)</f>
        <v>98327.88</v>
      </c>
      <c r="D37" s="180">
        <f>SUM(D38:D48)</f>
        <v>100646</v>
      </c>
      <c r="E37" s="180">
        <f>SUM(E38:E48)</f>
        <v>113512482</v>
      </c>
      <c r="F37" s="180">
        <f>SUM(F38:F48)</f>
        <v>123342002</v>
      </c>
      <c r="G37" s="180">
        <f>SUM(G38:G48)</f>
        <v>125506585</v>
      </c>
    </row>
    <row r="38" spans="1:7" s="240" customFormat="1" ht="12" customHeight="1" x14ac:dyDescent="0.25">
      <c r="A38" s="13" t="s">
        <v>89</v>
      </c>
      <c r="B38" s="241" t="s">
        <v>277</v>
      </c>
      <c r="C38" s="183"/>
      <c r="D38" s="183"/>
      <c r="E38" s="183"/>
      <c r="F38" s="183"/>
      <c r="G38" s="183">
        <v>72900</v>
      </c>
    </row>
    <row r="39" spans="1:7" s="240" customFormat="1" ht="12" customHeight="1" x14ac:dyDescent="0.25">
      <c r="A39" s="12" t="s">
        <v>90</v>
      </c>
      <c r="B39" s="242" t="s">
        <v>278</v>
      </c>
      <c r="C39" s="182">
        <v>76644</v>
      </c>
      <c r="D39" s="182">
        <f>76644</f>
        <v>76644</v>
      </c>
      <c r="E39" s="182">
        <f>76644340+10000000+130708</f>
        <v>86775048</v>
      </c>
      <c r="F39" s="182">
        <f>86775048+100000+360000+299528+6600000</f>
        <v>94134576</v>
      </c>
      <c r="G39" s="182">
        <f>86775048+100000+360000+299528+6600000+1197000</f>
        <v>95331576</v>
      </c>
    </row>
    <row r="40" spans="1:7" s="240" customFormat="1" ht="12" customHeight="1" x14ac:dyDescent="0.25">
      <c r="A40" s="12" t="s">
        <v>91</v>
      </c>
      <c r="B40" s="242" t="s">
        <v>279</v>
      </c>
      <c r="C40" s="182">
        <v>1200</v>
      </c>
      <c r="D40" s="182">
        <f>1200+1800</f>
        <v>3000</v>
      </c>
      <c r="E40" s="182">
        <v>3000000</v>
      </c>
      <c r="F40" s="182">
        <f>3000000+470000</f>
        <v>3470000</v>
      </c>
      <c r="G40" s="182">
        <f>3000000+470000+200000</f>
        <v>3670000</v>
      </c>
    </row>
    <row r="41" spans="1:7" s="240" customFormat="1" ht="12" customHeight="1" x14ac:dyDescent="0.25">
      <c r="A41" s="12" t="s">
        <v>169</v>
      </c>
      <c r="B41" s="242" t="s">
        <v>280</v>
      </c>
      <c r="C41" s="182"/>
      <c r="D41" s="182"/>
      <c r="E41" s="182"/>
      <c r="F41" s="182"/>
      <c r="G41" s="182"/>
    </row>
    <row r="42" spans="1:7" s="240" customFormat="1" ht="12" customHeight="1" x14ac:dyDescent="0.25">
      <c r="A42" s="12" t="s">
        <v>170</v>
      </c>
      <c r="B42" s="242" t="s">
        <v>281</v>
      </c>
      <c r="C42" s="182"/>
      <c r="D42" s="182"/>
      <c r="E42" s="182"/>
      <c r="F42" s="182"/>
      <c r="G42" s="182"/>
    </row>
    <row r="43" spans="1:7" s="240" customFormat="1" ht="12" customHeight="1" x14ac:dyDescent="0.25">
      <c r="A43" s="12" t="s">
        <v>171</v>
      </c>
      <c r="B43" s="242" t="s">
        <v>282</v>
      </c>
      <c r="C43" s="182">
        <f>(76644+1200)*0.27-584</f>
        <v>20433.88</v>
      </c>
      <c r="D43" s="182">
        <f>20434+486</f>
        <v>20920</v>
      </c>
      <c r="E43" s="182">
        <f>20920502+2700000+35292-360</f>
        <v>23655434</v>
      </c>
      <c r="F43" s="182">
        <f>23655434+27000+97200+80872+1760000</f>
        <v>25620506</v>
      </c>
      <c r="G43" s="182">
        <f>23655434+27000+97200+80872+1760000+19683+675000</f>
        <v>26315189</v>
      </c>
    </row>
    <row r="44" spans="1:7" s="240" customFormat="1" ht="12" customHeight="1" x14ac:dyDescent="0.25">
      <c r="A44" s="12" t="s">
        <v>172</v>
      </c>
      <c r="B44" s="242" t="s">
        <v>283</v>
      </c>
      <c r="C44" s="182"/>
      <c r="D44" s="182"/>
      <c r="E44" s="182"/>
      <c r="F44" s="182"/>
      <c r="G44" s="182"/>
    </row>
    <row r="45" spans="1:7" s="240" customFormat="1" ht="12" customHeight="1" x14ac:dyDescent="0.25">
      <c r="A45" s="12" t="s">
        <v>173</v>
      </c>
      <c r="B45" s="242" t="s">
        <v>284</v>
      </c>
      <c r="C45" s="182">
        <v>50</v>
      </c>
      <c r="D45" s="182">
        <v>50</v>
      </c>
      <c r="E45" s="182">
        <f>50000</f>
        <v>50000</v>
      </c>
      <c r="F45" s="182">
        <f>50000</f>
        <v>50000</v>
      </c>
      <c r="G45" s="182">
        <f>50000</f>
        <v>50000</v>
      </c>
    </row>
    <row r="46" spans="1:7" s="240" customFormat="1" ht="12" customHeight="1" x14ac:dyDescent="0.25">
      <c r="A46" s="12" t="s">
        <v>275</v>
      </c>
      <c r="B46" s="242" t="s">
        <v>285</v>
      </c>
      <c r="C46" s="185"/>
      <c r="D46" s="185"/>
      <c r="E46" s="185"/>
      <c r="F46" s="185"/>
      <c r="G46" s="185"/>
    </row>
    <row r="47" spans="1:7" s="240" customFormat="1" ht="12" customHeight="1" x14ac:dyDescent="0.25">
      <c r="A47" s="14" t="s">
        <v>276</v>
      </c>
      <c r="B47" s="243" t="s">
        <v>440</v>
      </c>
      <c r="C47" s="229"/>
      <c r="D47" s="229"/>
      <c r="E47" s="229"/>
      <c r="F47" s="229"/>
      <c r="G47" s="229"/>
    </row>
    <row r="48" spans="1:7" s="240" customFormat="1" ht="12" customHeight="1" thickBot="1" x14ac:dyDescent="0.3">
      <c r="A48" s="14" t="s">
        <v>439</v>
      </c>
      <c r="B48" s="177" t="s">
        <v>286</v>
      </c>
      <c r="C48" s="229"/>
      <c r="D48" s="229">
        <v>32</v>
      </c>
      <c r="E48" s="229">
        <v>32000</v>
      </c>
      <c r="F48" s="229">
        <f>32000+34920</f>
        <v>66920</v>
      </c>
      <c r="G48" s="229">
        <f>32000+34920</f>
        <v>66920</v>
      </c>
    </row>
    <row r="49" spans="1:7" s="240" customFormat="1" ht="12" customHeight="1" thickBot="1" x14ac:dyDescent="0.3">
      <c r="A49" s="18" t="s">
        <v>21</v>
      </c>
      <c r="B49" s="19" t="s">
        <v>287</v>
      </c>
      <c r="C49" s="180">
        <f>SUM(C50:C54)</f>
        <v>336</v>
      </c>
      <c r="D49" s="180">
        <f>SUM(D50:D54)</f>
        <v>336</v>
      </c>
      <c r="E49" s="180">
        <f>SUM(E50:E54)</f>
        <v>336000</v>
      </c>
      <c r="F49" s="180">
        <f>SUM(F50:F54)</f>
        <v>336000</v>
      </c>
      <c r="G49" s="180">
        <f>SUM(G50:G54)</f>
        <v>336000</v>
      </c>
    </row>
    <row r="50" spans="1:7" s="240" customFormat="1" ht="12" customHeight="1" x14ac:dyDescent="0.25">
      <c r="A50" s="13" t="s">
        <v>92</v>
      </c>
      <c r="B50" s="241" t="s">
        <v>291</v>
      </c>
      <c r="C50" s="266"/>
      <c r="D50" s="266"/>
      <c r="E50" s="266"/>
      <c r="F50" s="266"/>
      <c r="G50" s="266"/>
    </row>
    <row r="51" spans="1:7" s="240" customFormat="1" ht="12" customHeight="1" x14ac:dyDescent="0.25">
      <c r="A51" s="12" t="s">
        <v>93</v>
      </c>
      <c r="B51" s="242" t="s">
        <v>292</v>
      </c>
      <c r="C51" s="185">
        <v>336</v>
      </c>
      <c r="D51" s="185">
        <v>336</v>
      </c>
      <c r="E51" s="185">
        <v>336000</v>
      </c>
      <c r="F51" s="185">
        <v>336000</v>
      </c>
      <c r="G51" s="185">
        <v>336000</v>
      </c>
    </row>
    <row r="52" spans="1:7" s="240" customFormat="1" ht="12" customHeight="1" x14ac:dyDescent="0.25">
      <c r="A52" s="12" t="s">
        <v>288</v>
      </c>
      <c r="B52" s="242" t="s">
        <v>293</v>
      </c>
      <c r="C52" s="185"/>
      <c r="D52" s="185"/>
      <c r="E52" s="185"/>
      <c r="F52" s="185"/>
      <c r="G52" s="185"/>
    </row>
    <row r="53" spans="1:7" s="240" customFormat="1" ht="12" customHeight="1" x14ac:dyDescent="0.25">
      <c r="A53" s="12" t="s">
        <v>289</v>
      </c>
      <c r="B53" s="242" t="s">
        <v>294</v>
      </c>
      <c r="C53" s="185"/>
      <c r="D53" s="185"/>
      <c r="E53" s="185"/>
      <c r="F53" s="185"/>
      <c r="G53" s="185"/>
    </row>
    <row r="54" spans="1:7" s="240" customFormat="1" ht="12" customHeight="1" thickBot="1" x14ac:dyDescent="0.3">
      <c r="A54" s="14" t="s">
        <v>290</v>
      </c>
      <c r="B54" s="177" t="s">
        <v>295</v>
      </c>
      <c r="C54" s="229"/>
      <c r="D54" s="229"/>
      <c r="E54" s="229"/>
      <c r="F54" s="229"/>
      <c r="G54" s="229"/>
    </row>
    <row r="55" spans="1:7" s="240" customFormat="1" ht="12" customHeight="1" thickBot="1" x14ac:dyDescent="0.3">
      <c r="A55" s="18" t="s">
        <v>174</v>
      </c>
      <c r="B55" s="19" t="s">
        <v>296</v>
      </c>
      <c r="C55" s="180">
        <f>SUM(C56:C58)</f>
        <v>0</v>
      </c>
      <c r="D55" s="180">
        <f>SUM(D56:D58)</f>
        <v>50</v>
      </c>
      <c r="E55" s="180">
        <f>SUM(E56:E58)</f>
        <v>150000</v>
      </c>
      <c r="F55" s="180">
        <f>SUM(F56:F58)</f>
        <v>150000</v>
      </c>
      <c r="G55" s="180">
        <f>SUM(G56:G58)</f>
        <v>150000</v>
      </c>
    </row>
    <row r="56" spans="1:7" s="240" customFormat="1" ht="12" customHeight="1" x14ac:dyDescent="0.25">
      <c r="A56" s="13" t="s">
        <v>94</v>
      </c>
      <c r="B56" s="241" t="s">
        <v>297</v>
      </c>
      <c r="C56" s="183"/>
      <c r="D56" s="183"/>
      <c r="E56" s="183"/>
      <c r="F56" s="183"/>
      <c r="G56" s="183"/>
    </row>
    <row r="57" spans="1:7" s="240" customFormat="1" ht="12" customHeight="1" x14ac:dyDescent="0.25">
      <c r="A57" s="12" t="s">
        <v>95</v>
      </c>
      <c r="B57" s="242" t="s">
        <v>430</v>
      </c>
      <c r="C57" s="182"/>
      <c r="D57" s="182"/>
      <c r="E57" s="182"/>
      <c r="F57" s="182"/>
      <c r="G57" s="182"/>
    </row>
    <row r="58" spans="1:7" s="240" customFormat="1" ht="12" customHeight="1" x14ac:dyDescent="0.25">
      <c r="A58" s="12" t="s">
        <v>300</v>
      </c>
      <c r="B58" s="242" t="s">
        <v>298</v>
      </c>
      <c r="C58" s="182"/>
      <c r="D58" s="182">
        <v>50</v>
      </c>
      <c r="E58" s="182">
        <f>50000+100000</f>
        <v>150000</v>
      </c>
      <c r="F58" s="182">
        <f>50000+100000</f>
        <v>150000</v>
      </c>
      <c r="G58" s="182">
        <f>50000+100000</f>
        <v>150000</v>
      </c>
    </row>
    <row r="59" spans="1:7" s="240" customFormat="1" ht="12" customHeight="1" thickBot="1" x14ac:dyDescent="0.3">
      <c r="A59" s="14" t="s">
        <v>301</v>
      </c>
      <c r="B59" s="177" t="s">
        <v>299</v>
      </c>
      <c r="C59" s="184"/>
      <c r="D59" s="184"/>
      <c r="E59" s="184"/>
      <c r="F59" s="184"/>
      <c r="G59" s="184"/>
    </row>
    <row r="60" spans="1:7" s="240" customFormat="1" ht="12" customHeight="1" thickBot="1" x14ac:dyDescent="0.3">
      <c r="A60" s="18" t="s">
        <v>23</v>
      </c>
      <c r="B60" s="175" t="s">
        <v>302</v>
      </c>
      <c r="C60" s="180">
        <f>SUM(C61:C63)</f>
        <v>61</v>
      </c>
      <c r="D60" s="180">
        <f>SUM(D61:D63)</f>
        <v>61</v>
      </c>
      <c r="E60" s="180">
        <f>SUM(E61:E63)</f>
        <v>70000</v>
      </c>
      <c r="F60" s="180">
        <f>SUM(F61:F63)</f>
        <v>110000</v>
      </c>
      <c r="G60" s="180">
        <f>SUM(G61:G63)</f>
        <v>110000</v>
      </c>
    </row>
    <row r="61" spans="1:7" s="240" customFormat="1" ht="12" customHeight="1" x14ac:dyDescent="0.25">
      <c r="A61" s="13" t="s">
        <v>175</v>
      </c>
      <c r="B61" s="241" t="s">
        <v>304</v>
      </c>
      <c r="C61" s="185"/>
      <c r="D61" s="185"/>
      <c r="E61" s="185"/>
      <c r="F61" s="185"/>
      <c r="G61" s="185"/>
    </row>
    <row r="62" spans="1:7" s="240" customFormat="1" ht="12" customHeight="1" x14ac:dyDescent="0.25">
      <c r="A62" s="12" t="s">
        <v>176</v>
      </c>
      <c r="B62" s="242" t="s">
        <v>431</v>
      </c>
      <c r="C62" s="185">
        <v>61</v>
      </c>
      <c r="D62" s="185">
        <v>61</v>
      </c>
      <c r="E62" s="185">
        <f>60576+9424</f>
        <v>70000</v>
      </c>
      <c r="F62" s="185">
        <f>70000+40000</f>
        <v>110000</v>
      </c>
      <c r="G62" s="185">
        <f>70000+40000</f>
        <v>110000</v>
      </c>
    </row>
    <row r="63" spans="1:7" s="240" customFormat="1" ht="12" customHeight="1" x14ac:dyDescent="0.25">
      <c r="A63" s="12" t="s">
        <v>224</v>
      </c>
      <c r="B63" s="242" t="s">
        <v>305</v>
      </c>
      <c r="C63" s="185"/>
      <c r="D63" s="185"/>
      <c r="E63" s="185"/>
      <c r="F63" s="185"/>
      <c r="G63" s="185"/>
    </row>
    <row r="64" spans="1:7" s="240" customFormat="1" ht="12" customHeight="1" thickBot="1" x14ac:dyDescent="0.3">
      <c r="A64" s="14" t="s">
        <v>303</v>
      </c>
      <c r="B64" s="177" t="s">
        <v>306</v>
      </c>
      <c r="C64" s="185"/>
      <c r="D64" s="185"/>
      <c r="E64" s="185"/>
      <c r="F64" s="185"/>
      <c r="G64" s="185"/>
    </row>
    <row r="65" spans="1:7" s="240" customFormat="1" ht="12" customHeight="1" thickBot="1" x14ac:dyDescent="0.3">
      <c r="A65" s="278" t="s">
        <v>483</v>
      </c>
      <c r="B65" s="19" t="s">
        <v>307</v>
      </c>
      <c r="C65" s="186">
        <f>+C8+C15+C22+C29+C37+C49+C55+C60</f>
        <v>187826.88</v>
      </c>
      <c r="D65" s="186">
        <f>+D8+D15+D22+D29+D37+D49+D55+D60</f>
        <v>199411</v>
      </c>
      <c r="E65" s="186">
        <f>+E8+E15+E22+E29+E37+E49+E55+E60</f>
        <v>201357138</v>
      </c>
      <c r="F65" s="186">
        <f>+F8+F15+F22+F29+F37+F49+F55+F60</f>
        <v>215299044</v>
      </c>
      <c r="G65" s="186">
        <f>+G8+G15+G22+G29+G37+G49+G55+G60</f>
        <v>234499324</v>
      </c>
    </row>
    <row r="66" spans="1:7" s="240" customFormat="1" ht="12" customHeight="1" thickBot="1" x14ac:dyDescent="0.3">
      <c r="A66" s="268" t="s">
        <v>308</v>
      </c>
      <c r="B66" s="175" t="s">
        <v>309</v>
      </c>
      <c r="C66" s="180">
        <f>SUM(C67:C69)</f>
        <v>0</v>
      </c>
      <c r="D66" s="180">
        <f>SUM(D67:D69)</f>
        <v>0</v>
      </c>
      <c r="E66" s="180">
        <f>SUM(E67:E69)</f>
        <v>0</v>
      </c>
      <c r="F66" s="180">
        <f>SUM(F67:F69)</f>
        <v>0</v>
      </c>
      <c r="G66" s="180">
        <f>SUM(G67:G69)</f>
        <v>0</v>
      </c>
    </row>
    <row r="67" spans="1:7" s="240" customFormat="1" ht="12" customHeight="1" x14ac:dyDescent="0.25">
      <c r="A67" s="13" t="s">
        <v>340</v>
      </c>
      <c r="B67" s="241" t="s">
        <v>310</v>
      </c>
      <c r="C67" s="185"/>
      <c r="D67" s="185"/>
      <c r="E67" s="185"/>
      <c r="F67" s="185"/>
      <c r="G67" s="185"/>
    </row>
    <row r="68" spans="1:7" s="240" customFormat="1" ht="12" customHeight="1" x14ac:dyDescent="0.25">
      <c r="A68" s="12" t="s">
        <v>349</v>
      </c>
      <c r="B68" s="242" t="s">
        <v>311</v>
      </c>
      <c r="C68" s="185"/>
      <c r="D68" s="185"/>
      <c r="E68" s="185"/>
      <c r="F68" s="185"/>
      <c r="G68" s="185"/>
    </row>
    <row r="69" spans="1:7" s="240" customFormat="1" ht="12" customHeight="1" thickBot="1" x14ac:dyDescent="0.3">
      <c r="A69" s="14" t="s">
        <v>350</v>
      </c>
      <c r="B69" s="272" t="s">
        <v>468</v>
      </c>
      <c r="C69" s="185"/>
      <c r="D69" s="185"/>
      <c r="E69" s="185"/>
      <c r="F69" s="185"/>
      <c r="G69" s="185"/>
    </row>
    <row r="70" spans="1:7" s="240" customFormat="1" ht="12" customHeight="1" thickBot="1" x14ac:dyDescent="0.3">
      <c r="A70" s="268" t="s">
        <v>313</v>
      </c>
      <c r="B70" s="175" t="s">
        <v>314</v>
      </c>
      <c r="C70" s="180">
        <f>SUM(C71:C74)</f>
        <v>0</v>
      </c>
      <c r="D70" s="180">
        <f>SUM(D71:D74)</f>
        <v>0</v>
      </c>
      <c r="E70" s="180">
        <f>SUM(E71:E74)</f>
        <v>0</v>
      </c>
      <c r="F70" s="180">
        <f>SUM(F71:F74)</f>
        <v>0</v>
      </c>
      <c r="G70" s="180">
        <f>SUM(G71:G74)</f>
        <v>0</v>
      </c>
    </row>
    <row r="71" spans="1:7" s="240" customFormat="1" ht="12" customHeight="1" x14ac:dyDescent="0.25">
      <c r="A71" s="13" t="s">
        <v>145</v>
      </c>
      <c r="B71" s="241" t="s">
        <v>315</v>
      </c>
      <c r="C71" s="185"/>
      <c r="D71" s="185"/>
      <c r="E71" s="185"/>
      <c r="F71" s="185"/>
      <c r="G71" s="185"/>
    </row>
    <row r="72" spans="1:7" s="240" customFormat="1" ht="12" customHeight="1" x14ac:dyDescent="0.25">
      <c r="A72" s="12" t="s">
        <v>146</v>
      </c>
      <c r="B72" s="242" t="s">
        <v>316</v>
      </c>
      <c r="C72" s="185"/>
      <c r="D72" s="185"/>
      <c r="E72" s="185"/>
      <c r="F72" s="185"/>
      <c r="G72" s="185"/>
    </row>
    <row r="73" spans="1:7" s="240" customFormat="1" ht="12" customHeight="1" x14ac:dyDescent="0.25">
      <c r="A73" s="12" t="s">
        <v>341</v>
      </c>
      <c r="B73" s="242" t="s">
        <v>317</v>
      </c>
      <c r="C73" s="185"/>
      <c r="D73" s="185"/>
      <c r="E73" s="185"/>
      <c r="F73" s="185"/>
      <c r="G73" s="185"/>
    </row>
    <row r="74" spans="1:7" s="240" customFormat="1" ht="12" customHeight="1" thickBot="1" x14ac:dyDescent="0.3">
      <c r="A74" s="14" t="s">
        <v>342</v>
      </c>
      <c r="B74" s="177" t="s">
        <v>318</v>
      </c>
      <c r="C74" s="185"/>
      <c r="D74" s="185"/>
      <c r="E74" s="185"/>
      <c r="F74" s="185"/>
      <c r="G74" s="185"/>
    </row>
    <row r="75" spans="1:7" s="240" customFormat="1" ht="12" customHeight="1" thickBot="1" x14ac:dyDescent="0.3">
      <c r="A75" s="268" t="s">
        <v>319</v>
      </c>
      <c r="B75" s="175" t="s">
        <v>320</v>
      </c>
      <c r="C75" s="180">
        <f>SUM(C76:C77)</f>
        <v>0</v>
      </c>
      <c r="D75" s="180">
        <f>SUM(D76:D77)</f>
        <v>0</v>
      </c>
      <c r="E75" s="180">
        <f>SUM(E76:E77)</f>
        <v>0</v>
      </c>
      <c r="F75" s="180">
        <f>SUM(F76:F77)</f>
        <v>0</v>
      </c>
      <c r="G75" s="180">
        <f>SUM(G76:G77)</f>
        <v>0</v>
      </c>
    </row>
    <row r="76" spans="1:7" s="240" customFormat="1" ht="12" customHeight="1" x14ac:dyDescent="0.25">
      <c r="A76" s="13" t="s">
        <v>343</v>
      </c>
      <c r="B76" s="241" t="s">
        <v>321</v>
      </c>
      <c r="C76" s="185"/>
      <c r="D76" s="185"/>
      <c r="E76" s="185"/>
      <c r="F76" s="185"/>
      <c r="G76" s="185"/>
    </row>
    <row r="77" spans="1:7" s="240" customFormat="1" ht="12" customHeight="1" thickBot="1" x14ac:dyDescent="0.3">
      <c r="A77" s="14" t="s">
        <v>344</v>
      </c>
      <c r="B77" s="177" t="s">
        <v>322</v>
      </c>
      <c r="C77" s="185"/>
      <c r="D77" s="185"/>
      <c r="E77" s="185"/>
      <c r="F77" s="185"/>
      <c r="G77" s="185"/>
    </row>
    <row r="78" spans="1:7" s="240" customFormat="1" ht="12" customHeight="1" thickBot="1" x14ac:dyDescent="0.3">
      <c r="A78" s="268" t="s">
        <v>323</v>
      </c>
      <c r="B78" s="175" t="s">
        <v>324</v>
      </c>
      <c r="C78" s="180">
        <f>SUM(C79:C81)</f>
        <v>0</v>
      </c>
      <c r="D78" s="180">
        <f>SUM(D79:D81)</f>
        <v>0</v>
      </c>
      <c r="E78" s="180">
        <f>SUM(E79:E81)</f>
        <v>0</v>
      </c>
      <c r="F78" s="180">
        <f>SUM(F79:F81)</f>
        <v>0</v>
      </c>
      <c r="G78" s="180">
        <f>SUM(G79:G81)</f>
        <v>0</v>
      </c>
    </row>
    <row r="79" spans="1:7" s="240" customFormat="1" ht="12" customHeight="1" x14ac:dyDescent="0.25">
      <c r="A79" s="13" t="s">
        <v>345</v>
      </c>
      <c r="B79" s="241" t="s">
        <v>325</v>
      </c>
      <c r="C79" s="185"/>
      <c r="D79" s="185"/>
      <c r="E79" s="185"/>
      <c r="F79" s="185"/>
      <c r="G79" s="185"/>
    </row>
    <row r="80" spans="1:7" s="240" customFormat="1" ht="12" customHeight="1" x14ac:dyDescent="0.25">
      <c r="A80" s="12" t="s">
        <v>346</v>
      </c>
      <c r="B80" s="242" t="s">
        <v>326</v>
      </c>
      <c r="C80" s="185"/>
      <c r="D80" s="185"/>
      <c r="E80" s="185"/>
      <c r="F80" s="185"/>
      <c r="G80" s="185"/>
    </row>
    <row r="81" spans="1:7" s="240" customFormat="1" ht="12" customHeight="1" thickBot="1" x14ac:dyDescent="0.3">
      <c r="A81" s="14" t="s">
        <v>347</v>
      </c>
      <c r="B81" s="177" t="s">
        <v>327</v>
      </c>
      <c r="C81" s="185"/>
      <c r="D81" s="185"/>
      <c r="E81" s="185"/>
      <c r="F81" s="185"/>
      <c r="G81" s="185"/>
    </row>
    <row r="82" spans="1:7" s="240" customFormat="1" ht="12" customHeight="1" thickBot="1" x14ac:dyDescent="0.3">
      <c r="A82" s="268" t="s">
        <v>328</v>
      </c>
      <c r="B82" s="175" t="s">
        <v>348</v>
      </c>
      <c r="C82" s="180">
        <f>SUM(C83:C86)</f>
        <v>0</v>
      </c>
      <c r="D82" s="180">
        <f>SUM(D83:D86)</f>
        <v>0</v>
      </c>
      <c r="E82" s="180">
        <f>SUM(E83:E86)</f>
        <v>0</v>
      </c>
      <c r="F82" s="180">
        <f>SUM(F83:F86)</f>
        <v>0</v>
      </c>
      <c r="G82" s="180">
        <f>SUM(G83:G86)</f>
        <v>0</v>
      </c>
    </row>
    <row r="83" spans="1:7" s="240" customFormat="1" ht="12" customHeight="1" x14ac:dyDescent="0.25">
      <c r="A83" s="245" t="s">
        <v>329</v>
      </c>
      <c r="B83" s="241" t="s">
        <v>330</v>
      </c>
      <c r="C83" s="185"/>
      <c r="D83" s="185"/>
      <c r="E83" s="185"/>
      <c r="F83" s="185"/>
      <c r="G83" s="185"/>
    </row>
    <row r="84" spans="1:7" s="240" customFormat="1" ht="12" customHeight="1" x14ac:dyDescent="0.25">
      <c r="A84" s="246" t="s">
        <v>331</v>
      </c>
      <c r="B84" s="242" t="s">
        <v>332</v>
      </c>
      <c r="C84" s="185"/>
      <c r="D84" s="185"/>
      <c r="E84" s="185"/>
      <c r="F84" s="185"/>
      <c r="G84" s="185"/>
    </row>
    <row r="85" spans="1:7" s="240" customFormat="1" ht="12" customHeight="1" x14ac:dyDescent="0.25">
      <c r="A85" s="246" t="s">
        <v>333</v>
      </c>
      <c r="B85" s="242" t="s">
        <v>334</v>
      </c>
      <c r="C85" s="185"/>
      <c r="D85" s="185"/>
      <c r="E85" s="185"/>
      <c r="F85" s="185"/>
      <c r="G85" s="185"/>
    </row>
    <row r="86" spans="1:7" s="240" customFormat="1" ht="12" customHeight="1" thickBot="1" x14ac:dyDescent="0.3">
      <c r="A86" s="247" t="s">
        <v>335</v>
      </c>
      <c r="B86" s="177" t="s">
        <v>336</v>
      </c>
      <c r="C86" s="185"/>
      <c r="D86" s="185"/>
      <c r="E86" s="185"/>
      <c r="F86" s="185"/>
      <c r="G86" s="185"/>
    </row>
    <row r="87" spans="1:7" s="240" customFormat="1" ht="12" customHeight="1" thickBot="1" x14ac:dyDescent="0.3">
      <c r="A87" s="268" t="s">
        <v>337</v>
      </c>
      <c r="B87" s="175" t="s">
        <v>482</v>
      </c>
      <c r="C87" s="267"/>
      <c r="D87" s="267"/>
      <c r="E87" s="267"/>
      <c r="F87" s="267"/>
      <c r="G87" s="267"/>
    </row>
    <row r="88" spans="1:7" s="240" customFormat="1" ht="13.5" customHeight="1" thickBot="1" x14ac:dyDescent="0.3">
      <c r="A88" s="268" t="s">
        <v>339</v>
      </c>
      <c r="B88" s="175" t="s">
        <v>338</v>
      </c>
      <c r="C88" s="267"/>
      <c r="D88" s="267"/>
      <c r="E88" s="267"/>
      <c r="F88" s="267"/>
      <c r="G88" s="267"/>
    </row>
    <row r="89" spans="1:7" s="240" customFormat="1" ht="15.75" customHeight="1" thickBot="1" x14ac:dyDescent="0.3">
      <c r="A89" s="268" t="s">
        <v>351</v>
      </c>
      <c r="B89" s="248" t="s">
        <v>485</v>
      </c>
      <c r="C89" s="186">
        <f>+C66+C70+C75+C78+C82+C88+C87</f>
        <v>0</v>
      </c>
      <c r="D89" s="186">
        <f>+D66+D70+D75+D78+D82+D88+D87</f>
        <v>0</v>
      </c>
      <c r="E89" s="186">
        <f>+E66+E70+E75+E78+E82+E88+E87</f>
        <v>0</v>
      </c>
      <c r="F89" s="186">
        <f>+F66+F70+F75+F78+F82+F88+F87</f>
        <v>0</v>
      </c>
      <c r="G89" s="186">
        <f>+G66+G70+G75+G78+G82+G88+G87</f>
        <v>0</v>
      </c>
    </row>
    <row r="90" spans="1:7" s="240" customFormat="1" ht="16.5" customHeight="1" thickBot="1" x14ac:dyDescent="0.3">
      <c r="A90" s="269" t="s">
        <v>484</v>
      </c>
      <c r="B90" s="249" t="s">
        <v>486</v>
      </c>
      <c r="C90" s="186">
        <f>+C65+C89</f>
        <v>187826.88</v>
      </c>
      <c r="D90" s="186">
        <f>+D65+D89</f>
        <v>199411</v>
      </c>
      <c r="E90" s="186">
        <f>+E65+E89</f>
        <v>201357138</v>
      </c>
      <c r="F90" s="186">
        <f>+F65+F89</f>
        <v>215299044</v>
      </c>
      <c r="G90" s="186">
        <f>+G65+G89</f>
        <v>234499324</v>
      </c>
    </row>
    <row r="91" spans="1:7" s="240" customFormat="1" ht="83.25" customHeight="1" x14ac:dyDescent="0.25">
      <c r="A91" s="3"/>
      <c r="B91" s="4"/>
      <c r="C91" s="187"/>
      <c r="D91" s="187"/>
      <c r="E91" s="187"/>
      <c r="F91" s="187"/>
      <c r="G91" s="187"/>
    </row>
    <row r="92" spans="1:7" s="214" customFormat="1" ht="16.5" customHeight="1" x14ac:dyDescent="0.3">
      <c r="A92" s="672" t="s">
        <v>44</v>
      </c>
      <c r="B92" s="672"/>
    </row>
    <row r="93" spans="1:7" s="417" customFormat="1" ht="16.5" customHeight="1" thickBot="1" x14ac:dyDescent="0.35">
      <c r="A93" s="676" t="s">
        <v>148</v>
      </c>
      <c r="B93" s="676"/>
      <c r="C93" s="68"/>
      <c r="D93" s="68"/>
      <c r="E93" s="68"/>
      <c r="F93" s="68"/>
      <c r="G93" s="68"/>
    </row>
    <row r="94" spans="1:7" s="214" customFormat="1" ht="38.1" customHeight="1" thickBot="1" x14ac:dyDescent="0.35">
      <c r="A94" s="21" t="s">
        <v>67</v>
      </c>
      <c r="B94" s="22" t="s">
        <v>45</v>
      </c>
      <c r="C94" s="30" t="str">
        <f>+C6</f>
        <v>Eredeti előirányzat (2016.01)</v>
      </c>
      <c r="D94" s="30" t="str">
        <f>+D6</f>
        <v>Módosított előirányzat (2016.05)</v>
      </c>
      <c r="E94" s="30" t="str">
        <f>+E6</f>
        <v>Módosított előirányzat (2016.09)</v>
      </c>
      <c r="F94" s="30" t="str">
        <f>+F6</f>
        <v>Módosított előirányzat (2016.11)</v>
      </c>
      <c r="G94" s="30" t="str">
        <f>+G6</f>
        <v>Módosított előirányzat (2016.12)</v>
      </c>
    </row>
    <row r="95" spans="1:7" s="239" customFormat="1" ht="12" customHeight="1" thickBot="1" x14ac:dyDescent="0.25">
      <c r="A95" s="25" t="s">
        <v>494</v>
      </c>
      <c r="B95" s="26" t="s">
        <v>495</v>
      </c>
      <c r="C95" s="27" t="s">
        <v>496</v>
      </c>
      <c r="D95" s="27" t="s">
        <v>496</v>
      </c>
      <c r="E95" s="27" t="s">
        <v>496</v>
      </c>
      <c r="F95" s="27" t="s">
        <v>496</v>
      </c>
      <c r="G95" s="27" t="s">
        <v>496</v>
      </c>
    </row>
    <row r="96" spans="1:7" s="531" customFormat="1" ht="12" customHeight="1" thickBot="1" x14ac:dyDescent="0.35">
      <c r="A96" s="20" t="s">
        <v>16</v>
      </c>
      <c r="B96" s="24" t="s">
        <v>706</v>
      </c>
      <c r="C96" s="179">
        <f>C97+C98+C99+C100+C101+C114</f>
        <v>181377</v>
      </c>
      <c r="D96" s="179">
        <f>D97+D98+D99+D100+D101+D114</f>
        <v>186795</v>
      </c>
      <c r="E96" s="179">
        <f>E97+E98+E99+E100+E101+E114</f>
        <v>188741305</v>
      </c>
      <c r="F96" s="179">
        <f>F97+F98+F99+F100+F101+F114</f>
        <v>202283211</v>
      </c>
      <c r="G96" s="179">
        <f>G97+G98+G99+G100+G101+G114</f>
        <v>221483491</v>
      </c>
    </row>
    <row r="97" spans="1:7" s="531" customFormat="1" ht="12" customHeight="1" x14ac:dyDescent="0.3">
      <c r="A97" s="15" t="s">
        <v>96</v>
      </c>
      <c r="B97" s="8" t="s">
        <v>46</v>
      </c>
      <c r="C97" s="181">
        <f>12231+1030+11872+10571</f>
        <v>35704</v>
      </c>
      <c r="D97" s="181">
        <f>12231+1030+11872+10571-1</f>
        <v>35703</v>
      </c>
      <c r="E97" s="181">
        <f>35703000+40112+26000-3000+2198950-173700-26000</f>
        <v>37765362</v>
      </c>
      <c r="F97" s="181">
        <f>37765362+200000</f>
        <v>37965362</v>
      </c>
      <c r="G97" s="181">
        <f>37765362+200000</f>
        <v>37965362</v>
      </c>
    </row>
    <row r="98" spans="1:7" s="531" customFormat="1" ht="12" customHeight="1" x14ac:dyDescent="0.3">
      <c r="A98" s="12" t="s">
        <v>97</v>
      </c>
      <c r="B98" s="6" t="s">
        <v>177</v>
      </c>
      <c r="C98" s="182">
        <f>3429+278+3351+3015-1</f>
        <v>10072</v>
      </c>
      <c r="D98" s="182">
        <f>3429+278+3351+3015-1</f>
        <v>10072</v>
      </c>
      <c r="E98" s="182">
        <f>10072000+10832+7020-716945+593726-46895-7020</f>
        <v>9912718</v>
      </c>
      <c r="F98" s="182">
        <f>9912718+102340</f>
        <v>10015058</v>
      </c>
      <c r="G98" s="182">
        <f>9912718+102340</f>
        <v>10015058</v>
      </c>
    </row>
    <row r="99" spans="1:7" s="531" customFormat="1" ht="12" customHeight="1" x14ac:dyDescent="0.3">
      <c r="A99" s="12" t="s">
        <v>98</v>
      </c>
      <c r="B99" s="6" t="s">
        <v>135</v>
      </c>
      <c r="C99" s="184">
        <f>5168+1316+829+898+4655+724+1416+76+2812+58000+1436+1</f>
        <v>77331</v>
      </c>
      <c r="D99" s="184">
        <f>5168+1316+829+898+4655+724+1416+76+2812+58000+1436+1+2286</f>
        <v>79617</v>
      </c>
      <c r="E99" s="184">
        <f>79617000+1057+2286000</f>
        <v>81904057</v>
      </c>
      <c r="F99" s="184">
        <f>81904057+457200-302340+380400+150000</f>
        <v>82589317</v>
      </c>
      <c r="G99" s="184">
        <f>81904057+457200-302340+380400+150000</f>
        <v>82589317</v>
      </c>
    </row>
    <row r="100" spans="1:7" s="531" customFormat="1" ht="12" customHeight="1" x14ac:dyDescent="0.3">
      <c r="A100" s="12" t="s">
        <v>99</v>
      </c>
      <c r="B100" s="9" t="s">
        <v>178</v>
      </c>
      <c r="C100" s="184">
        <f>1300+64+1000</f>
        <v>2364</v>
      </c>
      <c r="D100" s="184">
        <f>1300+64+1000</f>
        <v>2364</v>
      </c>
      <c r="E100" s="184">
        <v>2364520</v>
      </c>
      <c r="F100" s="184">
        <f>2364520+1055000</f>
        <v>3419520</v>
      </c>
      <c r="G100" s="184">
        <f>2364520+1055000</f>
        <v>3419520</v>
      </c>
    </row>
    <row r="101" spans="1:7" s="531" customFormat="1" ht="12" customHeight="1" x14ac:dyDescent="0.3">
      <c r="A101" s="12" t="s">
        <v>110</v>
      </c>
      <c r="B101" s="17" t="s">
        <v>179</v>
      </c>
      <c r="C101" s="184">
        <f>C102+C103+C104+C105+C106+C108+C109+C110+C111+C112+C113</f>
        <v>30066</v>
      </c>
      <c r="D101" s="184">
        <f>D102+D103+D104+D105+D106+D108+D109+D110+D111+D112+D113</f>
        <v>24000</v>
      </c>
      <c r="E101" s="184">
        <f>E102+E103+E104+E105+E106+E108+E109+E110+E111+E112+E113</f>
        <v>24000000</v>
      </c>
      <c r="F101" s="184">
        <f>F102+F103+F104+F105+F106+F108+F109+F110+F111+F112+F113</f>
        <v>29600000</v>
      </c>
      <c r="G101" s="184">
        <f>G102+G103+G104+G105+G106+G108+G109+G110+G111+G112+G113</f>
        <v>29600000</v>
      </c>
    </row>
    <row r="102" spans="1:7" s="531" customFormat="1" ht="12" customHeight="1" x14ac:dyDescent="0.3">
      <c r="A102" s="12" t="s">
        <v>100</v>
      </c>
      <c r="B102" s="6" t="s">
        <v>449</v>
      </c>
      <c r="C102" s="184"/>
      <c r="D102" s="184"/>
      <c r="E102" s="184"/>
      <c r="F102" s="184"/>
      <c r="G102" s="184"/>
    </row>
    <row r="103" spans="1:7" s="531" customFormat="1" ht="12" customHeight="1" x14ac:dyDescent="0.3">
      <c r="A103" s="12" t="s">
        <v>101</v>
      </c>
      <c r="B103" s="72" t="s">
        <v>448</v>
      </c>
      <c r="C103" s="184"/>
      <c r="D103" s="184"/>
      <c r="E103" s="184"/>
      <c r="F103" s="184"/>
      <c r="G103" s="184"/>
    </row>
    <row r="104" spans="1:7" s="531" customFormat="1" ht="12" customHeight="1" x14ac:dyDescent="0.3">
      <c r="A104" s="12" t="s">
        <v>111</v>
      </c>
      <c r="B104" s="72" t="s">
        <v>447</v>
      </c>
      <c r="C104" s="184"/>
      <c r="D104" s="184"/>
      <c r="E104" s="184"/>
      <c r="F104" s="184"/>
      <c r="G104" s="184"/>
    </row>
    <row r="105" spans="1:7" s="531" customFormat="1" ht="12" customHeight="1" x14ac:dyDescent="0.3">
      <c r="A105" s="12" t="s">
        <v>112</v>
      </c>
      <c r="B105" s="70" t="s">
        <v>354</v>
      </c>
      <c r="C105" s="184"/>
      <c r="D105" s="184"/>
      <c r="E105" s="184"/>
      <c r="F105" s="184"/>
      <c r="G105" s="184"/>
    </row>
    <row r="106" spans="1:7" s="531" customFormat="1" ht="12" customHeight="1" x14ac:dyDescent="0.3">
      <c r="A106" s="12" t="s">
        <v>113</v>
      </c>
      <c r="B106" s="71" t="s">
        <v>355</v>
      </c>
      <c r="C106" s="184"/>
      <c r="D106" s="184"/>
      <c r="E106" s="184"/>
      <c r="F106" s="184"/>
      <c r="G106" s="184"/>
    </row>
    <row r="107" spans="1:7" s="531" customFormat="1" ht="12" customHeight="1" x14ac:dyDescent="0.3">
      <c r="A107" s="12" t="s">
        <v>114</v>
      </c>
      <c r="B107" s="71" t="s">
        <v>356</v>
      </c>
      <c r="C107" s="184"/>
      <c r="D107" s="184"/>
      <c r="E107" s="184"/>
      <c r="F107" s="184"/>
      <c r="G107" s="184"/>
    </row>
    <row r="108" spans="1:7" s="531" customFormat="1" ht="12" customHeight="1" x14ac:dyDescent="0.3">
      <c r="A108" s="12" t="s">
        <v>116</v>
      </c>
      <c r="B108" s="70" t="s">
        <v>357</v>
      </c>
      <c r="C108" s="184">
        <f>800</f>
        <v>800</v>
      </c>
      <c r="D108" s="184"/>
      <c r="E108" s="184"/>
      <c r="F108" s="184"/>
      <c r="G108" s="184"/>
    </row>
    <row r="109" spans="1:7" s="531" customFormat="1" ht="12" customHeight="1" x14ac:dyDescent="0.3">
      <c r="A109" s="12" t="s">
        <v>180</v>
      </c>
      <c r="B109" s="70" t="s">
        <v>358</v>
      </c>
      <c r="C109" s="184"/>
      <c r="D109" s="184"/>
      <c r="E109" s="184"/>
      <c r="F109" s="184"/>
      <c r="G109" s="184"/>
    </row>
    <row r="110" spans="1:7" s="531" customFormat="1" ht="12" customHeight="1" x14ac:dyDescent="0.3">
      <c r="A110" s="12" t="s">
        <v>352</v>
      </c>
      <c r="B110" s="71" t="s">
        <v>359</v>
      </c>
      <c r="C110" s="184"/>
      <c r="D110" s="184"/>
      <c r="E110" s="184"/>
      <c r="F110" s="184"/>
      <c r="G110" s="184"/>
    </row>
    <row r="111" spans="1:7" s="531" customFormat="1" ht="12" customHeight="1" x14ac:dyDescent="0.3">
      <c r="A111" s="11" t="s">
        <v>353</v>
      </c>
      <c r="B111" s="72" t="s">
        <v>360</v>
      </c>
      <c r="C111" s="184"/>
      <c r="D111" s="184"/>
      <c r="E111" s="184"/>
      <c r="F111" s="184"/>
      <c r="G111" s="184"/>
    </row>
    <row r="112" spans="1:7" s="531" customFormat="1" ht="12" customHeight="1" x14ac:dyDescent="0.3">
      <c r="A112" s="12" t="s">
        <v>445</v>
      </c>
      <c r="B112" s="72" t="s">
        <v>361</v>
      </c>
      <c r="C112" s="184"/>
      <c r="D112" s="184"/>
      <c r="E112" s="184"/>
      <c r="F112" s="184"/>
      <c r="G112" s="184"/>
    </row>
    <row r="113" spans="1:7" s="531" customFormat="1" ht="12" customHeight="1" x14ac:dyDescent="0.3">
      <c r="A113" s="14" t="s">
        <v>446</v>
      </c>
      <c r="B113" s="72" t="s">
        <v>362</v>
      </c>
      <c r="C113" s="184">
        <f>1100+900+12216+700+13950+100+300</f>
        <v>29266</v>
      </c>
      <c r="D113" s="184">
        <f>29266+15+10-5516-650+875</f>
        <v>24000</v>
      </c>
      <c r="E113" s="184">
        <v>24000000</v>
      </c>
      <c r="F113" s="184">
        <f>24000000+5600000</f>
        <v>29600000</v>
      </c>
      <c r="G113" s="184">
        <f>24000000+5600000</f>
        <v>29600000</v>
      </c>
    </row>
    <row r="114" spans="1:7" s="531" customFormat="1" ht="12" customHeight="1" x14ac:dyDescent="0.3">
      <c r="A114" s="12" t="s">
        <v>450</v>
      </c>
      <c r="B114" s="9" t="s">
        <v>47</v>
      </c>
      <c r="C114" s="182">
        <f>C115+C116</f>
        <v>25840</v>
      </c>
      <c r="D114" s="182">
        <f>D115+D116</f>
        <v>35039</v>
      </c>
      <c r="E114" s="182">
        <f>E115+E116</f>
        <v>32794648</v>
      </c>
      <c r="F114" s="182">
        <f>F115+F116</f>
        <v>38693954</v>
      </c>
      <c r="G114" s="182">
        <f>G115+G116</f>
        <v>57894234</v>
      </c>
    </row>
    <row r="115" spans="1:7" s="531" customFormat="1" ht="12" customHeight="1" x14ac:dyDescent="0.3">
      <c r="A115" s="12" t="s">
        <v>451</v>
      </c>
      <c r="B115" s="6" t="s">
        <v>453</v>
      </c>
      <c r="C115" s="182">
        <f>25488+352</f>
        <v>25840</v>
      </c>
      <c r="D115" s="182">
        <f>25840+12878+586-4487-314+3590+477-1316+690+342-2701-281+75-15-10+249+321-270-179+82-322-180-16</f>
        <v>35039</v>
      </c>
      <c r="E115" s="182">
        <f>35037848+342000-914933-2814772+342000-2286000-718947+12700000-228600-1020+100000-50944+166000-108303-254635-14605-125673-4315355-813435-33020+9424+1829-707187-284480-2792676+2428907+220595-2050000-72390+33020</f>
        <v>32794648</v>
      </c>
      <c r="F115" s="182">
        <f>32794648+127000-100000-598170-89726-284925-3198+64140+482744+114000-5600000-495500-3307500-3150000+1373593+2812727-74627-1055000-400000+655828+16339920-150000-762000</f>
        <v>38693954</v>
      </c>
      <c r="G115" s="182">
        <f>32794648+127000-100000-598170-89726-284925-3198+64140+482744+114000-5600000-495500-3307500-3150000+1373593+2812727-74627-1055000-400000+655828+16339920-150000-762000+19200280</f>
        <v>57894234</v>
      </c>
    </row>
    <row r="116" spans="1:7" s="531" customFormat="1" ht="12" customHeight="1" x14ac:dyDescent="0.3">
      <c r="A116" s="12" t="s">
        <v>452</v>
      </c>
      <c r="B116" s="478" t="s">
        <v>454</v>
      </c>
      <c r="C116" s="182"/>
      <c r="D116" s="182"/>
      <c r="E116" s="182"/>
      <c r="F116" s="182"/>
      <c r="G116" s="182"/>
    </row>
    <row r="117" spans="1:7" s="214" customFormat="1" ht="12" customHeight="1" thickBot="1" x14ac:dyDescent="0.35">
      <c r="A117" s="273" t="s">
        <v>17</v>
      </c>
      <c r="B117" s="274" t="s">
        <v>363</v>
      </c>
      <c r="C117" s="275">
        <f>+C118+C120+C122</f>
        <v>6450</v>
      </c>
      <c r="D117" s="275">
        <f>+D118+D120+D122</f>
        <v>12616</v>
      </c>
      <c r="E117" s="275">
        <f>+E118+E120+E122</f>
        <v>12615833</v>
      </c>
      <c r="F117" s="275">
        <f>+F118+F120+F122</f>
        <v>13015833</v>
      </c>
      <c r="G117" s="275">
        <f>+G118+G120+G122</f>
        <v>13015833</v>
      </c>
    </row>
    <row r="118" spans="1:7" s="214" customFormat="1" ht="12" customHeight="1" x14ac:dyDescent="0.3">
      <c r="A118" s="13" t="s">
        <v>102</v>
      </c>
      <c r="B118" s="6" t="s">
        <v>222</v>
      </c>
      <c r="C118" s="183">
        <f>292+635+254+4869</f>
        <v>6050</v>
      </c>
      <c r="D118" s="183">
        <f>292+635+254+4869</f>
        <v>6050</v>
      </c>
      <c r="E118" s="183">
        <v>6050000</v>
      </c>
      <c r="F118" s="183">
        <v>6050000</v>
      </c>
      <c r="G118" s="183">
        <v>6050000</v>
      </c>
    </row>
    <row r="119" spans="1:7" s="214" customFormat="1" ht="12" customHeight="1" x14ac:dyDescent="0.3">
      <c r="A119" s="13" t="s">
        <v>103</v>
      </c>
      <c r="B119" s="10" t="s">
        <v>367</v>
      </c>
      <c r="C119" s="183"/>
      <c r="D119" s="183"/>
      <c r="E119" s="183"/>
      <c r="F119" s="183"/>
      <c r="G119" s="183"/>
    </row>
    <row r="120" spans="1:7" s="214" customFormat="1" ht="12" customHeight="1" x14ac:dyDescent="0.3">
      <c r="A120" s="13" t="s">
        <v>104</v>
      </c>
      <c r="B120" s="10" t="s">
        <v>181</v>
      </c>
      <c r="C120" s="182"/>
      <c r="D120" s="182"/>
      <c r="E120" s="182"/>
      <c r="F120" s="182"/>
      <c r="G120" s="182"/>
    </row>
    <row r="121" spans="1:7" s="214" customFormat="1" ht="12" customHeight="1" x14ac:dyDescent="0.3">
      <c r="A121" s="13" t="s">
        <v>105</v>
      </c>
      <c r="B121" s="10" t="s">
        <v>368</v>
      </c>
      <c r="C121" s="172"/>
      <c r="D121" s="172"/>
      <c r="E121" s="172"/>
      <c r="F121" s="172"/>
      <c r="G121" s="172"/>
    </row>
    <row r="122" spans="1:7" s="214" customFormat="1" ht="12" customHeight="1" x14ac:dyDescent="0.3">
      <c r="A122" s="13" t="s">
        <v>106</v>
      </c>
      <c r="B122" s="177" t="s">
        <v>225</v>
      </c>
      <c r="C122" s="172">
        <f>C123+C124+C125+C126+C127+C128+C129+C130</f>
        <v>400</v>
      </c>
      <c r="D122" s="172">
        <f>D123+D124+D125+D126+D127+D128+D129+D130</f>
        <v>6566</v>
      </c>
      <c r="E122" s="172">
        <f>E123+E124+E125+E126+E127+E128+E129+E130</f>
        <v>6565833</v>
      </c>
      <c r="F122" s="172">
        <f>F123+F124+F125+F126+F127+F128+F129+F130</f>
        <v>6965833</v>
      </c>
      <c r="G122" s="172">
        <f>G123+G124+G125+G126+G127+G128+G129+G130</f>
        <v>6965833</v>
      </c>
    </row>
    <row r="123" spans="1:7" s="214" customFormat="1" ht="12" customHeight="1" x14ac:dyDescent="0.3">
      <c r="A123" s="13" t="s">
        <v>115</v>
      </c>
      <c r="B123" s="176" t="s">
        <v>432</v>
      </c>
      <c r="C123" s="172"/>
      <c r="D123" s="172"/>
      <c r="E123" s="172"/>
      <c r="F123" s="172"/>
      <c r="G123" s="172"/>
    </row>
    <row r="124" spans="1:7" s="214" customFormat="1" ht="12" customHeight="1" x14ac:dyDescent="0.3">
      <c r="A124" s="13" t="s">
        <v>117</v>
      </c>
      <c r="B124" s="238" t="s">
        <v>373</v>
      </c>
      <c r="C124" s="172"/>
      <c r="D124" s="172"/>
      <c r="E124" s="172"/>
      <c r="F124" s="172"/>
      <c r="G124" s="172"/>
    </row>
    <row r="125" spans="1:7" s="214" customFormat="1" ht="15.6" x14ac:dyDescent="0.3">
      <c r="A125" s="13" t="s">
        <v>182</v>
      </c>
      <c r="B125" s="71" t="s">
        <v>356</v>
      </c>
      <c r="C125" s="172"/>
      <c r="D125" s="172"/>
      <c r="E125" s="172"/>
      <c r="F125" s="172"/>
      <c r="G125" s="172"/>
    </row>
    <row r="126" spans="1:7" s="214" customFormat="1" ht="12" customHeight="1" x14ac:dyDescent="0.3">
      <c r="A126" s="13" t="s">
        <v>183</v>
      </c>
      <c r="B126" s="71" t="s">
        <v>372</v>
      </c>
      <c r="C126" s="172"/>
      <c r="D126" s="172"/>
      <c r="E126" s="172"/>
      <c r="F126" s="172"/>
      <c r="G126" s="172"/>
    </row>
    <row r="127" spans="1:7" s="214" customFormat="1" ht="12" customHeight="1" x14ac:dyDescent="0.3">
      <c r="A127" s="13" t="s">
        <v>184</v>
      </c>
      <c r="B127" s="71" t="s">
        <v>371</v>
      </c>
      <c r="C127" s="172"/>
      <c r="D127" s="172"/>
      <c r="E127" s="172"/>
      <c r="F127" s="172"/>
      <c r="G127" s="172"/>
    </row>
    <row r="128" spans="1:7" s="214" customFormat="1" ht="12" customHeight="1" x14ac:dyDescent="0.3">
      <c r="A128" s="13" t="s">
        <v>364</v>
      </c>
      <c r="B128" s="71" t="s">
        <v>359</v>
      </c>
      <c r="C128" s="172"/>
      <c r="D128" s="172"/>
      <c r="E128" s="172"/>
      <c r="F128" s="172"/>
      <c r="G128" s="172"/>
    </row>
    <row r="129" spans="1:7" s="214" customFormat="1" ht="12" customHeight="1" x14ac:dyDescent="0.3">
      <c r="A129" s="13" t="s">
        <v>365</v>
      </c>
      <c r="B129" s="71" t="s">
        <v>370</v>
      </c>
      <c r="C129" s="172">
        <v>400</v>
      </c>
      <c r="D129" s="172">
        <v>400</v>
      </c>
      <c r="E129" s="172">
        <v>400000</v>
      </c>
      <c r="F129" s="172">
        <f>400000+400000</f>
        <v>800000</v>
      </c>
      <c r="G129" s="172">
        <f>400000+400000</f>
        <v>800000</v>
      </c>
    </row>
    <row r="130" spans="1:7" s="214" customFormat="1" ht="16.2" thickBot="1" x14ac:dyDescent="0.35">
      <c r="A130" s="11" t="s">
        <v>366</v>
      </c>
      <c r="B130" s="71" t="s">
        <v>369</v>
      </c>
      <c r="C130" s="173"/>
      <c r="D130" s="173">
        <f>5516+650</f>
        <v>6166</v>
      </c>
      <c r="E130" s="173">
        <v>6165833</v>
      </c>
      <c r="F130" s="173">
        <v>6165833</v>
      </c>
      <c r="G130" s="173">
        <v>6165833</v>
      </c>
    </row>
    <row r="131" spans="1:7" s="214" customFormat="1" ht="12" customHeight="1" thickBot="1" x14ac:dyDescent="0.35">
      <c r="A131" s="18" t="s">
        <v>18</v>
      </c>
      <c r="B131" s="63" t="s">
        <v>455</v>
      </c>
      <c r="C131" s="180">
        <f>+C96+C117</f>
        <v>187827</v>
      </c>
      <c r="D131" s="180">
        <f>+D96+D117</f>
        <v>199411</v>
      </c>
      <c r="E131" s="180">
        <f>+E96+E117</f>
        <v>201357138</v>
      </c>
      <c r="F131" s="180">
        <f>+F96+F117</f>
        <v>215299044</v>
      </c>
      <c r="G131" s="180">
        <f>+G96+G117</f>
        <v>234499324</v>
      </c>
    </row>
    <row r="132" spans="1:7" s="214" customFormat="1" ht="12" customHeight="1" thickBot="1" x14ac:dyDescent="0.35">
      <c r="A132" s="18" t="s">
        <v>19</v>
      </c>
      <c r="B132" s="63" t="s">
        <v>456</v>
      </c>
      <c r="C132" s="180">
        <f>+C133+C134+C135</f>
        <v>0</v>
      </c>
      <c r="D132" s="180">
        <f>+D133+D134+D135</f>
        <v>0</v>
      </c>
      <c r="E132" s="180">
        <f>+E133+E134+E135</f>
        <v>0</v>
      </c>
      <c r="F132" s="180">
        <f>+F133+F134+F135</f>
        <v>0</v>
      </c>
      <c r="G132" s="180">
        <f>+G133+G134+G135</f>
        <v>0</v>
      </c>
    </row>
    <row r="133" spans="1:7" s="214" customFormat="1" ht="12" customHeight="1" x14ac:dyDescent="0.3">
      <c r="A133" s="13" t="s">
        <v>264</v>
      </c>
      <c r="B133" s="10" t="s">
        <v>463</v>
      </c>
      <c r="C133" s="172"/>
      <c r="D133" s="172"/>
      <c r="E133" s="172"/>
      <c r="F133" s="172"/>
      <c r="G133" s="172"/>
    </row>
    <row r="134" spans="1:7" s="214" customFormat="1" ht="12" customHeight="1" x14ac:dyDescent="0.3">
      <c r="A134" s="13" t="s">
        <v>267</v>
      </c>
      <c r="B134" s="10" t="s">
        <v>464</v>
      </c>
      <c r="C134" s="172"/>
      <c r="D134" s="172"/>
      <c r="E134" s="172"/>
      <c r="F134" s="172"/>
      <c r="G134" s="172"/>
    </row>
    <row r="135" spans="1:7" s="214" customFormat="1" ht="12" customHeight="1" thickBot="1" x14ac:dyDescent="0.35">
      <c r="A135" s="11" t="s">
        <v>268</v>
      </c>
      <c r="B135" s="10" t="s">
        <v>465</v>
      </c>
      <c r="C135" s="172"/>
      <c r="D135" s="172"/>
      <c r="E135" s="172"/>
      <c r="F135" s="172"/>
      <c r="G135" s="172"/>
    </row>
    <row r="136" spans="1:7" s="214" customFormat="1" ht="12" customHeight="1" thickBot="1" x14ac:dyDescent="0.35">
      <c r="A136" s="18" t="s">
        <v>20</v>
      </c>
      <c r="B136" s="63" t="s">
        <v>457</v>
      </c>
      <c r="C136" s="180">
        <f>SUM(C137:C142)</f>
        <v>0</v>
      </c>
      <c r="D136" s="180">
        <f>SUM(D137:D142)</f>
        <v>0</v>
      </c>
      <c r="E136" s="180">
        <f>SUM(E137:E142)</f>
        <v>0</v>
      </c>
      <c r="F136" s="180">
        <f>SUM(F137:F142)</f>
        <v>0</v>
      </c>
      <c r="G136" s="180">
        <f>SUM(G137:G142)</f>
        <v>0</v>
      </c>
    </row>
    <row r="137" spans="1:7" s="214" customFormat="1" ht="12" customHeight="1" x14ac:dyDescent="0.3">
      <c r="A137" s="13" t="s">
        <v>89</v>
      </c>
      <c r="B137" s="7" t="s">
        <v>466</v>
      </c>
      <c r="C137" s="172"/>
      <c r="D137" s="172"/>
      <c r="E137" s="172"/>
      <c r="F137" s="172"/>
      <c r="G137" s="172"/>
    </row>
    <row r="138" spans="1:7" s="214" customFormat="1" ht="12" customHeight="1" x14ac:dyDescent="0.3">
      <c r="A138" s="13" t="s">
        <v>90</v>
      </c>
      <c r="B138" s="7" t="s">
        <v>458</v>
      </c>
      <c r="C138" s="172"/>
      <c r="D138" s="172"/>
      <c r="E138" s="172"/>
      <c r="F138" s="172"/>
      <c r="G138" s="172"/>
    </row>
    <row r="139" spans="1:7" s="214" customFormat="1" ht="12" customHeight="1" x14ac:dyDescent="0.3">
      <c r="A139" s="13" t="s">
        <v>91</v>
      </c>
      <c r="B139" s="7" t="s">
        <v>459</v>
      </c>
      <c r="C139" s="172"/>
      <c r="D139" s="172"/>
      <c r="E139" s="172"/>
      <c r="F139" s="172"/>
      <c r="G139" s="172"/>
    </row>
    <row r="140" spans="1:7" s="214" customFormat="1" ht="12" customHeight="1" x14ac:dyDescent="0.3">
      <c r="A140" s="13" t="s">
        <v>169</v>
      </c>
      <c r="B140" s="7" t="s">
        <v>460</v>
      </c>
      <c r="C140" s="172"/>
      <c r="D140" s="172"/>
      <c r="E140" s="172"/>
      <c r="F140" s="172"/>
      <c r="G140" s="172"/>
    </row>
    <row r="141" spans="1:7" s="214" customFormat="1" ht="12" customHeight="1" x14ac:dyDescent="0.3">
      <c r="A141" s="13" t="s">
        <v>170</v>
      </c>
      <c r="B141" s="7" t="s">
        <v>461</v>
      </c>
      <c r="C141" s="172"/>
      <c r="D141" s="172"/>
      <c r="E141" s="172"/>
      <c r="F141" s="172"/>
      <c r="G141" s="172"/>
    </row>
    <row r="142" spans="1:7" s="214" customFormat="1" ht="12" customHeight="1" thickBot="1" x14ac:dyDescent="0.35">
      <c r="A142" s="11" t="s">
        <v>171</v>
      </c>
      <c r="B142" s="7" t="s">
        <v>462</v>
      </c>
      <c r="C142" s="172"/>
      <c r="D142" s="172"/>
      <c r="E142" s="172"/>
      <c r="F142" s="172"/>
      <c r="G142" s="172"/>
    </row>
    <row r="143" spans="1:7" s="214" customFormat="1" ht="12" customHeight="1" thickBot="1" x14ac:dyDescent="0.35">
      <c r="A143" s="18" t="s">
        <v>21</v>
      </c>
      <c r="B143" s="63" t="s">
        <v>470</v>
      </c>
      <c r="C143" s="186">
        <f>+C144+C145+C146+C147</f>
        <v>0</v>
      </c>
      <c r="D143" s="186">
        <f>+D144+D145+D146+D147</f>
        <v>0</v>
      </c>
      <c r="E143" s="186">
        <f>+E144+E145+E146+E147</f>
        <v>0</v>
      </c>
      <c r="F143" s="186">
        <f>+F144+F145+F146+F147</f>
        <v>0</v>
      </c>
      <c r="G143" s="186">
        <f>+G144+G145+G146+G147</f>
        <v>0</v>
      </c>
    </row>
    <row r="144" spans="1:7" s="214" customFormat="1" ht="12" customHeight="1" x14ac:dyDescent="0.3">
      <c r="A144" s="13" t="s">
        <v>92</v>
      </c>
      <c r="B144" s="7" t="s">
        <v>374</v>
      </c>
      <c r="C144" s="172"/>
      <c r="D144" s="172"/>
      <c r="E144" s="172"/>
      <c r="F144" s="172"/>
      <c r="G144" s="172"/>
    </row>
    <row r="145" spans="1:7" s="214" customFormat="1" ht="12" customHeight="1" x14ac:dyDescent="0.3">
      <c r="A145" s="13" t="s">
        <v>93</v>
      </c>
      <c r="B145" s="7" t="s">
        <v>375</v>
      </c>
      <c r="C145" s="172"/>
      <c r="D145" s="172"/>
      <c r="E145" s="172"/>
      <c r="F145" s="172"/>
      <c r="G145" s="172"/>
    </row>
    <row r="146" spans="1:7" s="214" customFormat="1" ht="12" customHeight="1" x14ac:dyDescent="0.3">
      <c r="A146" s="13" t="s">
        <v>288</v>
      </c>
      <c r="B146" s="7" t="s">
        <v>471</v>
      </c>
      <c r="C146" s="172"/>
      <c r="D146" s="172"/>
      <c r="E146" s="172"/>
      <c r="F146" s="172"/>
      <c r="G146" s="172"/>
    </row>
    <row r="147" spans="1:7" s="214" customFormat="1" ht="12" customHeight="1" thickBot="1" x14ac:dyDescent="0.35">
      <c r="A147" s="11" t="s">
        <v>289</v>
      </c>
      <c r="B147" s="5" t="s">
        <v>394</v>
      </c>
      <c r="C147" s="172"/>
      <c r="D147" s="172"/>
      <c r="E147" s="172"/>
      <c r="F147" s="172"/>
      <c r="G147" s="172"/>
    </row>
    <row r="148" spans="1:7" s="214" customFormat="1" ht="12" customHeight="1" thickBot="1" x14ac:dyDescent="0.35">
      <c r="A148" s="18" t="s">
        <v>22</v>
      </c>
      <c r="B148" s="63" t="s">
        <v>472</v>
      </c>
      <c r="C148" s="189">
        <f>SUM(C149:C153)</f>
        <v>0</v>
      </c>
      <c r="D148" s="189">
        <f>SUM(D149:D153)</f>
        <v>0</v>
      </c>
      <c r="E148" s="189">
        <f>SUM(E149:E153)</f>
        <v>0</v>
      </c>
      <c r="F148" s="189">
        <f>SUM(F149:F153)</f>
        <v>0</v>
      </c>
      <c r="G148" s="189">
        <f>SUM(G149:G153)</f>
        <v>0</v>
      </c>
    </row>
    <row r="149" spans="1:7" s="214" customFormat="1" ht="12" customHeight="1" x14ac:dyDescent="0.3">
      <c r="A149" s="13" t="s">
        <v>94</v>
      </c>
      <c r="B149" s="7" t="s">
        <v>467</v>
      </c>
      <c r="C149" s="172"/>
      <c r="D149" s="172"/>
      <c r="E149" s="172"/>
      <c r="F149" s="172"/>
      <c r="G149" s="172"/>
    </row>
    <row r="150" spans="1:7" s="214" customFormat="1" ht="12" customHeight="1" x14ac:dyDescent="0.3">
      <c r="A150" s="13" t="s">
        <v>95</v>
      </c>
      <c r="B150" s="7" t="s">
        <v>474</v>
      </c>
      <c r="C150" s="172"/>
      <c r="D150" s="172"/>
      <c r="E150" s="172"/>
      <c r="F150" s="172"/>
      <c r="G150" s="172"/>
    </row>
    <row r="151" spans="1:7" s="214" customFormat="1" ht="12" customHeight="1" x14ac:dyDescent="0.3">
      <c r="A151" s="13" t="s">
        <v>300</v>
      </c>
      <c r="B151" s="7" t="s">
        <v>469</v>
      </c>
      <c r="C151" s="172"/>
      <c r="D151" s="172"/>
      <c r="E151" s="172"/>
      <c r="F151" s="172"/>
      <c r="G151" s="172"/>
    </row>
    <row r="152" spans="1:7" s="214" customFormat="1" ht="12" customHeight="1" x14ac:dyDescent="0.3">
      <c r="A152" s="13" t="s">
        <v>301</v>
      </c>
      <c r="B152" s="7" t="s">
        <v>475</v>
      </c>
      <c r="C152" s="172"/>
      <c r="D152" s="172"/>
      <c r="E152" s="172"/>
      <c r="F152" s="172"/>
      <c r="G152" s="172"/>
    </row>
    <row r="153" spans="1:7" s="214" customFormat="1" ht="12" customHeight="1" thickBot="1" x14ac:dyDescent="0.35">
      <c r="A153" s="13" t="s">
        <v>473</v>
      </c>
      <c r="B153" s="7" t="s">
        <v>476</v>
      </c>
      <c r="C153" s="172"/>
      <c r="D153" s="172"/>
      <c r="E153" s="172"/>
      <c r="F153" s="172"/>
      <c r="G153" s="172"/>
    </row>
    <row r="154" spans="1:7" s="214" customFormat="1" ht="12" customHeight="1" thickBot="1" x14ac:dyDescent="0.35">
      <c r="A154" s="18" t="s">
        <v>23</v>
      </c>
      <c r="B154" s="63" t="s">
        <v>477</v>
      </c>
      <c r="C154" s="277"/>
      <c r="D154" s="277"/>
      <c r="E154" s="277"/>
      <c r="F154" s="277"/>
      <c r="G154" s="277"/>
    </row>
    <row r="155" spans="1:7" s="214" customFormat="1" ht="12" customHeight="1" thickBot="1" x14ac:dyDescent="0.35">
      <c r="A155" s="18" t="s">
        <v>24</v>
      </c>
      <c r="B155" s="63" t="s">
        <v>478</v>
      </c>
      <c r="C155" s="277"/>
      <c r="D155" s="277"/>
      <c r="E155" s="277"/>
      <c r="F155" s="277"/>
      <c r="G155" s="277"/>
    </row>
    <row r="156" spans="1:7" s="214" customFormat="1" ht="15" customHeight="1" thickBot="1" x14ac:dyDescent="0.35">
      <c r="A156" s="18" t="s">
        <v>25</v>
      </c>
      <c r="B156" s="63" t="s">
        <v>480</v>
      </c>
      <c r="C156" s="250">
        <f>+C132+C136+C143+C148+C154+C155</f>
        <v>0</v>
      </c>
      <c r="D156" s="250">
        <f>+D132+D136+D143+D148+D154+D155</f>
        <v>0</v>
      </c>
      <c r="E156" s="250">
        <f>+E132+E136+E143+E148+E154+E155</f>
        <v>0</v>
      </c>
      <c r="F156" s="250">
        <f>+F132+F136+F143+F148+F154+F155</f>
        <v>0</v>
      </c>
      <c r="G156" s="250">
        <f>+G132+G136+G143+G148+G154+G155</f>
        <v>0</v>
      </c>
    </row>
    <row r="157" spans="1:7" s="240" customFormat="1" ht="12.9" customHeight="1" thickBot="1" x14ac:dyDescent="0.3">
      <c r="A157" s="178" t="s">
        <v>26</v>
      </c>
      <c r="B157" s="213" t="s">
        <v>479</v>
      </c>
      <c r="C157" s="250">
        <f>+C131+C156</f>
        <v>187827</v>
      </c>
      <c r="D157" s="250">
        <f>+D131+D156</f>
        <v>199411</v>
      </c>
      <c r="E157" s="250">
        <f>+E131+E156</f>
        <v>201357138</v>
      </c>
      <c r="F157" s="250">
        <f>+F131+F156</f>
        <v>215299044</v>
      </c>
      <c r="G157" s="250">
        <f>+G131+G156</f>
        <v>234499324</v>
      </c>
    </row>
  </sheetData>
  <sheetProtection formatCells="0"/>
  <mergeCells count="2">
    <mergeCell ref="A92:B92"/>
    <mergeCell ref="A93:B93"/>
  </mergeCells>
  <phoneticPr fontId="2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20"/>
  </sheetPr>
  <dimension ref="A1:G158"/>
  <sheetViews>
    <sheetView zoomScaleNormal="100" zoomScaleSheetLayoutView="85" workbookViewId="0">
      <selection sqref="A1:IV65536"/>
    </sheetView>
  </sheetViews>
  <sheetFormatPr defaultColWidth="9.33203125" defaultRowHeight="13.2" x14ac:dyDescent="0.25"/>
  <cols>
    <col min="1" max="1" width="19.44140625" style="570" customWidth="1"/>
    <col min="2" max="2" width="72" style="542" customWidth="1"/>
    <col min="3" max="7" width="25" style="571" customWidth="1"/>
    <col min="8" max="16384" width="9.33203125" style="573"/>
  </cols>
  <sheetData>
    <row r="1" spans="1:7" s="2" customFormat="1" ht="16.5" customHeight="1" thickBot="1" x14ac:dyDescent="0.3">
      <c r="A1" s="142"/>
      <c r="B1" s="143"/>
      <c r="C1" s="297" t="s">
        <v>711</v>
      </c>
      <c r="D1" s="297"/>
      <c r="E1" s="297"/>
      <c r="F1" s="297"/>
      <c r="G1" s="297"/>
    </row>
    <row r="2" spans="1:7" s="53" customFormat="1" ht="21" customHeight="1" x14ac:dyDescent="0.25">
      <c r="A2" s="232" t="s">
        <v>59</v>
      </c>
      <c r="B2" s="200" t="s">
        <v>548</v>
      </c>
      <c r="C2" s="202" t="s">
        <v>51</v>
      </c>
      <c r="D2" s="202" t="s">
        <v>51</v>
      </c>
      <c r="E2" s="202" t="s">
        <v>51</v>
      </c>
      <c r="F2" s="202" t="s">
        <v>51</v>
      </c>
      <c r="G2" s="202" t="s">
        <v>51</v>
      </c>
    </row>
    <row r="3" spans="1:7" s="53" customFormat="1" ht="16.2" thickBot="1" x14ac:dyDescent="0.3">
      <c r="A3" s="144" t="s">
        <v>196</v>
      </c>
      <c r="B3" s="201" t="s">
        <v>531</v>
      </c>
      <c r="C3" s="279" t="s">
        <v>435</v>
      </c>
      <c r="D3" s="279" t="s">
        <v>435</v>
      </c>
      <c r="E3" s="279" t="s">
        <v>435</v>
      </c>
      <c r="F3" s="279" t="s">
        <v>435</v>
      </c>
      <c r="G3" s="279" t="s">
        <v>435</v>
      </c>
    </row>
    <row r="4" spans="1:7" s="54" customFormat="1" ht="15.9" customHeight="1" thickBot="1" x14ac:dyDescent="0.35">
      <c r="A4" s="145"/>
      <c r="B4" s="145"/>
      <c r="C4" s="146" t="s">
        <v>606</v>
      </c>
      <c r="D4" s="146" t="s">
        <v>606</v>
      </c>
      <c r="E4" s="146" t="s">
        <v>615</v>
      </c>
      <c r="F4" s="146" t="s">
        <v>615</v>
      </c>
      <c r="G4" s="146" t="s">
        <v>615</v>
      </c>
    </row>
    <row r="5" spans="1:7" ht="23.4" thickBot="1" x14ac:dyDescent="0.3">
      <c r="A5" s="233" t="s">
        <v>198</v>
      </c>
      <c r="B5" s="147" t="s">
        <v>53</v>
      </c>
      <c r="C5" s="203" t="s">
        <v>638</v>
      </c>
      <c r="D5" s="203" t="s">
        <v>681</v>
      </c>
      <c r="E5" s="203" t="s">
        <v>699</v>
      </c>
      <c r="F5" s="203" t="s">
        <v>710</v>
      </c>
      <c r="G5" s="203" t="s">
        <v>723</v>
      </c>
    </row>
    <row r="6" spans="1:7" s="34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34" customFormat="1" ht="15.9" customHeight="1" thickBot="1" x14ac:dyDescent="0.3">
      <c r="A7" s="148"/>
      <c r="B7" s="149" t="s">
        <v>54</v>
      </c>
      <c r="C7" s="204"/>
      <c r="D7" s="204"/>
      <c r="E7" s="204"/>
      <c r="F7" s="204"/>
      <c r="G7" s="204"/>
    </row>
    <row r="8" spans="1:7" s="34" customFormat="1" ht="12" customHeight="1" thickBot="1" x14ac:dyDescent="0.3">
      <c r="A8" s="25" t="s">
        <v>16</v>
      </c>
      <c r="B8" s="19" t="s">
        <v>248</v>
      </c>
      <c r="C8" s="180">
        <f>+C9+C10+C11+C12+C13+C14</f>
        <v>0</v>
      </c>
      <c r="D8" s="180">
        <f>+D9+D10+D11+D12+D13+D14</f>
        <v>0</v>
      </c>
      <c r="E8" s="180">
        <f>+E9+E10+E11+E12+E13+E14</f>
        <v>0</v>
      </c>
      <c r="F8" s="180">
        <f>+F9+F10+F11+F12+F13+F14</f>
        <v>0</v>
      </c>
      <c r="G8" s="180">
        <f>+G9+G10+G11+G12+G13+G14</f>
        <v>0</v>
      </c>
    </row>
    <row r="9" spans="1:7" s="55" customFormat="1" ht="12" customHeight="1" x14ac:dyDescent="0.2">
      <c r="A9" s="252" t="s">
        <v>96</v>
      </c>
      <c r="B9" s="241" t="s">
        <v>249</v>
      </c>
      <c r="C9" s="183"/>
      <c r="D9" s="183"/>
      <c r="E9" s="183"/>
      <c r="F9" s="183"/>
      <c r="G9" s="183"/>
    </row>
    <row r="10" spans="1:7" s="56" customFormat="1" ht="12" customHeight="1" x14ac:dyDescent="0.2">
      <c r="A10" s="253" t="s">
        <v>97</v>
      </c>
      <c r="B10" s="242" t="s">
        <v>250</v>
      </c>
      <c r="C10" s="182"/>
      <c r="D10" s="182"/>
      <c r="E10" s="182"/>
      <c r="F10" s="182"/>
      <c r="G10" s="182"/>
    </row>
    <row r="11" spans="1:7" s="56" customFormat="1" ht="12" customHeight="1" x14ac:dyDescent="0.2">
      <c r="A11" s="253" t="s">
        <v>98</v>
      </c>
      <c r="B11" s="242" t="s">
        <v>251</v>
      </c>
      <c r="C11" s="182"/>
      <c r="D11" s="182"/>
      <c r="E11" s="182"/>
      <c r="F11" s="182"/>
      <c r="G11" s="182"/>
    </row>
    <row r="12" spans="1:7" s="56" customFormat="1" ht="12" customHeight="1" x14ac:dyDescent="0.2">
      <c r="A12" s="253" t="s">
        <v>99</v>
      </c>
      <c r="B12" s="242" t="s">
        <v>252</v>
      </c>
      <c r="C12" s="182"/>
      <c r="D12" s="182"/>
      <c r="E12" s="182"/>
      <c r="F12" s="182"/>
      <c r="G12" s="182"/>
    </row>
    <row r="13" spans="1:7" s="56" customFormat="1" ht="12" customHeight="1" x14ac:dyDescent="0.2">
      <c r="A13" s="253" t="s">
        <v>144</v>
      </c>
      <c r="B13" s="242" t="s">
        <v>508</v>
      </c>
      <c r="C13" s="182"/>
      <c r="D13" s="182"/>
      <c r="E13" s="182"/>
      <c r="F13" s="182"/>
      <c r="G13" s="182"/>
    </row>
    <row r="14" spans="1:7" s="55" customFormat="1" ht="12" customHeight="1" thickBot="1" x14ac:dyDescent="0.25">
      <c r="A14" s="254" t="s">
        <v>100</v>
      </c>
      <c r="B14" s="243" t="s">
        <v>437</v>
      </c>
      <c r="C14" s="182"/>
      <c r="D14" s="182"/>
      <c r="E14" s="182"/>
      <c r="F14" s="182"/>
      <c r="G14" s="182"/>
    </row>
    <row r="15" spans="1:7" s="55" customFormat="1" ht="12" customHeight="1" thickBot="1" x14ac:dyDescent="0.3">
      <c r="A15" s="25" t="s">
        <v>17</v>
      </c>
      <c r="B15" s="175" t="s">
        <v>253</v>
      </c>
      <c r="C15" s="180">
        <f>+C16+C17+C18+C19+C20</f>
        <v>0</v>
      </c>
      <c r="D15" s="180">
        <f>+D16+D17+D18+D19+D20</f>
        <v>0</v>
      </c>
      <c r="E15" s="180">
        <f>+E16+E17+E18+E19+E20</f>
        <v>0</v>
      </c>
      <c r="F15" s="180">
        <f>+F16+F17+F18+F19+F20</f>
        <v>0</v>
      </c>
      <c r="G15" s="180">
        <f>+G16+G17+G18+G19+G20</f>
        <v>0</v>
      </c>
    </row>
    <row r="16" spans="1:7" s="55" customFormat="1" ht="12" customHeight="1" x14ac:dyDescent="0.2">
      <c r="A16" s="252" t="s">
        <v>102</v>
      </c>
      <c r="B16" s="241" t="s">
        <v>254</v>
      </c>
      <c r="C16" s="183"/>
      <c r="D16" s="183"/>
      <c r="E16" s="183"/>
      <c r="F16" s="183"/>
      <c r="G16" s="183"/>
    </row>
    <row r="17" spans="1:7" s="55" customFormat="1" ht="12" customHeight="1" x14ac:dyDescent="0.2">
      <c r="A17" s="253" t="s">
        <v>103</v>
      </c>
      <c r="B17" s="242" t="s">
        <v>255</v>
      </c>
      <c r="C17" s="182"/>
      <c r="D17" s="182"/>
      <c r="E17" s="182"/>
      <c r="F17" s="182"/>
      <c r="G17" s="182"/>
    </row>
    <row r="18" spans="1:7" s="55" customFormat="1" ht="12" customHeight="1" x14ac:dyDescent="0.2">
      <c r="A18" s="253" t="s">
        <v>104</v>
      </c>
      <c r="B18" s="242" t="s">
        <v>426</v>
      </c>
      <c r="C18" s="182"/>
      <c r="D18" s="182"/>
      <c r="E18" s="182"/>
      <c r="F18" s="182"/>
      <c r="G18" s="182"/>
    </row>
    <row r="19" spans="1:7" s="55" customFormat="1" ht="12" customHeight="1" x14ac:dyDescent="0.2">
      <c r="A19" s="253" t="s">
        <v>105</v>
      </c>
      <c r="B19" s="242" t="s">
        <v>427</v>
      </c>
      <c r="C19" s="182"/>
      <c r="D19" s="182"/>
      <c r="E19" s="182"/>
      <c r="F19" s="182"/>
      <c r="G19" s="182"/>
    </row>
    <row r="20" spans="1:7" s="55" customFormat="1" ht="12" customHeight="1" x14ac:dyDescent="0.2">
      <c r="A20" s="253" t="s">
        <v>106</v>
      </c>
      <c r="B20" s="242" t="s">
        <v>256</v>
      </c>
      <c r="C20" s="182"/>
      <c r="D20" s="182"/>
      <c r="E20" s="182"/>
      <c r="F20" s="182"/>
      <c r="G20" s="182"/>
    </row>
    <row r="21" spans="1:7" s="56" customFormat="1" ht="12" customHeight="1" thickBot="1" x14ac:dyDescent="0.25">
      <c r="A21" s="254" t="s">
        <v>115</v>
      </c>
      <c r="B21" s="243" t="s">
        <v>257</v>
      </c>
      <c r="C21" s="184"/>
      <c r="D21" s="184"/>
      <c r="E21" s="184"/>
      <c r="F21" s="184"/>
      <c r="G21" s="184"/>
    </row>
    <row r="22" spans="1:7" s="56" customFormat="1" ht="12" customHeight="1" thickBot="1" x14ac:dyDescent="0.3">
      <c r="A22" s="25" t="s">
        <v>18</v>
      </c>
      <c r="B22" s="19" t="s">
        <v>258</v>
      </c>
      <c r="C22" s="180">
        <f>+C23+C24+C25+C26+C27</f>
        <v>0</v>
      </c>
      <c r="D22" s="180">
        <f>+D23+D24+D25+D26+D27</f>
        <v>0</v>
      </c>
      <c r="E22" s="180">
        <f>+E23+E24+E25+E26+E27</f>
        <v>0</v>
      </c>
      <c r="F22" s="180">
        <f>+F23+F24+F25+F26+F27</f>
        <v>0</v>
      </c>
      <c r="G22" s="180">
        <f>+G23+G24+G25+G26+G27</f>
        <v>0</v>
      </c>
    </row>
    <row r="23" spans="1:7" s="56" customFormat="1" ht="12" customHeight="1" x14ac:dyDescent="0.2">
      <c r="A23" s="252" t="s">
        <v>85</v>
      </c>
      <c r="B23" s="241" t="s">
        <v>259</v>
      </c>
      <c r="C23" s="183"/>
      <c r="D23" s="183"/>
      <c r="E23" s="183"/>
      <c r="F23" s="183"/>
      <c r="G23" s="183"/>
    </row>
    <row r="24" spans="1:7" s="55" customFormat="1" ht="12" customHeight="1" x14ac:dyDescent="0.2">
      <c r="A24" s="253" t="s">
        <v>86</v>
      </c>
      <c r="B24" s="242" t="s">
        <v>260</v>
      </c>
      <c r="C24" s="182"/>
      <c r="D24" s="182"/>
      <c r="E24" s="182"/>
      <c r="F24" s="182"/>
      <c r="G24" s="182"/>
    </row>
    <row r="25" spans="1:7" s="56" customFormat="1" ht="12" customHeight="1" x14ac:dyDescent="0.2">
      <c r="A25" s="253" t="s">
        <v>87</v>
      </c>
      <c r="B25" s="242" t="s">
        <v>428</v>
      </c>
      <c r="C25" s="182"/>
      <c r="D25" s="182"/>
      <c r="E25" s="182"/>
      <c r="F25" s="182"/>
      <c r="G25" s="182"/>
    </row>
    <row r="26" spans="1:7" s="56" customFormat="1" ht="12" customHeight="1" x14ac:dyDescent="0.2">
      <c r="A26" s="253" t="s">
        <v>88</v>
      </c>
      <c r="B26" s="242" t="s">
        <v>429</v>
      </c>
      <c r="C26" s="182"/>
      <c r="D26" s="182"/>
      <c r="E26" s="182"/>
      <c r="F26" s="182"/>
      <c r="G26" s="182"/>
    </row>
    <row r="27" spans="1:7" s="56" customFormat="1" ht="12" customHeight="1" x14ac:dyDescent="0.2">
      <c r="A27" s="253" t="s">
        <v>165</v>
      </c>
      <c r="B27" s="242" t="s">
        <v>261</v>
      </c>
      <c r="C27" s="182"/>
      <c r="D27" s="182"/>
      <c r="E27" s="182"/>
      <c r="F27" s="182"/>
      <c r="G27" s="182"/>
    </row>
    <row r="28" spans="1:7" s="56" customFormat="1" ht="12" customHeight="1" thickBot="1" x14ac:dyDescent="0.25">
      <c r="A28" s="254" t="s">
        <v>166</v>
      </c>
      <c r="B28" s="243" t="s">
        <v>262</v>
      </c>
      <c r="C28" s="184"/>
      <c r="D28" s="184"/>
      <c r="E28" s="184"/>
      <c r="F28" s="184"/>
      <c r="G28" s="184"/>
    </row>
    <row r="29" spans="1:7" s="56" customFormat="1" ht="12" customHeight="1" thickBot="1" x14ac:dyDescent="0.3">
      <c r="A29" s="25" t="s">
        <v>167</v>
      </c>
      <c r="B29" s="19" t="s">
        <v>263</v>
      </c>
      <c r="C29" s="186">
        <f>+C30+C34+C35+C36</f>
        <v>0</v>
      </c>
      <c r="D29" s="186">
        <f>+D30+D34+D35+D36</f>
        <v>0</v>
      </c>
      <c r="E29" s="186">
        <f>+E30+E34+E35+E36</f>
        <v>0</v>
      </c>
      <c r="F29" s="186">
        <f>+F30+F34+F35+F36</f>
        <v>0</v>
      </c>
      <c r="G29" s="186">
        <f>+G30+G34+G35+G36</f>
        <v>0</v>
      </c>
    </row>
    <row r="30" spans="1:7" s="56" customFormat="1" ht="12" customHeight="1" x14ac:dyDescent="0.2">
      <c r="A30" s="252" t="s">
        <v>264</v>
      </c>
      <c r="B30" s="241" t="s">
        <v>509</v>
      </c>
      <c r="C30" s="237">
        <f>+C31+C32+C33</f>
        <v>0</v>
      </c>
      <c r="D30" s="237">
        <f>+D31+D32+D33</f>
        <v>0</v>
      </c>
      <c r="E30" s="237">
        <f>+E31+E32+E33</f>
        <v>0</v>
      </c>
      <c r="F30" s="237">
        <f>+F31+F32+F33</f>
        <v>0</v>
      </c>
      <c r="G30" s="237">
        <f>+G31+G32+G33</f>
        <v>0</v>
      </c>
    </row>
    <row r="31" spans="1:7" s="56" customFormat="1" ht="12" customHeight="1" x14ac:dyDescent="0.2">
      <c r="A31" s="253" t="s">
        <v>265</v>
      </c>
      <c r="B31" s="242" t="s">
        <v>270</v>
      </c>
      <c r="C31" s="182"/>
      <c r="D31" s="182"/>
      <c r="E31" s="182"/>
      <c r="F31" s="182"/>
      <c r="G31" s="182"/>
    </row>
    <row r="32" spans="1:7" s="56" customFormat="1" ht="12" customHeight="1" x14ac:dyDescent="0.2">
      <c r="A32" s="253" t="s">
        <v>266</v>
      </c>
      <c r="B32" s="242" t="s">
        <v>271</v>
      </c>
      <c r="C32" s="182"/>
      <c r="D32" s="182"/>
      <c r="E32" s="182"/>
      <c r="F32" s="182"/>
      <c r="G32" s="182"/>
    </row>
    <row r="33" spans="1:7" s="56" customFormat="1" ht="12" customHeight="1" x14ac:dyDescent="0.2">
      <c r="A33" s="253" t="s">
        <v>441</v>
      </c>
      <c r="B33" s="271" t="s">
        <v>442</v>
      </c>
      <c r="C33" s="182"/>
      <c r="D33" s="182"/>
      <c r="E33" s="182"/>
      <c r="F33" s="182"/>
      <c r="G33" s="182"/>
    </row>
    <row r="34" spans="1:7" s="56" customFormat="1" ht="12" customHeight="1" x14ac:dyDescent="0.2">
      <c r="A34" s="253" t="s">
        <v>267</v>
      </c>
      <c r="B34" s="242" t="s">
        <v>272</v>
      </c>
      <c r="C34" s="182"/>
      <c r="D34" s="182"/>
      <c r="E34" s="182"/>
      <c r="F34" s="182"/>
      <c r="G34" s="182"/>
    </row>
    <row r="35" spans="1:7" s="56" customFormat="1" ht="12" customHeight="1" x14ac:dyDescent="0.2">
      <c r="A35" s="253" t="s">
        <v>268</v>
      </c>
      <c r="B35" s="242" t="s">
        <v>273</v>
      </c>
      <c r="C35" s="182"/>
      <c r="D35" s="182"/>
      <c r="E35" s="182"/>
      <c r="F35" s="182"/>
      <c r="G35" s="182"/>
    </row>
    <row r="36" spans="1:7" s="56" customFormat="1" ht="12" customHeight="1" thickBot="1" x14ac:dyDescent="0.25">
      <c r="A36" s="254" t="s">
        <v>269</v>
      </c>
      <c r="B36" s="243" t="s">
        <v>274</v>
      </c>
      <c r="C36" s="184"/>
      <c r="D36" s="184"/>
      <c r="E36" s="184"/>
      <c r="F36" s="184"/>
      <c r="G36" s="184"/>
    </row>
    <row r="37" spans="1:7" s="56" customFormat="1" ht="12" customHeight="1" thickBot="1" x14ac:dyDescent="0.3">
      <c r="A37" s="25" t="s">
        <v>20</v>
      </c>
      <c r="B37" s="19" t="s">
        <v>438</v>
      </c>
      <c r="C37" s="180">
        <f>SUM(C38:C48)</f>
        <v>0</v>
      </c>
      <c r="D37" s="180">
        <f>SUM(D38:D48)</f>
        <v>0</v>
      </c>
      <c r="E37" s="180">
        <f>SUM(E38:E48)</f>
        <v>0</v>
      </c>
      <c r="F37" s="180">
        <f>SUM(F38:F48)</f>
        <v>0</v>
      </c>
      <c r="G37" s="180">
        <f>SUM(G38:G48)</f>
        <v>0</v>
      </c>
    </row>
    <row r="38" spans="1:7" s="56" customFormat="1" ht="12" customHeight="1" x14ac:dyDescent="0.2">
      <c r="A38" s="252" t="s">
        <v>89</v>
      </c>
      <c r="B38" s="241" t="s">
        <v>277</v>
      </c>
      <c r="C38" s="183"/>
      <c r="D38" s="183"/>
      <c r="E38" s="183"/>
      <c r="F38" s="183"/>
      <c r="G38" s="183"/>
    </row>
    <row r="39" spans="1:7" s="56" customFormat="1" ht="12" customHeight="1" x14ac:dyDescent="0.2">
      <c r="A39" s="253" t="s">
        <v>90</v>
      </c>
      <c r="B39" s="242" t="s">
        <v>278</v>
      </c>
      <c r="C39" s="182"/>
      <c r="D39" s="182"/>
      <c r="E39" s="182"/>
      <c r="F39" s="182"/>
      <c r="G39" s="182"/>
    </row>
    <row r="40" spans="1:7" s="56" customFormat="1" ht="12" customHeight="1" x14ac:dyDescent="0.2">
      <c r="A40" s="253" t="s">
        <v>91</v>
      </c>
      <c r="B40" s="242" t="s">
        <v>279</v>
      </c>
      <c r="C40" s="182"/>
      <c r="D40" s="182"/>
      <c r="E40" s="182"/>
      <c r="F40" s="182"/>
      <c r="G40" s="182"/>
    </row>
    <row r="41" spans="1:7" s="56" customFormat="1" ht="12" customHeight="1" x14ac:dyDescent="0.2">
      <c r="A41" s="253" t="s">
        <v>169</v>
      </c>
      <c r="B41" s="242" t="s">
        <v>280</v>
      </c>
      <c r="C41" s="182"/>
      <c r="D41" s="182"/>
      <c r="E41" s="182"/>
      <c r="F41" s="182"/>
      <c r="G41" s="182"/>
    </row>
    <row r="42" spans="1:7" s="56" customFormat="1" ht="12" customHeight="1" x14ac:dyDescent="0.2">
      <c r="A42" s="253" t="s">
        <v>170</v>
      </c>
      <c r="B42" s="242" t="s">
        <v>281</v>
      </c>
      <c r="C42" s="182"/>
      <c r="D42" s="182"/>
      <c r="E42" s="182"/>
      <c r="F42" s="182"/>
      <c r="G42" s="182"/>
    </row>
    <row r="43" spans="1:7" s="56" customFormat="1" ht="12" customHeight="1" x14ac:dyDescent="0.2">
      <c r="A43" s="253" t="s">
        <v>171</v>
      </c>
      <c r="B43" s="242" t="s">
        <v>282</v>
      </c>
      <c r="C43" s="182"/>
      <c r="D43" s="182"/>
      <c r="E43" s="182"/>
      <c r="F43" s="182"/>
      <c r="G43" s="182"/>
    </row>
    <row r="44" spans="1:7" s="56" customFormat="1" ht="12" customHeight="1" x14ac:dyDescent="0.2">
      <c r="A44" s="253" t="s">
        <v>172</v>
      </c>
      <c r="B44" s="242" t="s">
        <v>283</v>
      </c>
      <c r="C44" s="182"/>
      <c r="D44" s="182"/>
      <c r="E44" s="182"/>
      <c r="F44" s="182"/>
      <c r="G44" s="182"/>
    </row>
    <row r="45" spans="1:7" s="56" customFormat="1" ht="12" customHeight="1" x14ac:dyDescent="0.2">
      <c r="A45" s="253" t="s">
        <v>173</v>
      </c>
      <c r="B45" s="242" t="s">
        <v>284</v>
      </c>
      <c r="C45" s="182"/>
      <c r="D45" s="182"/>
      <c r="E45" s="182"/>
      <c r="F45" s="182"/>
      <c r="G45" s="182"/>
    </row>
    <row r="46" spans="1:7" s="56" customFormat="1" ht="12" customHeight="1" x14ac:dyDescent="0.2">
      <c r="A46" s="253" t="s">
        <v>275</v>
      </c>
      <c r="B46" s="242" t="s">
        <v>285</v>
      </c>
      <c r="C46" s="185"/>
      <c r="D46" s="185"/>
      <c r="E46" s="185"/>
      <c r="F46" s="185"/>
      <c r="G46" s="185"/>
    </row>
    <row r="47" spans="1:7" s="56" customFormat="1" ht="12" customHeight="1" x14ac:dyDescent="0.2">
      <c r="A47" s="254" t="s">
        <v>276</v>
      </c>
      <c r="B47" s="243" t="s">
        <v>440</v>
      </c>
      <c r="C47" s="229"/>
      <c r="D47" s="229"/>
      <c r="E47" s="229"/>
      <c r="F47" s="229"/>
      <c r="G47" s="229"/>
    </row>
    <row r="48" spans="1:7" s="56" customFormat="1" ht="12" customHeight="1" thickBot="1" x14ac:dyDescent="0.25">
      <c r="A48" s="254" t="s">
        <v>439</v>
      </c>
      <c r="B48" s="243" t="s">
        <v>286</v>
      </c>
      <c r="C48" s="229"/>
      <c r="D48" s="229"/>
      <c r="E48" s="229"/>
      <c r="F48" s="229"/>
      <c r="G48" s="229"/>
    </row>
    <row r="49" spans="1:7" s="56" customFormat="1" ht="12" customHeight="1" thickBot="1" x14ac:dyDescent="0.3">
      <c r="A49" s="25" t="s">
        <v>21</v>
      </c>
      <c r="B49" s="19" t="s">
        <v>287</v>
      </c>
      <c r="C49" s="180">
        <f>SUM(C50:C54)</f>
        <v>0</v>
      </c>
      <c r="D49" s="180">
        <f>SUM(D50:D54)</f>
        <v>0</v>
      </c>
      <c r="E49" s="180">
        <f>SUM(E50:E54)</f>
        <v>0</v>
      </c>
      <c r="F49" s="180">
        <f>SUM(F50:F54)</f>
        <v>0</v>
      </c>
      <c r="G49" s="180">
        <f>SUM(G50:G54)</f>
        <v>0</v>
      </c>
    </row>
    <row r="50" spans="1:7" s="56" customFormat="1" ht="12" customHeight="1" x14ac:dyDescent="0.2">
      <c r="A50" s="252" t="s">
        <v>92</v>
      </c>
      <c r="B50" s="241" t="s">
        <v>291</v>
      </c>
      <c r="C50" s="266"/>
      <c r="D50" s="266"/>
      <c r="E50" s="266"/>
      <c r="F50" s="266"/>
      <c r="G50" s="266"/>
    </row>
    <row r="51" spans="1:7" s="56" customFormat="1" ht="12" customHeight="1" x14ac:dyDescent="0.2">
      <c r="A51" s="253" t="s">
        <v>93</v>
      </c>
      <c r="B51" s="242" t="s">
        <v>292</v>
      </c>
      <c r="C51" s="185"/>
      <c r="D51" s="185"/>
      <c r="E51" s="185"/>
      <c r="F51" s="185"/>
      <c r="G51" s="185"/>
    </row>
    <row r="52" spans="1:7" s="56" customFormat="1" ht="12" customHeight="1" x14ac:dyDescent="0.2">
      <c r="A52" s="253" t="s">
        <v>288</v>
      </c>
      <c r="B52" s="242" t="s">
        <v>293</v>
      </c>
      <c r="C52" s="185"/>
      <c r="D52" s="185"/>
      <c r="E52" s="185"/>
      <c r="F52" s="185"/>
      <c r="G52" s="185"/>
    </row>
    <row r="53" spans="1:7" s="56" customFormat="1" ht="12" customHeight="1" x14ac:dyDescent="0.2">
      <c r="A53" s="253" t="s">
        <v>289</v>
      </c>
      <c r="B53" s="242" t="s">
        <v>294</v>
      </c>
      <c r="C53" s="185"/>
      <c r="D53" s="185"/>
      <c r="E53" s="185"/>
      <c r="F53" s="185"/>
      <c r="G53" s="185"/>
    </row>
    <row r="54" spans="1:7" s="56" customFormat="1" ht="12" customHeight="1" thickBot="1" x14ac:dyDescent="0.25">
      <c r="A54" s="254" t="s">
        <v>290</v>
      </c>
      <c r="B54" s="243" t="s">
        <v>295</v>
      </c>
      <c r="C54" s="229"/>
      <c r="D54" s="229"/>
      <c r="E54" s="229"/>
      <c r="F54" s="229"/>
      <c r="G54" s="229"/>
    </row>
    <row r="55" spans="1:7" s="56" customFormat="1" ht="12" customHeight="1" thickBot="1" x14ac:dyDescent="0.3">
      <c r="A55" s="25" t="s">
        <v>174</v>
      </c>
      <c r="B55" s="19" t="s">
        <v>296</v>
      </c>
      <c r="C55" s="180">
        <f>SUM(C56:C58)</f>
        <v>0</v>
      </c>
      <c r="D55" s="180">
        <f>SUM(D56:D58)</f>
        <v>0</v>
      </c>
      <c r="E55" s="180">
        <f>SUM(E56:E58)</f>
        <v>0</v>
      </c>
      <c r="F55" s="180">
        <f>SUM(F56:F58)</f>
        <v>0</v>
      </c>
      <c r="G55" s="180">
        <f>SUM(G56:G58)</f>
        <v>0</v>
      </c>
    </row>
    <row r="56" spans="1:7" s="56" customFormat="1" ht="12" customHeight="1" x14ac:dyDescent="0.2">
      <c r="A56" s="252" t="s">
        <v>94</v>
      </c>
      <c r="B56" s="241" t="s">
        <v>297</v>
      </c>
      <c r="C56" s="183"/>
      <c r="D56" s="183"/>
      <c r="E56" s="183"/>
      <c r="F56" s="183"/>
      <c r="G56" s="183"/>
    </row>
    <row r="57" spans="1:7" s="56" customFormat="1" ht="12" customHeight="1" x14ac:dyDescent="0.2">
      <c r="A57" s="253" t="s">
        <v>95</v>
      </c>
      <c r="B57" s="242" t="s">
        <v>430</v>
      </c>
      <c r="C57" s="182"/>
      <c r="D57" s="182"/>
      <c r="E57" s="182"/>
      <c r="F57" s="182"/>
      <c r="G57" s="182"/>
    </row>
    <row r="58" spans="1:7" s="56" customFormat="1" ht="12" customHeight="1" x14ac:dyDescent="0.2">
      <c r="A58" s="253" t="s">
        <v>300</v>
      </c>
      <c r="B58" s="242" t="s">
        <v>298</v>
      </c>
      <c r="C58" s="182"/>
      <c r="D58" s="182"/>
      <c r="E58" s="182"/>
      <c r="F58" s="182"/>
      <c r="G58" s="182"/>
    </row>
    <row r="59" spans="1:7" s="56" customFormat="1" ht="12" customHeight="1" thickBot="1" x14ac:dyDescent="0.25">
      <c r="A59" s="254" t="s">
        <v>301</v>
      </c>
      <c r="B59" s="243" t="s">
        <v>299</v>
      </c>
      <c r="C59" s="184"/>
      <c r="D59" s="184"/>
      <c r="E59" s="184"/>
      <c r="F59" s="184"/>
      <c r="G59" s="184"/>
    </row>
    <row r="60" spans="1:7" s="56" customFormat="1" ht="12" customHeight="1" thickBot="1" x14ac:dyDescent="0.3">
      <c r="A60" s="25" t="s">
        <v>23</v>
      </c>
      <c r="B60" s="175" t="s">
        <v>302</v>
      </c>
      <c r="C60" s="180">
        <f>SUM(C61:C63)</f>
        <v>0</v>
      </c>
      <c r="D60" s="180">
        <f>SUM(D61:D63)</f>
        <v>0</v>
      </c>
      <c r="E60" s="180">
        <f>SUM(E61:E63)</f>
        <v>0</v>
      </c>
      <c r="F60" s="180">
        <f>SUM(F61:F63)</f>
        <v>0</v>
      </c>
      <c r="G60" s="180">
        <f>SUM(G61:G63)</f>
        <v>0</v>
      </c>
    </row>
    <row r="61" spans="1:7" s="56" customFormat="1" ht="12" customHeight="1" x14ac:dyDescent="0.2">
      <c r="A61" s="252" t="s">
        <v>175</v>
      </c>
      <c r="B61" s="241" t="s">
        <v>304</v>
      </c>
      <c r="C61" s="185"/>
      <c r="D61" s="185"/>
      <c r="E61" s="185"/>
      <c r="F61" s="185"/>
      <c r="G61" s="185"/>
    </row>
    <row r="62" spans="1:7" s="56" customFormat="1" ht="12" customHeight="1" x14ac:dyDescent="0.2">
      <c r="A62" s="253" t="s">
        <v>176</v>
      </c>
      <c r="B62" s="242" t="s">
        <v>431</v>
      </c>
      <c r="C62" s="185"/>
      <c r="D62" s="185"/>
      <c r="E62" s="185"/>
      <c r="F62" s="185"/>
      <c r="G62" s="185"/>
    </row>
    <row r="63" spans="1:7" s="56" customFormat="1" ht="12" customHeight="1" x14ac:dyDescent="0.2">
      <c r="A63" s="253" t="s">
        <v>224</v>
      </c>
      <c r="B63" s="242" t="s">
        <v>305</v>
      </c>
      <c r="C63" s="185"/>
      <c r="D63" s="185"/>
      <c r="E63" s="185"/>
      <c r="F63" s="185"/>
      <c r="G63" s="185"/>
    </row>
    <row r="64" spans="1:7" s="56" customFormat="1" ht="12" customHeight="1" thickBot="1" x14ac:dyDescent="0.25">
      <c r="A64" s="254" t="s">
        <v>303</v>
      </c>
      <c r="B64" s="243" t="s">
        <v>306</v>
      </c>
      <c r="C64" s="185"/>
      <c r="D64" s="185"/>
      <c r="E64" s="185"/>
      <c r="F64" s="185"/>
      <c r="G64" s="185"/>
    </row>
    <row r="65" spans="1:7" s="56" customFormat="1" ht="12" customHeight="1" thickBot="1" x14ac:dyDescent="0.3">
      <c r="A65" s="25" t="s">
        <v>24</v>
      </c>
      <c r="B65" s="19" t="s">
        <v>307</v>
      </c>
      <c r="C65" s="186">
        <f>+C8+C15+C22+C29+C37+C49+C55+C60</f>
        <v>0</v>
      </c>
      <c r="D65" s="186">
        <f>+D8+D15+D22+D29+D37+D49+D55+D60</f>
        <v>0</v>
      </c>
      <c r="E65" s="186">
        <f>+E8+E15+E22+E29+E37+E49+E55+E60</f>
        <v>0</v>
      </c>
      <c r="F65" s="186">
        <f>+F8+F15+F22+F29+F37+F49+F55+F60</f>
        <v>0</v>
      </c>
      <c r="G65" s="186">
        <f>+G8+G15+G22+G29+G37+G49+G55+G60</f>
        <v>0</v>
      </c>
    </row>
    <row r="66" spans="1:7" s="56" customFormat="1" ht="12" customHeight="1" thickBot="1" x14ac:dyDescent="0.25">
      <c r="A66" s="255" t="s">
        <v>398</v>
      </c>
      <c r="B66" s="175" t="s">
        <v>309</v>
      </c>
      <c r="C66" s="180">
        <f>SUM(C67:C69)</f>
        <v>0</v>
      </c>
      <c r="D66" s="180">
        <f>SUM(D67:D69)</f>
        <v>0</v>
      </c>
      <c r="E66" s="180">
        <f>SUM(E67:E69)</f>
        <v>0</v>
      </c>
      <c r="F66" s="180">
        <f>SUM(F67:F69)</f>
        <v>0</v>
      </c>
      <c r="G66" s="180">
        <f>SUM(G67:G69)</f>
        <v>0</v>
      </c>
    </row>
    <row r="67" spans="1:7" s="56" customFormat="1" ht="12" customHeight="1" x14ac:dyDescent="0.2">
      <c r="A67" s="252" t="s">
        <v>340</v>
      </c>
      <c r="B67" s="241" t="s">
        <v>310</v>
      </c>
      <c r="C67" s="185"/>
      <c r="D67" s="185"/>
      <c r="E67" s="185"/>
      <c r="F67" s="185"/>
      <c r="G67" s="185"/>
    </row>
    <row r="68" spans="1:7" s="56" customFormat="1" ht="12" customHeight="1" x14ac:dyDescent="0.2">
      <c r="A68" s="253" t="s">
        <v>349</v>
      </c>
      <c r="B68" s="242" t="s">
        <v>311</v>
      </c>
      <c r="C68" s="185"/>
      <c r="D68" s="185"/>
      <c r="E68" s="185"/>
      <c r="F68" s="185"/>
      <c r="G68" s="185"/>
    </row>
    <row r="69" spans="1:7" s="56" customFormat="1" ht="12" customHeight="1" thickBot="1" x14ac:dyDescent="0.25">
      <c r="A69" s="254" t="s">
        <v>350</v>
      </c>
      <c r="B69" s="244" t="s">
        <v>312</v>
      </c>
      <c r="C69" s="185"/>
      <c r="D69" s="185"/>
      <c r="E69" s="185"/>
      <c r="F69" s="185"/>
      <c r="G69" s="185"/>
    </row>
    <row r="70" spans="1:7" s="56" customFormat="1" ht="12" customHeight="1" thickBot="1" x14ac:dyDescent="0.25">
      <c r="A70" s="255" t="s">
        <v>313</v>
      </c>
      <c r="B70" s="175" t="s">
        <v>314</v>
      </c>
      <c r="C70" s="180">
        <f>SUM(C71:C74)</f>
        <v>0</v>
      </c>
      <c r="D70" s="180">
        <f>SUM(D71:D74)</f>
        <v>0</v>
      </c>
      <c r="E70" s="180">
        <f>SUM(E71:E74)</f>
        <v>0</v>
      </c>
      <c r="F70" s="180">
        <f>SUM(F71:F74)</f>
        <v>0</v>
      </c>
      <c r="G70" s="180">
        <f>SUM(G71:G74)</f>
        <v>0</v>
      </c>
    </row>
    <row r="71" spans="1:7" s="56" customFormat="1" ht="12" customHeight="1" x14ac:dyDescent="0.2">
      <c r="A71" s="252" t="s">
        <v>145</v>
      </c>
      <c r="B71" s="241" t="s">
        <v>315</v>
      </c>
      <c r="C71" s="185"/>
      <c r="D71" s="185"/>
      <c r="E71" s="185"/>
      <c r="F71" s="185"/>
      <c r="G71" s="185"/>
    </row>
    <row r="72" spans="1:7" s="56" customFormat="1" ht="12" customHeight="1" x14ac:dyDescent="0.2">
      <c r="A72" s="253" t="s">
        <v>146</v>
      </c>
      <c r="B72" s="242" t="s">
        <v>316</v>
      </c>
      <c r="C72" s="185"/>
      <c r="D72" s="185"/>
      <c r="E72" s="185"/>
      <c r="F72" s="185"/>
      <c r="G72" s="185"/>
    </row>
    <row r="73" spans="1:7" s="56" customFormat="1" ht="12" customHeight="1" x14ac:dyDescent="0.2">
      <c r="A73" s="253" t="s">
        <v>341</v>
      </c>
      <c r="B73" s="242" t="s">
        <v>317</v>
      </c>
      <c r="C73" s="185"/>
      <c r="D73" s="185"/>
      <c r="E73" s="185"/>
      <c r="F73" s="185"/>
      <c r="G73" s="185"/>
    </row>
    <row r="74" spans="1:7" s="56" customFormat="1" ht="12" customHeight="1" thickBot="1" x14ac:dyDescent="0.25">
      <c r="A74" s="254" t="s">
        <v>342</v>
      </c>
      <c r="B74" s="243" t="s">
        <v>318</v>
      </c>
      <c r="C74" s="185"/>
      <c r="D74" s="185"/>
      <c r="E74" s="185"/>
      <c r="F74" s="185"/>
      <c r="G74" s="185"/>
    </row>
    <row r="75" spans="1:7" s="56" customFormat="1" ht="12" customHeight="1" thickBot="1" x14ac:dyDescent="0.25">
      <c r="A75" s="255" t="s">
        <v>319</v>
      </c>
      <c r="B75" s="175" t="s">
        <v>320</v>
      </c>
      <c r="C75" s="180">
        <f>SUM(C76:C77)</f>
        <v>0</v>
      </c>
      <c r="D75" s="180">
        <f>SUM(D76:D77)</f>
        <v>0</v>
      </c>
      <c r="E75" s="180">
        <f>SUM(E76:E77)</f>
        <v>0</v>
      </c>
      <c r="F75" s="180">
        <f>SUM(F76:F77)</f>
        <v>0</v>
      </c>
      <c r="G75" s="180">
        <f>SUM(G76:G77)</f>
        <v>0</v>
      </c>
    </row>
    <row r="76" spans="1:7" s="56" customFormat="1" ht="12" customHeight="1" x14ac:dyDescent="0.2">
      <c r="A76" s="252" t="s">
        <v>343</v>
      </c>
      <c r="B76" s="241" t="s">
        <v>321</v>
      </c>
      <c r="C76" s="185"/>
      <c r="D76" s="185"/>
      <c r="E76" s="185"/>
      <c r="F76" s="185"/>
      <c r="G76" s="185"/>
    </row>
    <row r="77" spans="1:7" s="56" customFormat="1" ht="12" customHeight="1" thickBot="1" x14ac:dyDescent="0.25">
      <c r="A77" s="254" t="s">
        <v>344</v>
      </c>
      <c r="B77" s="243" t="s">
        <v>322</v>
      </c>
      <c r="C77" s="185"/>
      <c r="D77" s="185"/>
      <c r="E77" s="185"/>
      <c r="F77" s="185"/>
      <c r="G77" s="185"/>
    </row>
    <row r="78" spans="1:7" s="55" customFormat="1" ht="12" customHeight="1" thickBot="1" x14ac:dyDescent="0.25">
      <c r="A78" s="255" t="s">
        <v>323</v>
      </c>
      <c r="B78" s="175" t="s">
        <v>324</v>
      </c>
      <c r="C78" s="180">
        <f>SUM(C79:C81)</f>
        <v>0</v>
      </c>
      <c r="D78" s="180">
        <f>SUM(D79:D81)</f>
        <v>0</v>
      </c>
      <c r="E78" s="180">
        <f>SUM(E79:E81)</f>
        <v>0</v>
      </c>
      <c r="F78" s="180">
        <f>SUM(F79:F81)</f>
        <v>0</v>
      </c>
      <c r="G78" s="180">
        <f>SUM(G79:G81)</f>
        <v>0</v>
      </c>
    </row>
    <row r="79" spans="1:7" s="56" customFormat="1" ht="12" customHeight="1" x14ac:dyDescent="0.2">
      <c r="A79" s="252" t="s">
        <v>345</v>
      </c>
      <c r="B79" s="241" t="s">
        <v>325</v>
      </c>
      <c r="C79" s="185"/>
      <c r="D79" s="185"/>
      <c r="E79" s="185"/>
      <c r="F79" s="185"/>
      <c r="G79" s="185"/>
    </row>
    <row r="80" spans="1:7" s="56" customFormat="1" ht="12" customHeight="1" x14ac:dyDescent="0.2">
      <c r="A80" s="253" t="s">
        <v>346</v>
      </c>
      <c r="B80" s="242" t="s">
        <v>326</v>
      </c>
      <c r="C80" s="185"/>
      <c r="D80" s="185"/>
      <c r="E80" s="185"/>
      <c r="F80" s="185"/>
      <c r="G80" s="185"/>
    </row>
    <row r="81" spans="1:7" s="56" customFormat="1" ht="12" customHeight="1" thickBot="1" x14ac:dyDescent="0.25">
      <c r="A81" s="254" t="s">
        <v>347</v>
      </c>
      <c r="B81" s="243" t="s">
        <v>327</v>
      </c>
      <c r="C81" s="185"/>
      <c r="D81" s="185"/>
      <c r="E81" s="185"/>
      <c r="F81" s="185"/>
      <c r="G81" s="185"/>
    </row>
    <row r="82" spans="1:7" s="56" customFormat="1" ht="12" customHeight="1" thickBot="1" x14ac:dyDescent="0.25">
      <c r="A82" s="255" t="s">
        <v>328</v>
      </c>
      <c r="B82" s="175" t="s">
        <v>348</v>
      </c>
      <c r="C82" s="180">
        <f>SUM(C83:C86)</f>
        <v>0</v>
      </c>
      <c r="D82" s="180">
        <f>SUM(D83:D86)</f>
        <v>0</v>
      </c>
      <c r="E82" s="180">
        <f>SUM(E83:E86)</f>
        <v>0</v>
      </c>
      <c r="F82" s="180">
        <f>SUM(F83:F86)</f>
        <v>0</v>
      </c>
      <c r="G82" s="180">
        <f>SUM(G83:G86)</f>
        <v>0</v>
      </c>
    </row>
    <row r="83" spans="1:7" s="56" customFormat="1" ht="12" customHeight="1" x14ac:dyDescent="0.2">
      <c r="A83" s="256" t="s">
        <v>329</v>
      </c>
      <c r="B83" s="241" t="s">
        <v>330</v>
      </c>
      <c r="C83" s="185"/>
      <c r="D83" s="185"/>
      <c r="E83" s="185"/>
      <c r="F83" s="185"/>
      <c r="G83" s="185"/>
    </row>
    <row r="84" spans="1:7" s="56" customFormat="1" ht="12" customHeight="1" x14ac:dyDescent="0.2">
      <c r="A84" s="257" t="s">
        <v>331</v>
      </c>
      <c r="B84" s="242" t="s">
        <v>332</v>
      </c>
      <c r="C84" s="185"/>
      <c r="D84" s="185"/>
      <c r="E84" s="185"/>
      <c r="F84" s="185"/>
      <c r="G84" s="185"/>
    </row>
    <row r="85" spans="1:7" s="56" customFormat="1" ht="12" customHeight="1" x14ac:dyDescent="0.2">
      <c r="A85" s="257" t="s">
        <v>333</v>
      </c>
      <c r="B85" s="242" t="s">
        <v>334</v>
      </c>
      <c r="C85" s="185"/>
      <c r="D85" s="185"/>
      <c r="E85" s="185"/>
      <c r="F85" s="185"/>
      <c r="G85" s="185"/>
    </row>
    <row r="86" spans="1:7" s="55" customFormat="1" ht="12" customHeight="1" thickBot="1" x14ac:dyDescent="0.25">
      <c r="A86" s="258" t="s">
        <v>335</v>
      </c>
      <c r="B86" s="243" t="s">
        <v>336</v>
      </c>
      <c r="C86" s="185"/>
      <c r="D86" s="185"/>
      <c r="E86" s="185"/>
      <c r="F86" s="185"/>
      <c r="G86" s="185"/>
    </row>
    <row r="87" spans="1:7" s="55" customFormat="1" ht="12" customHeight="1" thickBot="1" x14ac:dyDescent="0.25">
      <c r="A87" s="255" t="s">
        <v>337</v>
      </c>
      <c r="B87" s="175" t="s">
        <v>482</v>
      </c>
      <c r="C87" s="267"/>
      <c r="D87" s="267"/>
      <c r="E87" s="267"/>
      <c r="F87" s="267"/>
      <c r="G87" s="267"/>
    </row>
    <row r="88" spans="1:7" s="55" customFormat="1" ht="12" customHeight="1" thickBot="1" x14ac:dyDescent="0.25">
      <c r="A88" s="255" t="s">
        <v>510</v>
      </c>
      <c r="B88" s="175" t="s">
        <v>338</v>
      </c>
      <c r="C88" s="267"/>
      <c r="D88" s="267"/>
      <c r="E88" s="267"/>
      <c r="F88" s="267"/>
      <c r="G88" s="267"/>
    </row>
    <row r="89" spans="1:7" s="55" customFormat="1" ht="12" customHeight="1" thickBot="1" x14ac:dyDescent="0.25">
      <c r="A89" s="255" t="s">
        <v>511</v>
      </c>
      <c r="B89" s="248" t="s">
        <v>485</v>
      </c>
      <c r="C89" s="186">
        <f>+C66+C70+C75+C78+C82+C88+C87</f>
        <v>0</v>
      </c>
      <c r="D89" s="186">
        <f>+D66+D70+D75+D78+D82+D88+D87</f>
        <v>0</v>
      </c>
      <c r="E89" s="186">
        <f>+E66+E70+E75+E78+E82+E88+E87</f>
        <v>0</v>
      </c>
      <c r="F89" s="186">
        <f>+F66+F70+F75+F78+F82+F88+F87</f>
        <v>0</v>
      </c>
      <c r="G89" s="186">
        <f>+G66+G70+G75+G78+G82+G88+G87</f>
        <v>0</v>
      </c>
    </row>
    <row r="90" spans="1:7" s="55" customFormat="1" ht="12" customHeight="1" thickBot="1" x14ac:dyDescent="0.25">
      <c r="A90" s="259" t="s">
        <v>512</v>
      </c>
      <c r="B90" s="249" t="s">
        <v>513</v>
      </c>
      <c r="C90" s="186">
        <f>+C65+C89</f>
        <v>0</v>
      </c>
      <c r="D90" s="186">
        <f>+D65+D89</f>
        <v>0</v>
      </c>
      <c r="E90" s="186">
        <f>+E65+E89</f>
        <v>0</v>
      </c>
      <c r="F90" s="186">
        <f>+F65+F89</f>
        <v>0</v>
      </c>
      <c r="G90" s="186">
        <f>+G65+G89</f>
        <v>0</v>
      </c>
    </row>
    <row r="91" spans="1:7" s="56" customFormat="1" ht="15" customHeight="1" thickBot="1" x14ac:dyDescent="0.3">
      <c r="A91" s="150"/>
      <c r="B91" s="151"/>
      <c r="C91" s="205"/>
      <c r="D91" s="205"/>
      <c r="E91" s="205"/>
      <c r="F91" s="205"/>
      <c r="G91" s="205"/>
    </row>
    <row r="92" spans="1:7" s="34" customFormat="1" ht="16.5" customHeight="1" thickBot="1" x14ac:dyDescent="0.3">
      <c r="A92" s="152"/>
      <c r="B92" s="153" t="s">
        <v>55</v>
      </c>
      <c r="C92" s="206"/>
      <c r="D92" s="206"/>
      <c r="E92" s="206"/>
      <c r="F92" s="206"/>
      <c r="G92" s="206"/>
    </row>
    <row r="93" spans="1:7" s="57" customFormat="1" ht="12" customHeight="1" thickBot="1" x14ac:dyDescent="0.3">
      <c r="A93" s="234" t="s">
        <v>16</v>
      </c>
      <c r="B93" s="24" t="s">
        <v>517</v>
      </c>
      <c r="C93" s="179">
        <f>+C94+C95+C96+C97+C98+C111</f>
        <v>0</v>
      </c>
      <c r="D93" s="179">
        <f>+D94+D95+D96+D97+D98+D111</f>
        <v>0</v>
      </c>
      <c r="E93" s="179">
        <f>+E94+E95+E96+E97+E98+E111</f>
        <v>0</v>
      </c>
      <c r="F93" s="179">
        <f>+F94+F95+F96+F97+F98+F111</f>
        <v>0</v>
      </c>
      <c r="G93" s="179">
        <f>+G94+G95+G96+G97+G98+G111</f>
        <v>0</v>
      </c>
    </row>
    <row r="94" spans="1:7" ht="12" customHeight="1" x14ac:dyDescent="0.25">
      <c r="A94" s="260" t="s">
        <v>96</v>
      </c>
      <c r="B94" s="8" t="s">
        <v>46</v>
      </c>
      <c r="C94" s="181"/>
      <c r="D94" s="181"/>
      <c r="E94" s="181"/>
      <c r="F94" s="181"/>
      <c r="G94" s="181"/>
    </row>
    <row r="95" spans="1:7" ht="12" customHeight="1" x14ac:dyDescent="0.25">
      <c r="A95" s="253" t="s">
        <v>97</v>
      </c>
      <c r="B95" s="6" t="s">
        <v>177</v>
      </c>
      <c r="C95" s="182"/>
      <c r="D95" s="182"/>
      <c r="E95" s="182"/>
      <c r="F95" s="182"/>
      <c r="G95" s="182"/>
    </row>
    <row r="96" spans="1:7" ht="12" customHeight="1" x14ac:dyDescent="0.25">
      <c r="A96" s="253" t="s">
        <v>98</v>
      </c>
      <c r="B96" s="6" t="s">
        <v>135</v>
      </c>
      <c r="C96" s="184"/>
      <c r="D96" s="184"/>
      <c r="E96" s="184"/>
      <c r="F96" s="184"/>
      <c r="G96" s="184"/>
    </row>
    <row r="97" spans="1:7" ht="12" customHeight="1" x14ac:dyDescent="0.25">
      <c r="A97" s="253" t="s">
        <v>99</v>
      </c>
      <c r="B97" s="9" t="s">
        <v>178</v>
      </c>
      <c r="C97" s="184"/>
      <c r="D97" s="184"/>
      <c r="E97" s="184"/>
      <c r="F97" s="184"/>
      <c r="G97" s="184"/>
    </row>
    <row r="98" spans="1:7" ht="12" customHeight="1" x14ac:dyDescent="0.25">
      <c r="A98" s="253" t="s">
        <v>110</v>
      </c>
      <c r="B98" s="17" t="s">
        <v>179</v>
      </c>
      <c r="C98" s="184"/>
      <c r="D98" s="184"/>
      <c r="E98" s="184"/>
      <c r="F98" s="184"/>
      <c r="G98" s="184"/>
    </row>
    <row r="99" spans="1:7" ht="12" customHeight="1" x14ac:dyDescent="0.25">
      <c r="A99" s="253" t="s">
        <v>100</v>
      </c>
      <c r="B99" s="6" t="s">
        <v>514</v>
      </c>
      <c r="C99" s="184"/>
      <c r="D99" s="184"/>
      <c r="E99" s="184"/>
      <c r="F99" s="184"/>
      <c r="G99" s="184"/>
    </row>
    <row r="100" spans="1:7" ht="12" customHeight="1" x14ac:dyDescent="0.2">
      <c r="A100" s="253" t="s">
        <v>101</v>
      </c>
      <c r="B100" s="70" t="s">
        <v>448</v>
      </c>
      <c r="C100" s="184"/>
      <c r="D100" s="184"/>
      <c r="E100" s="184"/>
      <c r="F100" s="184"/>
      <c r="G100" s="184"/>
    </row>
    <row r="101" spans="1:7" ht="12" customHeight="1" x14ac:dyDescent="0.2">
      <c r="A101" s="253" t="s">
        <v>111</v>
      </c>
      <c r="B101" s="70" t="s">
        <v>447</v>
      </c>
      <c r="C101" s="184"/>
      <c r="D101" s="184"/>
      <c r="E101" s="184"/>
      <c r="F101" s="184"/>
      <c r="G101" s="184"/>
    </row>
    <row r="102" spans="1:7" ht="12" customHeight="1" x14ac:dyDescent="0.2">
      <c r="A102" s="253" t="s">
        <v>112</v>
      </c>
      <c r="B102" s="70" t="s">
        <v>354</v>
      </c>
      <c r="C102" s="184"/>
      <c r="D102" s="184"/>
      <c r="E102" s="184"/>
      <c r="F102" s="184"/>
      <c r="G102" s="184"/>
    </row>
    <row r="103" spans="1:7" ht="12" customHeight="1" x14ac:dyDescent="0.25">
      <c r="A103" s="253" t="s">
        <v>113</v>
      </c>
      <c r="B103" s="71" t="s">
        <v>355</v>
      </c>
      <c r="C103" s="184"/>
      <c r="D103" s="184"/>
      <c r="E103" s="184"/>
      <c r="F103" s="184"/>
      <c r="G103" s="184"/>
    </row>
    <row r="104" spans="1:7" ht="12" customHeight="1" x14ac:dyDescent="0.25">
      <c r="A104" s="253" t="s">
        <v>114</v>
      </c>
      <c r="B104" s="71" t="s">
        <v>356</v>
      </c>
      <c r="C104" s="184"/>
      <c r="D104" s="184"/>
      <c r="E104" s="184"/>
      <c r="F104" s="184"/>
      <c r="G104" s="184"/>
    </row>
    <row r="105" spans="1:7" ht="12" customHeight="1" x14ac:dyDescent="0.2">
      <c r="A105" s="253" t="s">
        <v>116</v>
      </c>
      <c r="B105" s="70" t="s">
        <v>357</v>
      </c>
      <c r="C105" s="184"/>
      <c r="D105" s="184"/>
      <c r="E105" s="184"/>
      <c r="F105" s="184"/>
      <c r="G105" s="184"/>
    </row>
    <row r="106" spans="1:7" ht="12" customHeight="1" x14ac:dyDescent="0.2">
      <c r="A106" s="253" t="s">
        <v>180</v>
      </c>
      <c r="B106" s="70" t="s">
        <v>358</v>
      </c>
      <c r="C106" s="184"/>
      <c r="D106" s="184"/>
      <c r="E106" s="184"/>
      <c r="F106" s="184"/>
      <c r="G106" s="184"/>
    </row>
    <row r="107" spans="1:7" ht="12" customHeight="1" x14ac:dyDescent="0.25">
      <c r="A107" s="253" t="s">
        <v>352</v>
      </c>
      <c r="B107" s="71" t="s">
        <v>359</v>
      </c>
      <c r="C107" s="184"/>
      <c r="D107" s="184"/>
      <c r="E107" s="184"/>
      <c r="F107" s="184"/>
      <c r="G107" s="184"/>
    </row>
    <row r="108" spans="1:7" ht="12" customHeight="1" x14ac:dyDescent="0.25">
      <c r="A108" s="261" t="s">
        <v>353</v>
      </c>
      <c r="B108" s="72" t="s">
        <v>360</v>
      </c>
      <c r="C108" s="184"/>
      <c r="D108" s="184"/>
      <c r="E108" s="184"/>
      <c r="F108" s="184"/>
      <c r="G108" s="184"/>
    </row>
    <row r="109" spans="1:7" ht="12" customHeight="1" x14ac:dyDescent="0.25">
      <c r="A109" s="253" t="s">
        <v>445</v>
      </c>
      <c r="B109" s="72" t="s">
        <v>361</v>
      </c>
      <c r="C109" s="184"/>
      <c r="D109" s="184"/>
      <c r="E109" s="184"/>
      <c r="F109" s="184"/>
      <c r="G109" s="184"/>
    </row>
    <row r="110" spans="1:7" ht="12" customHeight="1" x14ac:dyDescent="0.25">
      <c r="A110" s="253" t="s">
        <v>446</v>
      </c>
      <c r="B110" s="71" t="s">
        <v>362</v>
      </c>
      <c r="C110" s="182"/>
      <c r="D110" s="182"/>
      <c r="E110" s="182"/>
      <c r="F110" s="182"/>
      <c r="G110" s="182"/>
    </row>
    <row r="111" spans="1:7" ht="12" customHeight="1" x14ac:dyDescent="0.25">
      <c r="A111" s="253" t="s">
        <v>450</v>
      </c>
      <c r="B111" s="9" t="s">
        <v>47</v>
      </c>
      <c r="C111" s="182"/>
      <c r="D111" s="182"/>
      <c r="E111" s="182"/>
      <c r="F111" s="182"/>
      <c r="G111" s="182"/>
    </row>
    <row r="112" spans="1:7" ht="12" customHeight="1" x14ac:dyDescent="0.25">
      <c r="A112" s="254" t="s">
        <v>451</v>
      </c>
      <c r="B112" s="6" t="s">
        <v>515</v>
      </c>
      <c r="C112" s="184"/>
      <c r="D112" s="184"/>
      <c r="E112" s="184"/>
      <c r="F112" s="184"/>
      <c r="G112" s="184"/>
    </row>
    <row r="113" spans="1:7" ht="12" customHeight="1" thickBot="1" x14ac:dyDescent="0.3">
      <c r="A113" s="262" t="s">
        <v>452</v>
      </c>
      <c r="B113" s="73" t="s">
        <v>516</v>
      </c>
      <c r="C113" s="188"/>
      <c r="D113" s="188"/>
      <c r="E113" s="188"/>
      <c r="F113" s="188"/>
      <c r="G113" s="188"/>
    </row>
    <row r="114" spans="1:7" ht="12" customHeight="1" thickBot="1" x14ac:dyDescent="0.3">
      <c r="A114" s="25" t="s">
        <v>17</v>
      </c>
      <c r="B114" s="23" t="s">
        <v>363</v>
      </c>
      <c r="C114" s="180">
        <f>+C115+C117+C119</f>
        <v>0</v>
      </c>
      <c r="D114" s="180">
        <f>+D115+D117+D119</f>
        <v>0</v>
      </c>
      <c r="E114" s="180">
        <f>+E115+E117+E119</f>
        <v>0</v>
      </c>
      <c r="F114" s="180">
        <f>+F115+F117+F119</f>
        <v>0</v>
      </c>
      <c r="G114" s="180">
        <f>+G115+G117+G119</f>
        <v>0</v>
      </c>
    </row>
    <row r="115" spans="1:7" ht="12" customHeight="1" x14ac:dyDescent="0.25">
      <c r="A115" s="252" t="s">
        <v>102</v>
      </c>
      <c r="B115" s="6" t="s">
        <v>222</v>
      </c>
      <c r="C115" s="183"/>
      <c r="D115" s="183"/>
      <c r="E115" s="183"/>
      <c r="F115" s="183"/>
      <c r="G115" s="183"/>
    </row>
    <row r="116" spans="1:7" ht="12" customHeight="1" x14ac:dyDescent="0.25">
      <c r="A116" s="252" t="s">
        <v>103</v>
      </c>
      <c r="B116" s="10" t="s">
        <v>367</v>
      </c>
      <c r="C116" s="183"/>
      <c r="D116" s="183"/>
      <c r="E116" s="183"/>
      <c r="F116" s="183"/>
      <c r="G116" s="183"/>
    </row>
    <row r="117" spans="1:7" ht="12" customHeight="1" x14ac:dyDescent="0.25">
      <c r="A117" s="252" t="s">
        <v>104</v>
      </c>
      <c r="B117" s="10" t="s">
        <v>181</v>
      </c>
      <c r="C117" s="182"/>
      <c r="D117" s="182"/>
      <c r="E117" s="182"/>
      <c r="F117" s="182"/>
      <c r="G117" s="182"/>
    </row>
    <row r="118" spans="1:7" ht="12" customHeight="1" x14ac:dyDescent="0.25">
      <c r="A118" s="252" t="s">
        <v>105</v>
      </c>
      <c r="B118" s="10" t="s">
        <v>368</v>
      </c>
      <c r="C118" s="172"/>
      <c r="D118" s="172"/>
      <c r="E118" s="172"/>
      <c r="F118" s="172"/>
      <c r="G118" s="172"/>
    </row>
    <row r="119" spans="1:7" ht="12" customHeight="1" x14ac:dyDescent="0.25">
      <c r="A119" s="252" t="s">
        <v>106</v>
      </c>
      <c r="B119" s="177" t="s">
        <v>225</v>
      </c>
      <c r="C119" s="172"/>
      <c r="D119" s="172"/>
      <c r="E119" s="172"/>
      <c r="F119" s="172"/>
      <c r="G119" s="172"/>
    </row>
    <row r="120" spans="1:7" ht="12" customHeight="1" x14ac:dyDescent="0.25">
      <c r="A120" s="252" t="s">
        <v>115</v>
      </c>
      <c r="B120" s="176" t="s">
        <v>432</v>
      </c>
      <c r="C120" s="172"/>
      <c r="D120" s="172"/>
      <c r="E120" s="172"/>
      <c r="F120" s="172"/>
      <c r="G120" s="172"/>
    </row>
    <row r="121" spans="1:7" ht="12" customHeight="1" x14ac:dyDescent="0.25">
      <c r="A121" s="252" t="s">
        <v>117</v>
      </c>
      <c r="B121" s="238" t="s">
        <v>373</v>
      </c>
      <c r="C121" s="172"/>
      <c r="D121" s="172"/>
      <c r="E121" s="172"/>
      <c r="F121" s="172"/>
      <c r="G121" s="172"/>
    </row>
    <row r="122" spans="1:7" ht="12" customHeight="1" x14ac:dyDescent="0.25">
      <c r="A122" s="252" t="s">
        <v>182</v>
      </c>
      <c r="B122" s="71" t="s">
        <v>356</v>
      </c>
      <c r="C122" s="172"/>
      <c r="D122" s="172"/>
      <c r="E122" s="172"/>
      <c r="F122" s="172"/>
      <c r="G122" s="172"/>
    </row>
    <row r="123" spans="1:7" ht="12" customHeight="1" x14ac:dyDescent="0.25">
      <c r="A123" s="252" t="s">
        <v>183</v>
      </c>
      <c r="B123" s="71" t="s">
        <v>372</v>
      </c>
      <c r="C123" s="172"/>
      <c r="D123" s="172"/>
      <c r="E123" s="172"/>
      <c r="F123" s="172"/>
      <c r="G123" s="172"/>
    </row>
    <row r="124" spans="1:7" ht="12" customHeight="1" x14ac:dyDescent="0.25">
      <c r="A124" s="252" t="s">
        <v>184</v>
      </c>
      <c r="B124" s="71" t="s">
        <v>371</v>
      </c>
      <c r="C124" s="172"/>
      <c r="D124" s="172"/>
      <c r="E124" s="172"/>
      <c r="F124" s="172"/>
      <c r="G124" s="172"/>
    </row>
    <row r="125" spans="1:7" ht="12" customHeight="1" x14ac:dyDescent="0.25">
      <c r="A125" s="252" t="s">
        <v>364</v>
      </c>
      <c r="B125" s="71" t="s">
        <v>359</v>
      </c>
      <c r="C125" s="172"/>
      <c r="D125" s="172"/>
      <c r="E125" s="172"/>
      <c r="F125" s="172"/>
      <c r="G125" s="172"/>
    </row>
    <row r="126" spans="1:7" ht="12" customHeight="1" x14ac:dyDescent="0.25">
      <c r="A126" s="252" t="s">
        <v>365</v>
      </c>
      <c r="B126" s="71" t="s">
        <v>370</v>
      </c>
      <c r="C126" s="172"/>
      <c r="D126" s="172"/>
      <c r="E126" s="172"/>
      <c r="F126" s="172"/>
      <c r="G126" s="172"/>
    </row>
    <row r="127" spans="1:7" ht="12" customHeight="1" thickBot="1" x14ac:dyDescent="0.3">
      <c r="A127" s="261" t="s">
        <v>366</v>
      </c>
      <c r="B127" s="71" t="s">
        <v>369</v>
      </c>
      <c r="C127" s="173"/>
      <c r="D127" s="173"/>
      <c r="E127" s="173"/>
      <c r="F127" s="173"/>
      <c r="G127" s="173"/>
    </row>
    <row r="128" spans="1:7" ht="12" customHeight="1" thickBot="1" x14ac:dyDescent="0.3">
      <c r="A128" s="25" t="s">
        <v>18</v>
      </c>
      <c r="B128" s="63" t="s">
        <v>455</v>
      </c>
      <c r="C128" s="180">
        <f>+C93+C114</f>
        <v>0</v>
      </c>
      <c r="D128" s="180">
        <f>+D93+D114</f>
        <v>0</v>
      </c>
      <c r="E128" s="180">
        <f>+E93+E114</f>
        <v>0</v>
      </c>
      <c r="F128" s="180">
        <f>+F93+F114</f>
        <v>0</v>
      </c>
      <c r="G128" s="180">
        <f>+G93+G114</f>
        <v>0</v>
      </c>
    </row>
    <row r="129" spans="1:7" ht="12" customHeight="1" thickBot="1" x14ac:dyDescent="0.3">
      <c r="A129" s="25" t="s">
        <v>19</v>
      </c>
      <c r="B129" s="63" t="s">
        <v>456</v>
      </c>
      <c r="C129" s="180">
        <f>+C130+C131+C132</f>
        <v>0</v>
      </c>
      <c r="D129" s="180">
        <f>+D130+D131+D132</f>
        <v>0</v>
      </c>
      <c r="E129" s="180">
        <f>+E130+E131+E132</f>
        <v>0</v>
      </c>
      <c r="F129" s="180">
        <f>+F130+F131+F132</f>
        <v>0</v>
      </c>
      <c r="G129" s="180">
        <f>+G130+G131+G132</f>
        <v>0</v>
      </c>
    </row>
    <row r="130" spans="1:7" s="57" customFormat="1" ht="12" customHeight="1" x14ac:dyDescent="0.25">
      <c r="A130" s="252" t="s">
        <v>264</v>
      </c>
      <c r="B130" s="7" t="s">
        <v>520</v>
      </c>
      <c r="C130" s="172"/>
      <c r="D130" s="172"/>
      <c r="E130" s="172"/>
      <c r="F130" s="172"/>
      <c r="G130" s="172"/>
    </row>
    <row r="131" spans="1:7" ht="12" customHeight="1" x14ac:dyDescent="0.25">
      <c r="A131" s="252" t="s">
        <v>267</v>
      </c>
      <c r="B131" s="7" t="s">
        <v>464</v>
      </c>
      <c r="C131" s="172"/>
      <c r="D131" s="172"/>
      <c r="E131" s="172"/>
      <c r="F131" s="172"/>
      <c r="G131" s="172"/>
    </row>
    <row r="132" spans="1:7" ht="12" customHeight="1" thickBot="1" x14ac:dyDescent="0.3">
      <c r="A132" s="261" t="s">
        <v>268</v>
      </c>
      <c r="B132" s="5" t="s">
        <v>519</v>
      </c>
      <c r="C132" s="172"/>
      <c r="D132" s="172"/>
      <c r="E132" s="172"/>
      <c r="F132" s="172"/>
      <c r="G132" s="172"/>
    </row>
    <row r="133" spans="1:7" ht="12" customHeight="1" thickBot="1" x14ac:dyDescent="0.3">
      <c r="A133" s="25" t="s">
        <v>20</v>
      </c>
      <c r="B133" s="63" t="s">
        <v>457</v>
      </c>
      <c r="C133" s="180">
        <f>+C134+C135+C136+C137+C138+C139</f>
        <v>0</v>
      </c>
      <c r="D133" s="180">
        <f>+D134+D135+D136+D137+D138+D139</f>
        <v>0</v>
      </c>
      <c r="E133" s="180">
        <f>+E134+E135+E136+E137+E138+E139</f>
        <v>0</v>
      </c>
      <c r="F133" s="180">
        <f>+F134+F135+F136+F137+F138+F139</f>
        <v>0</v>
      </c>
      <c r="G133" s="180">
        <f>+G134+G135+G136+G137+G138+G139</f>
        <v>0</v>
      </c>
    </row>
    <row r="134" spans="1:7" ht="12" customHeight="1" x14ac:dyDescent="0.25">
      <c r="A134" s="252" t="s">
        <v>89</v>
      </c>
      <c r="B134" s="7" t="s">
        <v>466</v>
      </c>
      <c r="C134" s="172"/>
      <c r="D134" s="172"/>
      <c r="E134" s="172"/>
      <c r="F134" s="172"/>
      <c r="G134" s="172"/>
    </row>
    <row r="135" spans="1:7" ht="12" customHeight="1" x14ac:dyDescent="0.25">
      <c r="A135" s="252" t="s">
        <v>90</v>
      </c>
      <c r="B135" s="7" t="s">
        <v>458</v>
      </c>
      <c r="C135" s="172"/>
      <c r="D135" s="172"/>
      <c r="E135" s="172"/>
      <c r="F135" s="172"/>
      <c r="G135" s="172"/>
    </row>
    <row r="136" spans="1:7" ht="12" customHeight="1" x14ac:dyDescent="0.25">
      <c r="A136" s="252" t="s">
        <v>91</v>
      </c>
      <c r="B136" s="7" t="s">
        <v>459</v>
      </c>
      <c r="C136" s="172"/>
      <c r="D136" s="172"/>
      <c r="E136" s="172"/>
      <c r="F136" s="172"/>
      <c r="G136" s="172"/>
    </row>
    <row r="137" spans="1:7" ht="12" customHeight="1" x14ac:dyDescent="0.25">
      <c r="A137" s="252" t="s">
        <v>169</v>
      </c>
      <c r="B137" s="7" t="s">
        <v>518</v>
      </c>
      <c r="C137" s="172"/>
      <c r="D137" s="172"/>
      <c r="E137" s="172"/>
      <c r="F137" s="172"/>
      <c r="G137" s="172"/>
    </row>
    <row r="138" spans="1:7" ht="12" customHeight="1" x14ac:dyDescent="0.25">
      <c r="A138" s="252" t="s">
        <v>170</v>
      </c>
      <c r="B138" s="7" t="s">
        <v>461</v>
      </c>
      <c r="C138" s="172"/>
      <c r="D138" s="172"/>
      <c r="E138" s="172"/>
      <c r="F138" s="172"/>
      <c r="G138" s="172"/>
    </row>
    <row r="139" spans="1:7" s="57" customFormat="1" ht="12" customHeight="1" thickBot="1" x14ac:dyDescent="0.3">
      <c r="A139" s="261" t="s">
        <v>171</v>
      </c>
      <c r="B139" s="5" t="s">
        <v>462</v>
      </c>
      <c r="C139" s="172"/>
      <c r="D139" s="172"/>
      <c r="E139" s="172"/>
      <c r="F139" s="172"/>
      <c r="G139" s="172"/>
    </row>
    <row r="140" spans="1:7" ht="12" customHeight="1" thickBot="1" x14ac:dyDescent="0.3">
      <c r="A140" s="25" t="s">
        <v>21</v>
      </c>
      <c r="B140" s="63" t="s">
        <v>544</v>
      </c>
      <c r="C140" s="186">
        <f>+C141+C142+C144+C145+C143</f>
        <v>0</v>
      </c>
      <c r="D140" s="186">
        <f>+D141+D142+D144+D145+D143</f>
        <v>0</v>
      </c>
      <c r="E140" s="186">
        <f>+E141+E142+E144+E145+E143</f>
        <v>0</v>
      </c>
      <c r="F140" s="186">
        <f>+F141+F142+F144+F145+F143</f>
        <v>0</v>
      </c>
      <c r="G140" s="186">
        <f>+G141+G142+G144+G145+G143</f>
        <v>0</v>
      </c>
    </row>
    <row r="141" spans="1:7" x14ac:dyDescent="0.25">
      <c r="A141" s="252" t="s">
        <v>92</v>
      </c>
      <c r="B141" s="7" t="s">
        <v>374</v>
      </c>
      <c r="C141" s="172"/>
      <c r="D141" s="172"/>
      <c r="E141" s="172"/>
      <c r="F141" s="172"/>
      <c r="G141" s="172"/>
    </row>
    <row r="142" spans="1:7" ht="12" customHeight="1" x14ac:dyDescent="0.25">
      <c r="A142" s="252" t="s">
        <v>93</v>
      </c>
      <c r="B142" s="7" t="s">
        <v>375</v>
      </c>
      <c r="C142" s="172"/>
      <c r="D142" s="172"/>
      <c r="E142" s="172"/>
      <c r="F142" s="172"/>
      <c r="G142" s="172"/>
    </row>
    <row r="143" spans="1:7" s="57" customFormat="1" ht="12" customHeight="1" x14ac:dyDescent="0.25">
      <c r="A143" s="252" t="s">
        <v>288</v>
      </c>
      <c r="B143" s="7" t="s">
        <v>543</v>
      </c>
      <c r="C143" s="172"/>
      <c r="D143" s="172"/>
      <c r="E143" s="172"/>
      <c r="F143" s="172"/>
      <c r="G143" s="172"/>
    </row>
    <row r="144" spans="1:7" s="57" customFormat="1" ht="12" customHeight="1" x14ac:dyDescent="0.25">
      <c r="A144" s="252" t="s">
        <v>289</v>
      </c>
      <c r="B144" s="7" t="s">
        <v>471</v>
      </c>
      <c r="C144" s="172"/>
      <c r="D144" s="172"/>
      <c r="E144" s="172"/>
      <c r="F144" s="172"/>
      <c r="G144" s="172"/>
    </row>
    <row r="145" spans="1:7" s="57" customFormat="1" ht="12" customHeight="1" thickBot="1" x14ac:dyDescent="0.3">
      <c r="A145" s="261" t="s">
        <v>290</v>
      </c>
      <c r="B145" s="5" t="s">
        <v>394</v>
      </c>
      <c r="C145" s="172"/>
      <c r="D145" s="172"/>
      <c r="E145" s="172"/>
      <c r="F145" s="172"/>
      <c r="G145" s="172"/>
    </row>
    <row r="146" spans="1:7" s="57" customFormat="1" ht="12" customHeight="1" thickBot="1" x14ac:dyDescent="0.3">
      <c r="A146" s="25" t="s">
        <v>22</v>
      </c>
      <c r="B146" s="63" t="s">
        <v>472</v>
      </c>
      <c r="C146" s="189">
        <f>+C147+C148+C149+C150+C151</f>
        <v>0</v>
      </c>
      <c r="D146" s="189">
        <f>+D147+D148+D149+D150+D151</f>
        <v>0</v>
      </c>
      <c r="E146" s="189">
        <f>+E147+E148+E149+E150+E151</f>
        <v>0</v>
      </c>
      <c r="F146" s="189">
        <f>+F147+F148+F149+F150+F151</f>
        <v>0</v>
      </c>
      <c r="G146" s="189">
        <f>+G147+G148+G149+G150+G151</f>
        <v>0</v>
      </c>
    </row>
    <row r="147" spans="1:7" s="57" customFormat="1" ht="12" customHeight="1" x14ac:dyDescent="0.25">
      <c r="A147" s="252" t="s">
        <v>94</v>
      </c>
      <c r="B147" s="7" t="s">
        <v>467</v>
      </c>
      <c r="C147" s="172"/>
      <c r="D147" s="172"/>
      <c r="E147" s="172"/>
      <c r="F147" s="172"/>
      <c r="G147" s="172"/>
    </row>
    <row r="148" spans="1:7" s="57" customFormat="1" ht="12" customHeight="1" x14ac:dyDescent="0.25">
      <c r="A148" s="252" t="s">
        <v>95</v>
      </c>
      <c r="B148" s="7" t="s">
        <v>474</v>
      </c>
      <c r="C148" s="172"/>
      <c r="D148" s="172"/>
      <c r="E148" s="172"/>
      <c r="F148" s="172"/>
      <c r="G148" s="172"/>
    </row>
    <row r="149" spans="1:7" s="57" customFormat="1" ht="12" customHeight="1" x14ac:dyDescent="0.25">
      <c r="A149" s="252" t="s">
        <v>300</v>
      </c>
      <c r="B149" s="7" t="s">
        <v>469</v>
      </c>
      <c r="C149" s="172"/>
      <c r="D149" s="172"/>
      <c r="E149" s="172"/>
      <c r="F149" s="172"/>
      <c r="G149" s="172"/>
    </row>
    <row r="150" spans="1:7" ht="12.75" customHeight="1" x14ac:dyDescent="0.25">
      <c r="A150" s="252" t="s">
        <v>301</v>
      </c>
      <c r="B150" s="7" t="s">
        <v>521</v>
      </c>
      <c r="C150" s="172"/>
      <c r="D150" s="172"/>
      <c r="E150" s="172"/>
      <c r="F150" s="172"/>
      <c r="G150" s="172"/>
    </row>
    <row r="151" spans="1:7" ht="12.75" customHeight="1" thickBot="1" x14ac:dyDescent="0.3">
      <c r="A151" s="261" t="s">
        <v>473</v>
      </c>
      <c r="B151" s="5" t="s">
        <v>476</v>
      </c>
      <c r="C151" s="173"/>
      <c r="D151" s="173"/>
      <c r="E151" s="173"/>
      <c r="F151" s="173"/>
      <c r="G151" s="173"/>
    </row>
    <row r="152" spans="1:7" ht="12.75" customHeight="1" thickBot="1" x14ac:dyDescent="0.3">
      <c r="A152" s="280" t="s">
        <v>23</v>
      </c>
      <c r="B152" s="63" t="s">
        <v>477</v>
      </c>
      <c r="C152" s="189"/>
      <c r="D152" s="189"/>
      <c r="E152" s="189"/>
      <c r="F152" s="189"/>
      <c r="G152" s="189"/>
    </row>
    <row r="153" spans="1:7" ht="12" customHeight="1" thickBot="1" x14ac:dyDescent="0.3">
      <c r="A153" s="280" t="s">
        <v>24</v>
      </c>
      <c r="B153" s="63" t="s">
        <v>478</v>
      </c>
      <c r="C153" s="189"/>
      <c r="D153" s="189"/>
      <c r="E153" s="189"/>
      <c r="F153" s="189"/>
      <c r="G153" s="189"/>
    </row>
    <row r="154" spans="1:7" ht="15" customHeight="1" thickBot="1" x14ac:dyDescent="0.3">
      <c r="A154" s="25" t="s">
        <v>25</v>
      </c>
      <c r="B154" s="63" t="s">
        <v>480</v>
      </c>
      <c r="C154" s="250">
        <f>+C129+C133+C140+C146+C152+C153</f>
        <v>0</v>
      </c>
      <c r="D154" s="250">
        <f>+D129+D133+D140+D146+D152+D153</f>
        <v>0</v>
      </c>
      <c r="E154" s="250">
        <f>+E129+E133+E140+E146+E152+E153</f>
        <v>0</v>
      </c>
      <c r="F154" s="250">
        <f>+F129+F133+F140+F146+F152+F153</f>
        <v>0</v>
      </c>
      <c r="G154" s="250">
        <f>+G129+G133+G140+G146+G152+G153</f>
        <v>0</v>
      </c>
    </row>
    <row r="155" spans="1:7" ht="13.8" thickBot="1" x14ac:dyDescent="0.3">
      <c r="A155" s="263" t="s">
        <v>26</v>
      </c>
      <c r="B155" s="213" t="s">
        <v>479</v>
      </c>
      <c r="C155" s="250">
        <f>+C128+C154</f>
        <v>0</v>
      </c>
      <c r="D155" s="250">
        <f>+D128+D154</f>
        <v>0</v>
      </c>
      <c r="E155" s="250">
        <f>+E128+E154</f>
        <v>0</v>
      </c>
      <c r="F155" s="250">
        <f>+F128+F154</f>
        <v>0</v>
      </c>
      <c r="G155" s="250">
        <f>+G128+G154</f>
        <v>0</v>
      </c>
    </row>
    <row r="156" spans="1:7" ht="15" customHeight="1" thickBot="1" x14ac:dyDescent="0.3"/>
    <row r="157" spans="1:7" ht="14.25" customHeight="1" thickBot="1" x14ac:dyDescent="0.3">
      <c r="A157" s="154" t="s">
        <v>522</v>
      </c>
      <c r="B157" s="155"/>
      <c r="C157" s="61"/>
      <c r="D157" s="61"/>
      <c r="E157" s="61"/>
      <c r="F157" s="61"/>
      <c r="G157" s="61"/>
    </row>
    <row r="158" spans="1:7" ht="13.8" thickBot="1" x14ac:dyDescent="0.3">
      <c r="A158" s="154" t="s">
        <v>199</v>
      </c>
      <c r="B158" s="155"/>
      <c r="C158" s="61"/>
      <c r="D158" s="61"/>
      <c r="E158" s="61"/>
      <c r="F158" s="61"/>
      <c r="G158" s="61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4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A28" zoomScaleNormal="100" workbookViewId="0">
      <selection activeCell="A43" sqref="A43:IV43"/>
    </sheetView>
  </sheetViews>
  <sheetFormatPr defaultColWidth="9.33203125" defaultRowHeight="13.2" x14ac:dyDescent="0.25"/>
  <cols>
    <col min="1" max="1" width="13.77734375" style="570" customWidth="1"/>
    <col min="2" max="2" width="70.6640625" style="542" customWidth="1"/>
    <col min="3" max="3" width="21.6640625" style="542" customWidth="1"/>
    <col min="4" max="4" width="23" style="542" customWidth="1"/>
    <col min="5" max="5" width="22.109375" style="542" customWidth="1"/>
    <col min="6" max="6" width="22.33203125" style="542" customWidth="1"/>
    <col min="7" max="7" width="23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 melléklet a ……/",LEFT([1]ÖSSZEFÜGGÉSEK!D5,4),". (….) önkormányzati rendelethez")</f>
        <v>9.2. melléklet a ……/. (….) önkormányzati rendelethez</v>
      </c>
      <c r="D1" s="535"/>
      <c r="E1" s="535"/>
      <c r="F1" s="535"/>
      <c r="G1" s="535"/>
    </row>
    <row r="2" spans="1:7" s="538" customFormat="1" ht="34.5" customHeight="1" x14ac:dyDescent="0.25">
      <c r="A2" s="232" t="s">
        <v>197</v>
      </c>
      <c r="B2" s="200" t="s">
        <v>549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402</v>
      </c>
      <c r="C3" s="540" t="s">
        <v>51</v>
      </c>
      <c r="D3" s="540" t="s">
        <v>57</v>
      </c>
      <c r="E3" s="540" t="s">
        <v>57</v>
      </c>
      <c r="F3" s="540" t="s">
        <v>57</v>
      </c>
      <c r="G3" s="540" t="s">
        <v>57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143</v>
      </c>
      <c r="G8" s="191">
        <f>SUM(G9:G19)</f>
        <v>143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>
        <v>7</v>
      </c>
      <c r="G10" s="550">
        <v>7</v>
      </c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>
        <v>136</v>
      </c>
      <c r="G16" s="551">
        <v>136</v>
      </c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785946</v>
      </c>
      <c r="E20" s="191">
        <f>SUM(E21:E23)</f>
        <v>817838</v>
      </c>
      <c r="F20" s="191">
        <f>SUM(F21:F23)</f>
        <v>817838</v>
      </c>
      <c r="G20" s="191">
        <f>SUM(G21:G23)</f>
        <v>817838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>
        <f>673846+112100</f>
        <v>785946</v>
      </c>
      <c r="E23" s="550">
        <f>673846+112100-785946+817838</f>
        <v>817838</v>
      </c>
      <c r="F23" s="550">
        <f>673846+112100-785946+817838</f>
        <v>817838</v>
      </c>
      <c r="G23" s="550">
        <f>673846+112100-785946+817838</f>
        <v>817838</v>
      </c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>
        <v>15000</v>
      </c>
      <c r="E25" s="555">
        <v>15000</v>
      </c>
      <c r="F25" s="555">
        <v>15000</v>
      </c>
      <c r="G25" s="555">
        <v>15000</v>
      </c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800946</v>
      </c>
      <c r="E37" s="561">
        <f>+E8+E20+E25+E26+E31+E35+E36</f>
        <v>832838</v>
      </c>
      <c r="F37" s="561">
        <f>+F8+F20+F25+F26+F31+F35+F36</f>
        <v>832981</v>
      </c>
      <c r="G37" s="561">
        <f>+G8+G20+G25+G26+G31+G35+G36</f>
        <v>832981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109819</v>
      </c>
      <c r="D38" s="561">
        <f>+D39+D40+D41</f>
        <v>114640518</v>
      </c>
      <c r="E38" s="561">
        <f>+E39+E40+E41</f>
        <v>114640518</v>
      </c>
      <c r="F38" s="561">
        <f>+F39+F40+F41</f>
        <v>114640375</v>
      </c>
      <c r="G38" s="561">
        <f>+G39+G40+G41</f>
        <v>114640375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>
        <v>3179222</v>
      </c>
      <c r="E39" s="39">
        <v>3179222</v>
      </c>
      <c r="F39" s="39">
        <v>3179222</v>
      </c>
      <c r="G39" s="39">
        <v>3179222</v>
      </c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>
        <v>109819</v>
      </c>
      <c r="D41" s="46">
        <f>106843549+1405165+148590+5758891-3947+3+121747+58293+16891-2887886</f>
        <v>111461296</v>
      </c>
      <c r="E41" s="46">
        <f>106843549+1405165+148590+5758891-3947+3+121747+58293+16891-2887886</f>
        <v>111461296</v>
      </c>
      <c r="F41" s="46">
        <f>106843549+1405165+148590+5758891-3947+3+121747+58293+16891-2887886-143</f>
        <v>111461153</v>
      </c>
      <c r="G41" s="46">
        <f>106843549+1405165+148590+5758891-3947+3+121747+58293+16891-2887886-143</f>
        <v>111461153</v>
      </c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109819</v>
      </c>
      <c r="D42" s="206">
        <f>D37+D38</f>
        <v>115441464</v>
      </c>
      <c r="E42" s="206">
        <f>E37+E38</f>
        <v>115473356</v>
      </c>
      <c r="F42" s="206">
        <f>F37+F38</f>
        <v>115473356</v>
      </c>
      <c r="G42" s="206">
        <f>G37+G38</f>
        <v>115473356</v>
      </c>
    </row>
    <row r="43" spans="1:7" s="552" customFormat="1" ht="78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109819</v>
      </c>
      <c r="D46" s="191">
        <f>SUM(D47:D51)</f>
        <v>115441464</v>
      </c>
      <c r="E46" s="191">
        <f>SUM(E47:E51)</f>
        <v>115305716</v>
      </c>
      <c r="F46" s="191">
        <f>SUM(F47:F51)</f>
        <v>115305716</v>
      </c>
      <c r="G46" s="191">
        <f>SUM(G47:G51)</f>
        <v>115270716</v>
      </c>
    </row>
    <row r="47" spans="1:7" ht="12" customHeight="1" x14ac:dyDescent="0.25">
      <c r="A47" s="549" t="s">
        <v>96</v>
      </c>
      <c r="B47" s="7" t="s">
        <v>46</v>
      </c>
      <c r="C47" s="39">
        <f>63407+708</f>
        <v>64115</v>
      </c>
      <c r="D47" s="39">
        <f>64501556+1065880+428900+117000+4534560+45900+13300+100000-2273930</f>
        <v>68533166</v>
      </c>
      <c r="E47" s="39">
        <f>68533166+127000+746+120000+1</f>
        <v>68780913</v>
      </c>
      <c r="F47" s="39">
        <f>68533166+127000+746+120000</f>
        <v>68780912</v>
      </c>
      <c r="G47" s="39">
        <f>68533166+127000+746+120000+1</f>
        <v>68780913</v>
      </c>
    </row>
    <row r="48" spans="1:7" ht="12" customHeight="1" x14ac:dyDescent="0.25">
      <c r="A48" s="549" t="s">
        <v>97</v>
      </c>
      <c r="B48" s="6" t="s">
        <v>177</v>
      </c>
      <c r="C48" s="42">
        <f>17513+820</f>
        <v>18333</v>
      </c>
      <c r="D48" s="42">
        <f>18470909+289285+120146+31590+1224331+12393+3591+27000-613956</f>
        <v>19565289</v>
      </c>
      <c r="E48" s="42">
        <f>18470909+289285+120146+31590+1224331+12393+3591+27000-613956+27000-147146+165689+2</f>
        <v>19610834</v>
      </c>
      <c r="F48" s="42">
        <f>18470909+289285+120146+31590+1224331+12393+3591+27000-613956+27000-147146+165689</f>
        <v>19610832</v>
      </c>
      <c r="G48" s="42">
        <f>18470909+289285+120146+31590+1224331+12393+3591+27000-613956+27000-147146+165689+2</f>
        <v>19610834</v>
      </c>
    </row>
    <row r="49" spans="1:7" ht="12" customHeight="1" x14ac:dyDescent="0.25">
      <c r="A49" s="549" t="s">
        <v>98</v>
      </c>
      <c r="B49" s="6" t="s">
        <v>135</v>
      </c>
      <c r="C49" s="42">
        <v>27371</v>
      </c>
      <c r="D49" s="42">
        <f>27065306+50000+124800-3947+3+121747-14900</f>
        <v>27343009</v>
      </c>
      <c r="E49" s="42">
        <f>27065306+50000+124800-3947+3+121747-14900-167640-127000-23364-86536+85638-120000-3</f>
        <v>26904104</v>
      </c>
      <c r="F49" s="42">
        <f>27065306+50000+124800-3947+3+121747-14900-167640-127000-23364-86536+85638-120000</f>
        <v>26904107</v>
      </c>
      <c r="G49" s="42">
        <f>27065306+50000+124800-3947+3+121747-14900-167640-127000-23364-86536+85638-120000-3-35000</f>
        <v>26869104</v>
      </c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>
        <v>9865</v>
      </c>
      <c r="F51" s="42">
        <v>9865</v>
      </c>
      <c r="G51" s="42">
        <v>9865</v>
      </c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167640</v>
      </c>
      <c r="F52" s="191">
        <f>SUM(F53:F55)</f>
        <v>167640</v>
      </c>
      <c r="G52" s="191">
        <f>SUM(G53:G55)</f>
        <v>202640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>
        <v>167640</v>
      </c>
      <c r="F53" s="39">
        <v>167640</v>
      </c>
      <c r="G53" s="39">
        <f>167640+35000</f>
        <v>202640</v>
      </c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2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5" customHeight="1" thickBot="1" x14ac:dyDescent="0.3">
      <c r="A58" s="554" t="s">
        <v>19</v>
      </c>
      <c r="B58" s="568" t="s">
        <v>532</v>
      </c>
      <c r="C58" s="569">
        <f>+C46+C52+C57</f>
        <v>109819</v>
      </c>
      <c r="D58" s="569">
        <f>+D46+D52+D57</f>
        <v>115441464</v>
      </c>
      <c r="E58" s="569">
        <f>+E46+E52+E57</f>
        <v>115473356</v>
      </c>
      <c r="F58" s="569">
        <f>+F46+F52+F57</f>
        <v>115473356</v>
      </c>
      <c r="G58" s="569">
        <f>+G46+G52+G57</f>
        <v>115473356</v>
      </c>
    </row>
    <row r="59" spans="1:7" ht="13.8" thickBot="1" x14ac:dyDescent="0.3">
      <c r="C59" s="571"/>
      <c r="D59" s="571"/>
      <c r="E59" s="571"/>
      <c r="F59" s="571"/>
      <c r="G59" s="571"/>
    </row>
    <row r="60" spans="1:7" ht="15" customHeight="1" thickBot="1" x14ac:dyDescent="0.3">
      <c r="A60" s="154" t="s">
        <v>522</v>
      </c>
      <c r="B60" s="155"/>
      <c r="C60" s="61">
        <v>17</v>
      </c>
      <c r="D60" s="61">
        <v>17</v>
      </c>
      <c r="E60" s="61">
        <v>17</v>
      </c>
      <c r="F60" s="61">
        <v>17</v>
      </c>
      <c r="G60" s="61">
        <v>17</v>
      </c>
    </row>
    <row r="61" spans="1:7" ht="14.25" customHeight="1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landscape" verticalDpi="300" r:id="rId1"/>
  <headerFooter alignWithMargins="0"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A30" zoomScaleNormal="100" workbookViewId="0">
      <selection activeCell="G53" sqref="G53"/>
    </sheetView>
  </sheetViews>
  <sheetFormatPr defaultColWidth="9.33203125" defaultRowHeight="13.2" x14ac:dyDescent="0.25"/>
  <cols>
    <col min="1" max="1" width="13.77734375" style="570" customWidth="1"/>
    <col min="2" max="2" width="73.77734375" style="542" customWidth="1"/>
    <col min="3" max="3" width="21.109375" style="542" customWidth="1"/>
    <col min="4" max="4" width="20" style="542" customWidth="1"/>
    <col min="5" max="5" width="22.109375" style="542" customWidth="1"/>
    <col min="6" max="6" width="22" style="542" customWidth="1"/>
    <col min="7" max="7" width="21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 melléklet a ……/",LEFT([1]ÖSSZEFÜGGÉSEK!D5,4),". (….) önkormányzati rendelethez")</f>
        <v>9.2. melléklet a ……/. (….) önkormányzati rendelethez</v>
      </c>
      <c r="D1" s="535"/>
      <c r="E1" s="535"/>
      <c r="F1" s="535"/>
      <c r="G1" s="535"/>
    </row>
    <row r="2" spans="1:7" s="538" customFormat="1" ht="34.5" customHeight="1" x14ac:dyDescent="0.25">
      <c r="A2" s="232" t="s">
        <v>197</v>
      </c>
      <c r="B2" s="200" t="s">
        <v>564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402</v>
      </c>
      <c r="C3" s="540" t="s">
        <v>51</v>
      </c>
      <c r="D3" s="540" t="s">
        <v>51</v>
      </c>
      <c r="E3" s="540" t="s">
        <v>51</v>
      </c>
      <c r="F3" s="540" t="s">
        <v>51</v>
      </c>
      <c r="G3" s="540" t="s">
        <v>51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143</v>
      </c>
      <c r="G8" s="191">
        <f>SUM(G9:G19)</f>
        <v>143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>
        <v>7</v>
      </c>
      <c r="G10" s="550">
        <v>7</v>
      </c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>
        <v>136</v>
      </c>
      <c r="G16" s="551">
        <v>136</v>
      </c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785946</v>
      </c>
      <c r="E20" s="191">
        <f>SUM(E21:E23)</f>
        <v>615095</v>
      </c>
      <c r="F20" s="191">
        <f>SUM(F21:F23)</f>
        <v>615095</v>
      </c>
      <c r="G20" s="191">
        <f>SUM(G21:G23)</f>
        <v>615095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>
        <f>673846+112100</f>
        <v>785946</v>
      </c>
      <c r="E23" s="550">
        <f>673846+112100-785946+615095</f>
        <v>615095</v>
      </c>
      <c r="F23" s="550">
        <f>673846+112100-785946+615095</f>
        <v>615095</v>
      </c>
      <c r="G23" s="550">
        <f>673846+112100-785946+615095</f>
        <v>615095</v>
      </c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>
        <v>15000</v>
      </c>
      <c r="E25" s="555">
        <v>15000</v>
      </c>
      <c r="F25" s="555">
        <v>15000</v>
      </c>
      <c r="G25" s="555">
        <v>15000</v>
      </c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800946</v>
      </c>
      <c r="E37" s="561">
        <f>+E8+E20+E25+E26+E31+E35+E36</f>
        <v>630095</v>
      </c>
      <c r="F37" s="561">
        <f>+F8+F20+F25+F26+F31+F35+F36</f>
        <v>630238</v>
      </c>
      <c r="G37" s="561">
        <f>+G8+G20+G25+G26+G31+G35+G36</f>
        <v>630238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65663</v>
      </c>
      <c r="D38" s="561">
        <f>+D39+D40+D41</f>
        <v>67507293</v>
      </c>
      <c r="E38" s="561">
        <f>+E39+E40+E41</f>
        <v>67507293</v>
      </c>
      <c r="F38" s="561">
        <f>+F39+F40+F41</f>
        <v>67507150</v>
      </c>
      <c r="G38" s="561">
        <f>+G39+G40+G41</f>
        <v>67507150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>
        <v>3179222</v>
      </c>
      <c r="E39" s="39">
        <v>3179222</v>
      </c>
      <c r="F39" s="39">
        <v>3179222</v>
      </c>
      <c r="G39" s="39">
        <v>3179222</v>
      </c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>
        <f>64544+1119</f>
        <v>65663</v>
      </c>
      <c r="D41" s="46">
        <f>62586015+80645+3330702-3944-1665347</f>
        <v>64328071</v>
      </c>
      <c r="E41" s="46">
        <f>62586015+80645+3330702-3944-1665347</f>
        <v>64328071</v>
      </c>
      <c r="F41" s="46">
        <f>62586015+80645+3330702-3944-1665347-143</f>
        <v>64327928</v>
      </c>
      <c r="G41" s="46">
        <f>62586015+80645+3330702-3944-1665347-143</f>
        <v>64327928</v>
      </c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65663</v>
      </c>
      <c r="D42" s="206">
        <f>D37+D38</f>
        <v>68308239</v>
      </c>
      <c r="E42" s="206">
        <f>E37+E38</f>
        <v>68137388</v>
      </c>
      <c r="F42" s="206">
        <f>F37+F38</f>
        <v>68137388</v>
      </c>
      <c r="G42" s="206">
        <f>G37+G38</f>
        <v>68137388</v>
      </c>
    </row>
    <row r="43" spans="1:7" s="552" customFormat="1" ht="66.75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65663</v>
      </c>
      <c r="D46" s="191">
        <f>SUM(D47:D51)</f>
        <v>68308239</v>
      </c>
      <c r="E46" s="191">
        <f>SUM(E47:E51)</f>
        <v>68053568</v>
      </c>
      <c r="F46" s="191">
        <f>SUM(F47:F51)</f>
        <v>68053568</v>
      </c>
      <c r="G46" s="191">
        <f>SUM(G47:G51)</f>
        <v>68018568</v>
      </c>
    </row>
    <row r="47" spans="1:7" ht="12" customHeight="1" x14ac:dyDescent="0.25">
      <c r="A47" s="549" t="s">
        <v>96</v>
      </c>
      <c r="B47" s="7" t="s">
        <v>46</v>
      </c>
      <c r="C47" s="39">
        <f>34386+493</f>
        <v>34879</v>
      </c>
      <c r="D47" s="39">
        <f>35180591+428900+63500+2622600+100000-1311300</f>
        <v>37084291</v>
      </c>
      <c r="E47" s="39">
        <f>37084291-4254+120000+1</f>
        <v>37200038</v>
      </c>
      <c r="F47" s="39">
        <f>37084291-4254+120000+1</f>
        <v>37200038</v>
      </c>
      <c r="G47" s="39">
        <f>37084291-4254+120000+1</f>
        <v>37200038</v>
      </c>
    </row>
    <row r="48" spans="1:7" ht="12" customHeight="1" x14ac:dyDescent="0.25">
      <c r="A48" s="549" t="s">
        <v>97</v>
      </c>
      <c r="B48" s="6" t="s">
        <v>177</v>
      </c>
      <c r="C48" s="42">
        <f>9560+626</f>
        <v>10186</v>
      </c>
      <c r="D48" s="42">
        <f>10307490+120146+17145+708102+27000-354047</f>
        <v>10825836</v>
      </c>
      <c r="E48" s="42">
        <f>10307490+120146+17145+708102+27000-354047+27000-147146+127291+2</f>
        <v>10832983</v>
      </c>
      <c r="F48" s="42">
        <f>10307490+120146+17145+708102+27000-354047+27000-147146+127291+2</f>
        <v>10832983</v>
      </c>
      <c r="G48" s="42">
        <f>10307490+120146+17145+708102+27000-354047+27000-147146+127291+2</f>
        <v>10832983</v>
      </c>
    </row>
    <row r="49" spans="1:7" ht="12" customHeight="1" x14ac:dyDescent="0.25">
      <c r="A49" s="549" t="s">
        <v>98</v>
      </c>
      <c r="B49" s="6" t="s">
        <v>135</v>
      </c>
      <c r="C49" s="42">
        <v>20598</v>
      </c>
      <c r="D49" s="42">
        <f>20292156+124800-3944-14900</f>
        <v>20398112</v>
      </c>
      <c r="E49" s="42">
        <f>20292156+124800-3944-14900-83820-127000-23364-86536+63158-120000-3</f>
        <v>20020547</v>
      </c>
      <c r="F49" s="42">
        <f>20292156+124800-3944-14900-83820-127000-23364-86536+63158-120000-3</f>
        <v>20020547</v>
      </c>
      <c r="G49" s="42">
        <v>19985547</v>
      </c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/>
      <c r="F51" s="42"/>
      <c r="G51" s="42"/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83820</v>
      </c>
      <c r="F52" s="191">
        <f>SUM(F53:F55)</f>
        <v>83820</v>
      </c>
      <c r="G52" s="191">
        <f>SUM(G53:G55)</f>
        <v>118820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>
        <v>83820</v>
      </c>
      <c r="F53" s="39">
        <v>83820</v>
      </c>
      <c r="G53" s="39">
        <v>118820</v>
      </c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2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5" customHeight="1" thickBot="1" x14ac:dyDescent="0.3">
      <c r="A58" s="554" t="s">
        <v>19</v>
      </c>
      <c r="B58" s="568" t="s">
        <v>532</v>
      </c>
      <c r="C58" s="569">
        <f>+C46+C52+C57</f>
        <v>65663</v>
      </c>
      <c r="D58" s="569">
        <f>+D46+D52+D57</f>
        <v>68308239</v>
      </c>
      <c r="E58" s="569">
        <f>+E46+E52+E57</f>
        <v>68137388</v>
      </c>
      <c r="F58" s="569">
        <f>+F46+F52+F57</f>
        <v>68137388</v>
      </c>
      <c r="G58" s="569">
        <f>+G46+G52+G57</f>
        <v>68137388</v>
      </c>
    </row>
    <row r="59" spans="1:7" ht="13.8" thickBot="1" x14ac:dyDescent="0.3">
      <c r="C59" s="571"/>
      <c r="D59" s="571"/>
      <c r="E59" s="571"/>
      <c r="F59" s="571"/>
      <c r="G59" s="571"/>
    </row>
    <row r="60" spans="1:7" ht="15" customHeight="1" thickBot="1" x14ac:dyDescent="0.3">
      <c r="A60" s="154" t="s">
        <v>522</v>
      </c>
      <c r="B60" s="155"/>
      <c r="C60" s="61">
        <v>10</v>
      </c>
      <c r="D60" s="61">
        <v>10</v>
      </c>
      <c r="E60" s="61">
        <v>10</v>
      </c>
      <c r="F60" s="61">
        <v>10</v>
      </c>
      <c r="G60" s="61">
        <v>10</v>
      </c>
    </row>
    <row r="61" spans="1:7" ht="14.25" customHeight="1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landscape" verticalDpi="300" r:id="rId1"/>
  <headerFooter alignWithMargins="0"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A22" zoomScaleNormal="100" workbookViewId="0">
      <selection activeCell="G8" sqref="G8"/>
    </sheetView>
  </sheetViews>
  <sheetFormatPr defaultColWidth="9.33203125" defaultRowHeight="13.2" x14ac:dyDescent="0.25"/>
  <cols>
    <col min="1" max="1" width="13.77734375" style="570" customWidth="1"/>
    <col min="2" max="2" width="68.6640625" style="542" customWidth="1"/>
    <col min="3" max="3" width="19.6640625" style="542" customWidth="1"/>
    <col min="4" max="5" width="21" style="542" customWidth="1"/>
    <col min="6" max="6" width="20.33203125" style="542" customWidth="1"/>
    <col min="7" max="7" width="21.441406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 melléklet a ……/",LEFT([1]ÖSSZEFÜGGÉSEK!D5,4),". (….) önkormányzati rendelethez")</f>
        <v>9.2. melléklet a ……/. (….) önkormányzati rendelethez</v>
      </c>
      <c r="D1" s="535"/>
      <c r="E1" s="535"/>
      <c r="F1" s="535"/>
      <c r="G1" s="535"/>
    </row>
    <row r="2" spans="1:7" s="538" customFormat="1" ht="34.5" customHeight="1" x14ac:dyDescent="0.25">
      <c r="A2" s="232" t="s">
        <v>197</v>
      </c>
      <c r="B2" s="200" t="s">
        <v>565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402</v>
      </c>
      <c r="C3" s="540" t="s">
        <v>51</v>
      </c>
      <c r="D3" s="540" t="s">
        <v>51</v>
      </c>
      <c r="E3" s="540" t="s">
        <v>51</v>
      </c>
      <c r="F3" s="540" t="s">
        <v>51</v>
      </c>
      <c r="G3" s="540" t="s">
        <v>51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0</v>
      </c>
      <c r="G8" s="191">
        <f>SUM(G9:G19)</f>
        <v>0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/>
      <c r="G10" s="550"/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/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202743</v>
      </c>
      <c r="F20" s="191">
        <f>SUM(F21:F23)</f>
        <v>202743</v>
      </c>
      <c r="G20" s="191">
        <f>SUM(G21:G23)</f>
        <v>202743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>
        <v>202743</v>
      </c>
      <c r="F23" s="550">
        <v>202743</v>
      </c>
      <c r="G23" s="550">
        <v>202743</v>
      </c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0</v>
      </c>
      <c r="E37" s="561">
        <f>+E8+E20+E25+E26+E31+E35+E36</f>
        <v>202743</v>
      </c>
      <c r="F37" s="561">
        <f>+F8+F20+F25+F26+F31+F35+F36</f>
        <v>202743</v>
      </c>
      <c r="G37" s="561">
        <f>+G8+G20+G25+G26+G31+G35+G36</f>
        <v>202743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44156</v>
      </c>
      <c r="D38" s="561">
        <f>+D39+D40+D41</f>
        <v>47133225</v>
      </c>
      <c r="E38" s="561">
        <f>+E39+E40+E41</f>
        <v>47133225</v>
      </c>
      <c r="F38" s="561">
        <f>+F39+F40+F41</f>
        <v>47133225</v>
      </c>
      <c r="G38" s="561">
        <f>+G39+G40+G41</f>
        <v>47133225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/>
      <c r="E39" s="39"/>
      <c r="F39" s="39"/>
      <c r="G39" s="39"/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>
        <f>43747+409</f>
        <v>44156</v>
      </c>
      <c r="D41" s="46">
        <f>44257534+1405165+67945+2428189+121747+58293+16891-1222539</f>
        <v>47133225</v>
      </c>
      <c r="E41" s="46">
        <f>44257534+1405165+67945+2428189+121747+58293+16891-1222539</f>
        <v>47133225</v>
      </c>
      <c r="F41" s="46">
        <f>44257534+1405165+67945+2428189+121747+58293+16891-1222539</f>
        <v>47133225</v>
      </c>
      <c r="G41" s="46">
        <f>44257534+1405165+67945+2428189+121747+58293+16891-1222539</f>
        <v>47133225</v>
      </c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44156</v>
      </c>
      <c r="D42" s="206">
        <f>+D37+D38</f>
        <v>47133225</v>
      </c>
      <c r="E42" s="206">
        <f>+E37+E38</f>
        <v>47335968</v>
      </c>
      <c r="F42" s="206">
        <f>+F37+F38</f>
        <v>47335968</v>
      </c>
      <c r="G42" s="206">
        <f>+G37+G38</f>
        <v>47335968</v>
      </c>
    </row>
    <row r="43" spans="1:7" s="552" customFormat="1" ht="53.25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44156</v>
      </c>
      <c r="D46" s="191">
        <f>SUM(D47:D51)</f>
        <v>47133225</v>
      </c>
      <c r="E46" s="191">
        <f>SUM(E47:E51)</f>
        <v>47252148</v>
      </c>
      <c r="F46" s="191">
        <f>SUM(F47:F51)</f>
        <v>47252148</v>
      </c>
      <c r="G46" s="191">
        <f>SUM(G47:G51)</f>
        <v>47252148</v>
      </c>
    </row>
    <row r="47" spans="1:7" ht="12" customHeight="1" x14ac:dyDescent="0.25">
      <c r="A47" s="549" t="s">
        <v>96</v>
      </c>
      <c r="B47" s="7" t="s">
        <v>46</v>
      </c>
      <c r="C47" s="39">
        <f>29021+215</f>
        <v>29236</v>
      </c>
      <c r="D47" s="39">
        <f>29320965+1065880+53500+1911960+45900+13300-962630</f>
        <v>31448875</v>
      </c>
      <c r="E47" s="39">
        <f>29320965+1065880+53500+1911960+45900+13300-962630+132000</f>
        <v>31580875</v>
      </c>
      <c r="F47" s="39">
        <f>29320965+1065880+53500+1911960+45900+13300-962630+132000</f>
        <v>31580875</v>
      </c>
      <c r="G47" s="39">
        <f>29320965+1065880+53500+1911960+45900+13300-962630+132000</f>
        <v>31580875</v>
      </c>
    </row>
    <row r="48" spans="1:7" ht="12" customHeight="1" x14ac:dyDescent="0.25">
      <c r="A48" s="549" t="s">
        <v>97</v>
      </c>
      <c r="B48" s="6" t="s">
        <v>177</v>
      </c>
      <c r="C48" s="42">
        <f>7953+194</f>
        <v>8147</v>
      </c>
      <c r="D48" s="42">
        <f>8163419+289285+14445+516229+12393+3591-259909</f>
        <v>8739453</v>
      </c>
      <c r="E48" s="42">
        <f>8163419+289285+14445+516229+12393+3591-259909+38398</f>
        <v>8777851</v>
      </c>
      <c r="F48" s="42">
        <f>8163419+289285+14445+516229+12393+3591-259909+38398</f>
        <v>8777851</v>
      </c>
      <c r="G48" s="42">
        <f>8163419+289285+14445+516229+12393+3591-259909+38398</f>
        <v>8777851</v>
      </c>
    </row>
    <row r="49" spans="1:7" ht="12" customHeight="1" x14ac:dyDescent="0.25">
      <c r="A49" s="549" t="s">
        <v>98</v>
      </c>
      <c r="B49" s="6" t="s">
        <v>135</v>
      </c>
      <c r="C49" s="42">
        <v>6773</v>
      </c>
      <c r="D49" s="42">
        <f>6773150+50000+121747</f>
        <v>6944897</v>
      </c>
      <c r="E49" s="42">
        <f>6773150+50000+121747-83820+22480</f>
        <v>6883557</v>
      </c>
      <c r="F49" s="42">
        <f>6773150+50000+121747-83820+22480</f>
        <v>6883557</v>
      </c>
      <c r="G49" s="42">
        <f>6773150+50000+121747-83820+22480</f>
        <v>6883557</v>
      </c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>
        <v>9865</v>
      </c>
      <c r="F51" s="42">
        <v>9865</v>
      </c>
      <c r="G51" s="42">
        <v>9865</v>
      </c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83820</v>
      </c>
      <c r="F52" s="191">
        <f>SUM(F53:F55)</f>
        <v>83820</v>
      </c>
      <c r="G52" s="191">
        <f>SUM(G53:G55)</f>
        <v>83820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>
        <v>83820</v>
      </c>
      <c r="F53" s="39">
        <v>83820</v>
      </c>
      <c r="G53" s="39">
        <v>83820</v>
      </c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2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5" customHeight="1" thickBot="1" x14ac:dyDescent="0.3">
      <c r="A58" s="554" t="s">
        <v>19</v>
      </c>
      <c r="B58" s="568" t="s">
        <v>532</v>
      </c>
      <c r="C58" s="569">
        <f>+C46+C52+C57</f>
        <v>44156</v>
      </c>
      <c r="D58" s="569">
        <f>+D46+D52+D57</f>
        <v>47133225</v>
      </c>
      <c r="E58" s="569">
        <f>+E46+E52+E57</f>
        <v>47335968</v>
      </c>
      <c r="F58" s="569">
        <f>+F46+F52+F57</f>
        <v>47335968</v>
      </c>
      <c r="G58" s="569">
        <f>+G46+G52+G57</f>
        <v>47335968</v>
      </c>
    </row>
    <row r="59" spans="1:7" ht="13.8" thickBot="1" x14ac:dyDescent="0.3">
      <c r="C59" s="571"/>
      <c r="D59" s="571"/>
      <c r="E59" s="571"/>
      <c r="F59" s="571"/>
      <c r="G59" s="571"/>
    </row>
    <row r="60" spans="1:7" ht="15" customHeight="1" thickBot="1" x14ac:dyDescent="0.3">
      <c r="A60" s="154" t="s">
        <v>522</v>
      </c>
      <c r="B60" s="155"/>
      <c r="C60" s="61">
        <v>6.5</v>
      </c>
      <c r="D60" s="61">
        <v>6.5</v>
      </c>
      <c r="E60" s="61">
        <v>6.5</v>
      </c>
      <c r="F60" s="61">
        <v>6.5</v>
      </c>
      <c r="G60" s="61">
        <v>6.5</v>
      </c>
    </row>
    <row r="61" spans="1:7" ht="14.25" customHeight="1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159"/>
  <sheetViews>
    <sheetView topLeftCell="D108" zoomScaleNormal="100" zoomScaleSheetLayoutView="100" workbookViewId="0">
      <selection activeCell="H115" sqref="H115"/>
    </sheetView>
  </sheetViews>
  <sheetFormatPr defaultColWidth="9.33203125" defaultRowHeight="15.6" x14ac:dyDescent="0.3"/>
  <cols>
    <col min="1" max="1" width="7.6640625" style="214" bestFit="1" customWidth="1"/>
    <col min="2" max="2" width="63.44140625" style="214" customWidth="1"/>
    <col min="3" max="3" width="18.33203125" style="215" bestFit="1" customWidth="1"/>
    <col min="4" max="7" width="21.33203125" style="215" bestFit="1" customWidth="1"/>
    <col min="8" max="8" width="21.33203125" style="215" customWidth="1"/>
    <col min="9" max="16384" width="9.33203125" style="214"/>
  </cols>
  <sheetData>
    <row r="1" spans="1:8" x14ac:dyDescent="0.3">
      <c r="A1" s="672" t="s">
        <v>13</v>
      </c>
      <c r="B1" s="672"/>
      <c r="C1" s="214"/>
      <c r="D1" s="214"/>
      <c r="E1" s="214"/>
      <c r="F1" s="214"/>
      <c r="G1" s="214"/>
      <c r="H1" s="214"/>
    </row>
    <row r="2" spans="1:8" ht="16.8" thickBot="1" x14ac:dyDescent="0.35">
      <c r="A2" s="671" t="s">
        <v>147</v>
      </c>
      <c r="B2" s="671"/>
      <c r="C2" s="592" t="s">
        <v>606</v>
      </c>
      <c r="D2" s="592" t="s">
        <v>606</v>
      </c>
      <c r="E2" s="592" t="s">
        <v>615</v>
      </c>
      <c r="F2" s="592" t="s">
        <v>615</v>
      </c>
      <c r="G2" s="592" t="s">
        <v>615</v>
      </c>
      <c r="H2" s="592" t="s">
        <v>615</v>
      </c>
    </row>
    <row r="3" spans="1:8" ht="47.4" thickBot="1" x14ac:dyDescent="0.35">
      <c r="A3" s="593" t="s">
        <v>67</v>
      </c>
      <c r="B3" s="594" t="s">
        <v>15</v>
      </c>
      <c r="C3" s="595" t="s">
        <v>638</v>
      </c>
      <c r="D3" s="595" t="s">
        <v>681</v>
      </c>
      <c r="E3" s="595" t="s">
        <v>699</v>
      </c>
      <c r="F3" s="595" t="s">
        <v>710</v>
      </c>
      <c r="G3" s="595" t="s">
        <v>723</v>
      </c>
      <c r="H3" s="595" t="s">
        <v>723</v>
      </c>
    </row>
    <row r="4" spans="1:8" s="531" customFormat="1" ht="16.2" thickBot="1" x14ac:dyDescent="0.35">
      <c r="A4" s="596" t="s">
        <v>494</v>
      </c>
      <c r="B4" s="597" t="s">
        <v>495</v>
      </c>
      <c r="C4" s="598" t="s">
        <v>496</v>
      </c>
      <c r="D4" s="598" t="s">
        <v>496</v>
      </c>
      <c r="E4" s="598" t="s">
        <v>496</v>
      </c>
      <c r="F4" s="598" t="s">
        <v>496</v>
      </c>
      <c r="G4" s="598" t="s">
        <v>496</v>
      </c>
      <c r="H4" s="598" t="s">
        <v>496</v>
      </c>
    </row>
    <row r="5" spans="1:8" s="531" customFormat="1" ht="16.2" thickBot="1" x14ac:dyDescent="0.35">
      <c r="A5" s="599" t="s">
        <v>16</v>
      </c>
      <c r="B5" s="600" t="s">
        <v>248</v>
      </c>
      <c r="C5" s="601">
        <f t="shared" ref="C5:H5" si="0">+C6+C7+C8+C9+C10+C11</f>
        <v>220726</v>
      </c>
      <c r="D5" s="601">
        <f t="shared" si="0"/>
        <v>222684</v>
      </c>
      <c r="E5" s="601">
        <f t="shared" si="0"/>
        <v>238913095</v>
      </c>
      <c r="F5" s="601">
        <f t="shared" si="0"/>
        <v>241120656</v>
      </c>
      <c r="G5" s="601">
        <f t="shared" si="0"/>
        <v>242303330</v>
      </c>
      <c r="H5" s="601">
        <f t="shared" si="0"/>
        <v>242303330</v>
      </c>
    </row>
    <row r="6" spans="1:8" s="531" customFormat="1" x14ac:dyDescent="0.3">
      <c r="A6" s="602" t="s">
        <v>96</v>
      </c>
      <c r="B6" s="603" t="s">
        <v>249</v>
      </c>
      <c r="C6" s="604">
        <f>129684+352</f>
        <v>130036</v>
      </c>
      <c r="D6" s="604">
        <f>129684+352</f>
        <v>130036</v>
      </c>
      <c r="E6" s="604">
        <v>130036203</v>
      </c>
      <c r="F6" s="604">
        <v>130036203</v>
      </c>
      <c r="G6" s="604">
        <v>130036203</v>
      </c>
      <c r="H6" s="604">
        <v>130036203</v>
      </c>
    </row>
    <row r="7" spans="1:8" s="531" customFormat="1" x14ac:dyDescent="0.3">
      <c r="A7" s="605" t="s">
        <v>97</v>
      </c>
      <c r="B7" s="606" t="s">
        <v>250</v>
      </c>
      <c r="C7" s="607">
        <v>51222</v>
      </c>
      <c r="D7" s="607">
        <v>51222</v>
      </c>
      <c r="E7" s="607">
        <v>50307207</v>
      </c>
      <c r="F7" s="607">
        <v>51550240</v>
      </c>
      <c r="G7" s="607">
        <v>51550240</v>
      </c>
      <c r="H7" s="607">
        <v>51550240</v>
      </c>
    </row>
    <row r="8" spans="1:8" s="531" customFormat="1" x14ac:dyDescent="0.3">
      <c r="A8" s="605" t="s">
        <v>98</v>
      </c>
      <c r="B8" s="606" t="s">
        <v>251</v>
      </c>
      <c r="C8" s="607">
        <v>36662</v>
      </c>
      <c r="D8" s="607">
        <v>36662</v>
      </c>
      <c r="E8" s="607">
        <v>36662252</v>
      </c>
      <c r="F8" s="607">
        <v>36856952</v>
      </c>
      <c r="G8" s="607">
        <v>37799442</v>
      </c>
      <c r="H8" s="607">
        <v>37799442</v>
      </c>
    </row>
    <row r="9" spans="1:8" s="531" customFormat="1" x14ac:dyDescent="0.3">
      <c r="A9" s="605" t="s">
        <v>99</v>
      </c>
      <c r="B9" s="606" t="s">
        <v>252</v>
      </c>
      <c r="C9" s="607">
        <v>2806</v>
      </c>
      <c r="D9" s="607">
        <v>3496</v>
      </c>
      <c r="E9" s="607">
        <v>3495417</v>
      </c>
      <c r="F9" s="607">
        <v>3495417</v>
      </c>
      <c r="G9" s="607">
        <v>3495417</v>
      </c>
      <c r="H9" s="607">
        <v>3495417</v>
      </c>
    </row>
    <row r="10" spans="1:8" s="531" customFormat="1" x14ac:dyDescent="0.3">
      <c r="A10" s="605" t="s">
        <v>144</v>
      </c>
      <c r="B10" s="608" t="s">
        <v>436</v>
      </c>
      <c r="C10" s="607"/>
      <c r="D10" s="607">
        <v>1268</v>
      </c>
      <c r="E10" s="607">
        <v>18412016</v>
      </c>
      <c r="F10" s="607">
        <v>19181844</v>
      </c>
      <c r="G10" s="607">
        <v>19422028</v>
      </c>
      <c r="H10" s="607">
        <v>19422028</v>
      </c>
    </row>
    <row r="11" spans="1:8" s="531" customFormat="1" ht="16.2" thickBot="1" x14ac:dyDescent="0.35">
      <c r="A11" s="609" t="s">
        <v>100</v>
      </c>
      <c r="B11" s="610" t="s">
        <v>437</v>
      </c>
      <c r="C11" s="607"/>
      <c r="D11" s="607"/>
      <c r="E11" s="607"/>
      <c r="F11" s="607"/>
      <c r="G11" s="607"/>
      <c r="H11" s="607"/>
    </row>
    <row r="12" spans="1:8" s="531" customFormat="1" ht="31.8" thickBot="1" x14ac:dyDescent="0.35">
      <c r="A12" s="599" t="s">
        <v>17</v>
      </c>
      <c r="B12" s="611" t="s">
        <v>253</v>
      </c>
      <c r="C12" s="601">
        <f t="shared" ref="C12:H12" si="1">+C13+C14+C15+C16+C17</f>
        <v>45522</v>
      </c>
      <c r="D12" s="601">
        <f t="shared" si="1"/>
        <v>51222</v>
      </c>
      <c r="E12" s="601">
        <f t="shared" si="1"/>
        <v>52407745</v>
      </c>
      <c r="F12" s="601">
        <f t="shared" si="1"/>
        <v>55276337</v>
      </c>
      <c r="G12" s="601">
        <f t="shared" si="1"/>
        <v>59126337</v>
      </c>
      <c r="H12" s="601">
        <f t="shared" si="1"/>
        <v>59126337</v>
      </c>
    </row>
    <row r="13" spans="1:8" s="531" customFormat="1" x14ac:dyDescent="0.3">
      <c r="A13" s="602" t="s">
        <v>102</v>
      </c>
      <c r="B13" s="603" t="s">
        <v>254</v>
      </c>
      <c r="C13" s="604"/>
      <c r="D13" s="604"/>
      <c r="E13" s="604"/>
      <c r="F13" s="604"/>
      <c r="G13" s="604"/>
      <c r="H13" s="604"/>
    </row>
    <row r="14" spans="1:8" s="531" customFormat="1" x14ac:dyDescent="0.3">
      <c r="A14" s="605" t="s">
        <v>103</v>
      </c>
      <c r="B14" s="606" t="s">
        <v>255</v>
      </c>
      <c r="C14" s="607"/>
      <c r="D14" s="607"/>
      <c r="E14" s="607"/>
      <c r="F14" s="607"/>
      <c r="G14" s="607"/>
      <c r="H14" s="607"/>
    </row>
    <row r="15" spans="1:8" s="531" customFormat="1" ht="31.2" x14ac:dyDescent="0.3">
      <c r="A15" s="605" t="s">
        <v>104</v>
      </c>
      <c r="B15" s="606" t="s">
        <v>426</v>
      </c>
      <c r="C15" s="607"/>
      <c r="D15" s="607"/>
      <c r="E15" s="607"/>
      <c r="F15" s="607"/>
      <c r="G15" s="607"/>
      <c r="H15" s="607"/>
    </row>
    <row r="16" spans="1:8" s="531" customFormat="1" ht="31.2" x14ac:dyDescent="0.3">
      <c r="A16" s="605" t="s">
        <v>105</v>
      </c>
      <c r="B16" s="606" t="s">
        <v>427</v>
      </c>
      <c r="C16" s="607"/>
      <c r="D16" s="607"/>
      <c r="E16" s="607"/>
      <c r="F16" s="607"/>
      <c r="G16" s="607"/>
      <c r="H16" s="607"/>
    </row>
    <row r="17" spans="1:8" s="531" customFormat="1" x14ac:dyDescent="0.3">
      <c r="A17" s="605" t="s">
        <v>106</v>
      </c>
      <c r="B17" s="606" t="s">
        <v>256</v>
      </c>
      <c r="C17" s="607">
        <v>45522</v>
      </c>
      <c r="D17" s="607">
        <v>51222</v>
      </c>
      <c r="E17" s="607">
        <f>785946+51621799</f>
        <v>52407745</v>
      </c>
      <c r="F17" s="607">
        <f>817838+54458499</f>
        <v>55276337</v>
      </c>
      <c r="G17" s="607">
        <f>58308499+817838</f>
        <v>59126337</v>
      </c>
      <c r="H17" s="607">
        <f>58308499+817838</f>
        <v>59126337</v>
      </c>
    </row>
    <row r="18" spans="1:8" s="531" customFormat="1" ht="16.2" thickBot="1" x14ac:dyDescent="0.35">
      <c r="A18" s="609" t="s">
        <v>115</v>
      </c>
      <c r="B18" s="610" t="s">
        <v>257</v>
      </c>
      <c r="C18" s="612"/>
      <c r="D18" s="612"/>
      <c r="E18" s="612"/>
      <c r="F18" s="612"/>
      <c r="G18" s="612"/>
      <c r="H18" s="612"/>
    </row>
    <row r="19" spans="1:8" s="531" customFormat="1" ht="31.8" thickBot="1" x14ac:dyDescent="0.35">
      <c r="A19" s="599" t="s">
        <v>18</v>
      </c>
      <c r="B19" s="600" t="s">
        <v>258</v>
      </c>
      <c r="C19" s="601">
        <f t="shared" ref="C19:H19" si="2">+C20+C21+C22+C23+C24</f>
        <v>0</v>
      </c>
      <c r="D19" s="601">
        <f t="shared" si="2"/>
        <v>0</v>
      </c>
      <c r="E19" s="601">
        <f t="shared" si="2"/>
        <v>0</v>
      </c>
      <c r="F19" s="601">
        <f t="shared" si="2"/>
        <v>0</v>
      </c>
      <c r="G19" s="601">
        <f t="shared" si="2"/>
        <v>46961784</v>
      </c>
      <c r="H19" s="601">
        <f t="shared" si="2"/>
        <v>46961784</v>
      </c>
    </row>
    <row r="20" spans="1:8" s="531" customFormat="1" x14ac:dyDescent="0.3">
      <c r="A20" s="602" t="s">
        <v>85</v>
      </c>
      <c r="B20" s="603" t="s">
        <v>259</v>
      </c>
      <c r="C20" s="604"/>
      <c r="D20" s="604"/>
      <c r="E20" s="604"/>
      <c r="F20" s="604"/>
      <c r="G20" s="604">
        <v>43811784</v>
      </c>
      <c r="H20" s="604">
        <v>43811784</v>
      </c>
    </row>
    <row r="21" spans="1:8" s="531" customFormat="1" x14ac:dyDescent="0.3">
      <c r="A21" s="605" t="s">
        <v>86</v>
      </c>
      <c r="B21" s="606" t="s">
        <v>260</v>
      </c>
      <c r="C21" s="607"/>
      <c r="D21" s="607"/>
      <c r="E21" s="607"/>
      <c r="F21" s="607"/>
      <c r="G21" s="607"/>
      <c r="H21" s="607"/>
    </row>
    <row r="22" spans="1:8" s="531" customFormat="1" ht="31.2" x14ac:dyDescent="0.3">
      <c r="A22" s="605" t="s">
        <v>87</v>
      </c>
      <c r="B22" s="606" t="s">
        <v>428</v>
      </c>
      <c r="C22" s="607"/>
      <c r="D22" s="607"/>
      <c r="E22" s="607"/>
      <c r="F22" s="607"/>
      <c r="G22" s="607"/>
      <c r="H22" s="607"/>
    </row>
    <row r="23" spans="1:8" s="531" customFormat="1" ht="31.2" x14ac:dyDescent="0.3">
      <c r="A23" s="605" t="s">
        <v>88</v>
      </c>
      <c r="B23" s="606" t="s">
        <v>429</v>
      </c>
      <c r="C23" s="607"/>
      <c r="D23" s="607"/>
      <c r="E23" s="607"/>
      <c r="F23" s="607"/>
      <c r="G23" s="607"/>
      <c r="H23" s="607"/>
    </row>
    <row r="24" spans="1:8" s="531" customFormat="1" x14ac:dyDescent="0.3">
      <c r="A24" s="605" t="s">
        <v>165</v>
      </c>
      <c r="B24" s="606" t="s">
        <v>261</v>
      </c>
      <c r="C24" s="607"/>
      <c r="D24" s="607"/>
      <c r="E24" s="607"/>
      <c r="F24" s="607"/>
      <c r="G24" s="607">
        <v>3150000</v>
      </c>
      <c r="H24" s="607">
        <v>3150000</v>
      </c>
    </row>
    <row r="25" spans="1:8" s="531" customFormat="1" ht="16.2" thickBot="1" x14ac:dyDescent="0.35">
      <c r="A25" s="609" t="s">
        <v>166</v>
      </c>
      <c r="B25" s="613" t="s">
        <v>262</v>
      </c>
      <c r="C25" s="612"/>
      <c r="D25" s="612"/>
      <c r="E25" s="612"/>
      <c r="F25" s="612"/>
      <c r="G25" s="612"/>
      <c r="H25" s="612"/>
    </row>
    <row r="26" spans="1:8" s="531" customFormat="1" ht="16.2" thickBot="1" x14ac:dyDescent="0.35">
      <c r="A26" s="599" t="s">
        <v>167</v>
      </c>
      <c r="B26" s="600" t="s">
        <v>263</v>
      </c>
      <c r="C26" s="614">
        <f t="shared" ref="C26:H26" si="3">+C27+C31+C32+C33</f>
        <v>32674</v>
      </c>
      <c r="D26" s="614">
        <f t="shared" si="3"/>
        <v>23458</v>
      </c>
      <c r="E26" s="614">
        <f t="shared" si="3"/>
        <v>34502184</v>
      </c>
      <c r="F26" s="614">
        <f t="shared" si="3"/>
        <v>38347542</v>
      </c>
      <c r="G26" s="614">
        <f t="shared" si="3"/>
        <v>27046845</v>
      </c>
      <c r="H26" s="614">
        <f t="shared" si="3"/>
        <v>27046845</v>
      </c>
    </row>
    <row r="27" spans="1:8" s="531" customFormat="1" x14ac:dyDescent="0.3">
      <c r="A27" s="602" t="s">
        <v>264</v>
      </c>
      <c r="B27" s="603" t="s">
        <v>443</v>
      </c>
      <c r="C27" s="615">
        <f t="shared" ref="C27:H27" si="4">+C28+C29+C30</f>
        <v>3144</v>
      </c>
      <c r="D27" s="615">
        <f t="shared" si="4"/>
        <v>3144</v>
      </c>
      <c r="E27" s="615">
        <f t="shared" si="4"/>
        <v>26957184</v>
      </c>
      <c r="F27" s="615">
        <f t="shared" si="4"/>
        <v>30802542</v>
      </c>
      <c r="G27" s="615">
        <f t="shared" si="4"/>
        <v>19501845</v>
      </c>
      <c r="H27" s="615">
        <f t="shared" si="4"/>
        <v>19501845</v>
      </c>
    </row>
    <row r="28" spans="1:8" s="531" customFormat="1" x14ac:dyDescent="0.3">
      <c r="A28" s="605" t="s">
        <v>265</v>
      </c>
      <c r="B28" s="606" t="s">
        <v>270</v>
      </c>
      <c r="C28" s="607">
        <f>3496-352</f>
        <v>3144</v>
      </c>
      <c r="D28" s="607">
        <f>3496-352</f>
        <v>3144</v>
      </c>
      <c r="E28" s="607">
        <f>12770275+717759+12784000+707187+284480-2428907+2050000+72390</f>
        <v>26957184</v>
      </c>
      <c r="F28" s="607">
        <v>30802542</v>
      </c>
      <c r="G28" s="607">
        <v>19501845</v>
      </c>
      <c r="H28" s="607">
        <v>19501845</v>
      </c>
    </row>
    <row r="29" spans="1:8" s="531" customFormat="1" x14ac:dyDescent="0.3">
      <c r="A29" s="605" t="s">
        <v>266</v>
      </c>
      <c r="B29" s="606" t="s">
        <v>271</v>
      </c>
      <c r="C29" s="607"/>
      <c r="D29" s="607"/>
      <c r="E29" s="607"/>
      <c r="F29" s="607"/>
      <c r="G29" s="607"/>
      <c r="H29" s="607"/>
    </row>
    <row r="30" spans="1:8" s="531" customFormat="1" x14ac:dyDescent="0.3">
      <c r="A30" s="605" t="s">
        <v>441</v>
      </c>
      <c r="B30" s="616" t="s">
        <v>442</v>
      </c>
      <c r="C30" s="607"/>
      <c r="D30" s="607"/>
      <c r="E30" s="607"/>
      <c r="F30" s="607"/>
      <c r="G30" s="607"/>
      <c r="H30" s="607"/>
    </row>
    <row r="31" spans="1:8" s="531" customFormat="1" x14ac:dyDescent="0.3">
      <c r="A31" s="605" t="s">
        <v>267</v>
      </c>
      <c r="B31" s="606" t="s">
        <v>272</v>
      </c>
      <c r="C31" s="607">
        <v>7400</v>
      </c>
      <c r="D31" s="607">
        <v>7400</v>
      </c>
      <c r="E31" s="607">
        <f>7400000</f>
        <v>7400000</v>
      </c>
      <c r="F31" s="607">
        <f>7400000</f>
        <v>7400000</v>
      </c>
      <c r="G31" s="607">
        <f>7400000</f>
        <v>7400000</v>
      </c>
      <c r="H31" s="607">
        <f>7400000</f>
        <v>7400000</v>
      </c>
    </row>
    <row r="32" spans="1:8" s="531" customFormat="1" x14ac:dyDescent="0.3">
      <c r="A32" s="605" t="s">
        <v>268</v>
      </c>
      <c r="B32" s="606" t="s">
        <v>273</v>
      </c>
      <c r="C32" s="607">
        <f>27000-5000</f>
        <v>22000</v>
      </c>
      <c r="D32" s="607">
        <f>12588+196</f>
        <v>12784</v>
      </c>
      <c r="E32" s="607"/>
      <c r="F32" s="607"/>
      <c r="G32" s="607"/>
      <c r="H32" s="607"/>
    </row>
    <row r="33" spans="1:8" s="531" customFormat="1" ht="16.2" thickBot="1" x14ac:dyDescent="0.35">
      <c r="A33" s="609" t="s">
        <v>269</v>
      </c>
      <c r="B33" s="613" t="s">
        <v>274</v>
      </c>
      <c r="C33" s="612">
        <v>130</v>
      </c>
      <c r="D33" s="612">
        <v>130</v>
      </c>
      <c r="E33" s="612">
        <f>15000+130000</f>
        <v>145000</v>
      </c>
      <c r="F33" s="612">
        <f>15000+130000</f>
        <v>145000</v>
      </c>
      <c r="G33" s="612">
        <f>130000+15000</f>
        <v>145000</v>
      </c>
      <c r="H33" s="612">
        <f>130000+15000</f>
        <v>145000</v>
      </c>
    </row>
    <row r="34" spans="1:8" s="531" customFormat="1" ht="16.2" thickBot="1" x14ac:dyDescent="0.35">
      <c r="A34" s="599" t="s">
        <v>20</v>
      </c>
      <c r="B34" s="600" t="s">
        <v>438</v>
      </c>
      <c r="C34" s="601">
        <f t="shared" ref="C34:H34" si="5">SUM(C35:C45)</f>
        <v>14820</v>
      </c>
      <c r="D34" s="601">
        <f t="shared" si="5"/>
        <v>14820</v>
      </c>
      <c r="E34" s="601">
        <f t="shared" si="5"/>
        <v>14870000</v>
      </c>
      <c r="F34" s="601">
        <f t="shared" si="5"/>
        <v>14870000</v>
      </c>
      <c r="G34" s="601">
        <f t="shared" si="5"/>
        <v>14918289</v>
      </c>
      <c r="H34" s="601">
        <f t="shared" si="5"/>
        <v>14918289</v>
      </c>
    </row>
    <row r="35" spans="1:8" s="531" customFormat="1" x14ac:dyDescent="0.3">
      <c r="A35" s="602" t="s">
        <v>89</v>
      </c>
      <c r="B35" s="603" t="s">
        <v>277</v>
      </c>
      <c r="C35" s="604"/>
      <c r="D35" s="604"/>
      <c r="E35" s="604"/>
      <c r="F35" s="604"/>
      <c r="G35" s="604"/>
      <c r="H35" s="604"/>
    </row>
    <row r="36" spans="1:8" s="531" customFormat="1" x14ac:dyDescent="0.3">
      <c r="A36" s="605" t="s">
        <v>90</v>
      </c>
      <c r="B36" s="606" t="s">
        <v>278</v>
      </c>
      <c r="C36" s="607">
        <f>2120</f>
        <v>2120</v>
      </c>
      <c r="D36" s="607">
        <f>2120</f>
        <v>2120</v>
      </c>
      <c r="E36" s="607">
        <f>2120000</f>
        <v>2120000</v>
      </c>
      <c r="F36" s="607">
        <f>2120000</f>
        <v>2120000</v>
      </c>
      <c r="G36" s="607">
        <f>2151026+7</f>
        <v>2151033</v>
      </c>
      <c r="H36" s="607">
        <f>2151026+7</f>
        <v>2151033</v>
      </c>
    </row>
    <row r="37" spans="1:8" s="531" customFormat="1" x14ac:dyDescent="0.3">
      <c r="A37" s="605" t="s">
        <v>91</v>
      </c>
      <c r="B37" s="606" t="s">
        <v>279</v>
      </c>
      <c r="C37" s="607"/>
      <c r="D37" s="607"/>
      <c r="E37" s="607">
        <f>50000</f>
        <v>50000</v>
      </c>
      <c r="F37" s="607">
        <f>50000</f>
        <v>50000</v>
      </c>
      <c r="G37" s="607">
        <v>67018</v>
      </c>
      <c r="H37" s="607">
        <v>67018</v>
      </c>
    </row>
    <row r="38" spans="1:8" s="531" customFormat="1" x14ac:dyDescent="0.3">
      <c r="A38" s="605" t="s">
        <v>169</v>
      </c>
      <c r="B38" s="606" t="s">
        <v>280</v>
      </c>
      <c r="C38" s="607"/>
      <c r="D38" s="607"/>
      <c r="E38" s="607"/>
      <c r="F38" s="607"/>
      <c r="G38" s="607"/>
      <c r="H38" s="607"/>
    </row>
    <row r="39" spans="1:8" s="531" customFormat="1" x14ac:dyDescent="0.3">
      <c r="A39" s="605" t="s">
        <v>170</v>
      </c>
      <c r="B39" s="606" t="s">
        <v>281</v>
      </c>
      <c r="C39" s="607">
        <v>10000</v>
      </c>
      <c r="D39" s="607">
        <v>10000</v>
      </c>
      <c r="E39" s="607">
        <f>10000000</f>
        <v>10000000</v>
      </c>
      <c r="F39" s="607">
        <f>10000000</f>
        <v>10000000</v>
      </c>
      <c r="G39" s="607">
        <f>10000000</f>
        <v>10000000</v>
      </c>
      <c r="H39" s="607">
        <f>10000000</f>
        <v>10000000</v>
      </c>
    </row>
    <row r="40" spans="1:8" s="531" customFormat="1" x14ac:dyDescent="0.3">
      <c r="A40" s="605" t="s">
        <v>171</v>
      </c>
      <c r="B40" s="606" t="s">
        <v>282</v>
      </c>
      <c r="C40" s="607">
        <v>2700</v>
      </c>
      <c r="D40" s="607">
        <v>2700</v>
      </c>
      <c r="E40" s="607">
        <f>2700000</f>
        <v>2700000</v>
      </c>
      <c r="F40" s="607">
        <f>2700000</f>
        <v>2700000</v>
      </c>
      <c r="G40" s="607">
        <f>2700000</f>
        <v>2700000</v>
      </c>
      <c r="H40" s="607">
        <f>2700000</f>
        <v>2700000</v>
      </c>
    </row>
    <row r="41" spans="1:8" s="531" customFormat="1" x14ac:dyDescent="0.3">
      <c r="A41" s="605" t="s">
        <v>172</v>
      </c>
      <c r="B41" s="606" t="s">
        <v>283</v>
      </c>
      <c r="C41" s="607"/>
      <c r="D41" s="607"/>
      <c r="E41" s="607"/>
      <c r="F41" s="607"/>
      <c r="G41" s="607"/>
      <c r="H41" s="607"/>
    </row>
    <row r="42" spans="1:8" s="531" customFormat="1" x14ac:dyDescent="0.3">
      <c r="A42" s="605" t="s">
        <v>173</v>
      </c>
      <c r="B42" s="606" t="s">
        <v>284</v>
      </c>
      <c r="C42" s="607"/>
      <c r="D42" s="607"/>
      <c r="E42" s="607"/>
      <c r="F42" s="607"/>
      <c r="G42" s="607">
        <f>102+136</f>
        <v>238</v>
      </c>
      <c r="H42" s="607">
        <f>102+136</f>
        <v>238</v>
      </c>
    </row>
    <row r="43" spans="1:8" s="531" customFormat="1" x14ac:dyDescent="0.3">
      <c r="A43" s="605" t="s">
        <v>275</v>
      </c>
      <c r="B43" s="606" t="s">
        <v>285</v>
      </c>
      <c r="C43" s="617"/>
      <c r="D43" s="617"/>
      <c r="E43" s="617"/>
      <c r="F43" s="617"/>
      <c r="G43" s="617"/>
      <c r="H43" s="617"/>
    </row>
    <row r="44" spans="1:8" s="531" customFormat="1" x14ac:dyDescent="0.3">
      <c r="A44" s="609" t="s">
        <v>276</v>
      </c>
      <c r="B44" s="613" t="s">
        <v>440</v>
      </c>
      <c r="C44" s="618"/>
      <c r="D44" s="618"/>
      <c r="E44" s="618"/>
      <c r="F44" s="618"/>
      <c r="G44" s="618"/>
      <c r="H44" s="618"/>
    </row>
    <row r="45" spans="1:8" s="531" customFormat="1" ht="16.2" thickBot="1" x14ac:dyDescent="0.35">
      <c r="A45" s="609" t="s">
        <v>439</v>
      </c>
      <c r="B45" s="610" t="s">
        <v>286</v>
      </c>
      <c r="C45" s="618"/>
      <c r="D45" s="618"/>
      <c r="E45" s="618"/>
      <c r="F45" s="618"/>
      <c r="G45" s="618"/>
      <c r="H45" s="618"/>
    </row>
    <row r="46" spans="1:8" s="531" customFormat="1" ht="16.2" thickBot="1" x14ac:dyDescent="0.35">
      <c r="A46" s="599" t="s">
        <v>21</v>
      </c>
      <c r="B46" s="600" t="s">
        <v>287</v>
      </c>
      <c r="C46" s="601">
        <f t="shared" ref="C46:H46" si="6">SUM(C47:C51)</f>
        <v>0</v>
      </c>
      <c r="D46" s="601">
        <f t="shared" si="6"/>
        <v>0</v>
      </c>
      <c r="E46" s="601">
        <f t="shared" si="6"/>
        <v>0</v>
      </c>
      <c r="F46" s="601">
        <f t="shared" si="6"/>
        <v>0</v>
      </c>
      <c r="G46" s="601">
        <f t="shared" si="6"/>
        <v>0</v>
      </c>
      <c r="H46" s="601">
        <f t="shared" si="6"/>
        <v>0</v>
      </c>
    </row>
    <row r="47" spans="1:8" s="531" customFormat="1" x14ac:dyDescent="0.3">
      <c r="A47" s="602" t="s">
        <v>92</v>
      </c>
      <c r="B47" s="603" t="s">
        <v>291</v>
      </c>
      <c r="C47" s="619"/>
      <c r="D47" s="619"/>
      <c r="E47" s="619"/>
      <c r="F47" s="619"/>
      <c r="G47" s="619"/>
      <c r="H47" s="619"/>
    </row>
    <row r="48" spans="1:8" s="531" customFormat="1" x14ac:dyDescent="0.3">
      <c r="A48" s="605" t="s">
        <v>93</v>
      </c>
      <c r="B48" s="606" t="s">
        <v>292</v>
      </c>
      <c r="C48" s="617"/>
      <c r="D48" s="617"/>
      <c r="E48" s="617"/>
      <c r="F48" s="617"/>
      <c r="G48" s="617"/>
      <c r="H48" s="617"/>
    </row>
    <row r="49" spans="1:8" s="531" customFormat="1" x14ac:dyDescent="0.3">
      <c r="A49" s="605" t="s">
        <v>288</v>
      </c>
      <c r="B49" s="606" t="s">
        <v>293</v>
      </c>
      <c r="C49" s="617"/>
      <c r="D49" s="617"/>
      <c r="E49" s="617"/>
      <c r="F49" s="617"/>
      <c r="G49" s="617"/>
      <c r="H49" s="617"/>
    </row>
    <row r="50" spans="1:8" s="531" customFormat="1" x14ac:dyDescent="0.3">
      <c r="A50" s="605" t="s">
        <v>289</v>
      </c>
      <c r="B50" s="606" t="s">
        <v>294</v>
      </c>
      <c r="C50" s="617"/>
      <c r="D50" s="617"/>
      <c r="E50" s="617"/>
      <c r="F50" s="617"/>
      <c r="G50" s="617"/>
      <c r="H50" s="617"/>
    </row>
    <row r="51" spans="1:8" s="531" customFormat="1" ht="16.2" thickBot="1" x14ac:dyDescent="0.35">
      <c r="A51" s="609" t="s">
        <v>290</v>
      </c>
      <c r="B51" s="610" t="s">
        <v>295</v>
      </c>
      <c r="C51" s="618"/>
      <c r="D51" s="618"/>
      <c r="E51" s="618"/>
      <c r="F51" s="618"/>
      <c r="G51" s="618"/>
      <c r="H51" s="618"/>
    </row>
    <row r="52" spans="1:8" s="531" customFormat="1" ht="16.2" thickBot="1" x14ac:dyDescent="0.35">
      <c r="A52" s="599" t="s">
        <v>174</v>
      </c>
      <c r="B52" s="600" t="s">
        <v>296</v>
      </c>
      <c r="C52" s="601">
        <f t="shared" ref="C52:H52" si="7">SUM(C53:C55)</f>
        <v>0</v>
      </c>
      <c r="D52" s="601">
        <f t="shared" si="7"/>
        <v>0</v>
      </c>
      <c r="E52" s="601">
        <f t="shared" si="7"/>
        <v>0</v>
      </c>
      <c r="F52" s="601">
        <f t="shared" si="7"/>
        <v>0</v>
      </c>
      <c r="G52" s="601">
        <f t="shared" si="7"/>
        <v>0</v>
      </c>
      <c r="H52" s="601">
        <f t="shared" si="7"/>
        <v>0</v>
      </c>
    </row>
    <row r="53" spans="1:8" s="531" customFormat="1" ht="31.2" x14ac:dyDescent="0.3">
      <c r="A53" s="602" t="s">
        <v>94</v>
      </c>
      <c r="B53" s="603" t="s">
        <v>297</v>
      </c>
      <c r="C53" s="604"/>
      <c r="D53" s="604"/>
      <c r="E53" s="604"/>
      <c r="F53" s="604"/>
      <c r="G53" s="604"/>
      <c r="H53" s="604"/>
    </row>
    <row r="54" spans="1:8" s="531" customFormat="1" ht="31.2" x14ac:dyDescent="0.3">
      <c r="A54" s="605" t="s">
        <v>95</v>
      </c>
      <c r="B54" s="606" t="s">
        <v>430</v>
      </c>
      <c r="C54" s="607"/>
      <c r="D54" s="607"/>
      <c r="E54" s="607"/>
      <c r="F54" s="607"/>
      <c r="G54" s="607"/>
      <c r="H54" s="607"/>
    </row>
    <row r="55" spans="1:8" s="531" customFormat="1" x14ac:dyDescent="0.3">
      <c r="A55" s="605" t="s">
        <v>300</v>
      </c>
      <c r="B55" s="606" t="s">
        <v>298</v>
      </c>
      <c r="C55" s="607"/>
      <c r="D55" s="607"/>
      <c r="E55" s="607"/>
      <c r="F55" s="607"/>
      <c r="G55" s="607"/>
      <c r="H55" s="607"/>
    </row>
    <row r="56" spans="1:8" s="531" customFormat="1" ht="16.2" thickBot="1" x14ac:dyDescent="0.35">
      <c r="A56" s="609" t="s">
        <v>301</v>
      </c>
      <c r="B56" s="610" t="s">
        <v>299</v>
      </c>
      <c r="C56" s="612"/>
      <c r="D56" s="612"/>
      <c r="E56" s="612"/>
      <c r="F56" s="612"/>
      <c r="G56" s="612"/>
      <c r="H56" s="612"/>
    </row>
    <row r="57" spans="1:8" s="531" customFormat="1" ht="16.2" thickBot="1" x14ac:dyDescent="0.35">
      <c r="A57" s="599" t="s">
        <v>23</v>
      </c>
      <c r="B57" s="611" t="s">
        <v>302</v>
      </c>
      <c r="C57" s="601">
        <f t="shared" ref="C57:H57" si="8">SUM(C58:C60)</f>
        <v>4700</v>
      </c>
      <c r="D57" s="601">
        <f t="shared" si="8"/>
        <v>4700</v>
      </c>
      <c r="E57" s="601">
        <f t="shared" si="8"/>
        <v>4700000</v>
      </c>
      <c r="F57" s="601">
        <f t="shared" si="8"/>
        <v>4700000</v>
      </c>
      <c r="G57" s="601">
        <f t="shared" si="8"/>
        <v>4700000</v>
      </c>
      <c r="H57" s="601">
        <f t="shared" si="8"/>
        <v>4700000</v>
      </c>
    </row>
    <row r="58" spans="1:8" s="531" customFormat="1" ht="31.2" x14ac:dyDescent="0.3">
      <c r="A58" s="602" t="s">
        <v>175</v>
      </c>
      <c r="B58" s="603" t="s">
        <v>304</v>
      </c>
      <c r="C58" s="617"/>
      <c r="D58" s="617"/>
      <c r="E58" s="617"/>
      <c r="F58" s="617"/>
      <c r="G58" s="617"/>
      <c r="H58" s="617"/>
    </row>
    <row r="59" spans="1:8" s="531" customFormat="1" ht="31.2" x14ac:dyDescent="0.3">
      <c r="A59" s="605" t="s">
        <v>176</v>
      </c>
      <c r="B59" s="606" t="s">
        <v>431</v>
      </c>
      <c r="C59" s="617"/>
      <c r="D59" s="617"/>
      <c r="E59" s="617"/>
      <c r="F59" s="617"/>
      <c r="G59" s="617"/>
      <c r="H59" s="617"/>
    </row>
    <row r="60" spans="1:8" s="531" customFormat="1" x14ac:dyDescent="0.3">
      <c r="A60" s="605" t="s">
        <v>224</v>
      </c>
      <c r="B60" s="606" t="s">
        <v>305</v>
      </c>
      <c r="C60" s="617">
        <v>4700</v>
      </c>
      <c r="D60" s="617">
        <v>4700</v>
      </c>
      <c r="E60" s="617">
        <f>4700000</f>
        <v>4700000</v>
      </c>
      <c r="F60" s="617">
        <f>4700000</f>
        <v>4700000</v>
      </c>
      <c r="G60" s="617">
        <f>4700000</f>
        <v>4700000</v>
      </c>
      <c r="H60" s="617">
        <f>4700000</f>
        <v>4700000</v>
      </c>
    </row>
    <row r="61" spans="1:8" s="531" customFormat="1" ht="16.2" thickBot="1" x14ac:dyDescent="0.35">
      <c r="A61" s="609" t="s">
        <v>303</v>
      </c>
      <c r="B61" s="610" t="s">
        <v>306</v>
      </c>
      <c r="C61" s="617"/>
      <c r="D61" s="617"/>
      <c r="E61" s="617"/>
      <c r="F61" s="617"/>
      <c r="G61" s="617"/>
      <c r="H61" s="617"/>
    </row>
    <row r="62" spans="1:8" s="531" customFormat="1" ht="16.2" thickBot="1" x14ac:dyDescent="0.35">
      <c r="A62" s="620" t="s">
        <v>483</v>
      </c>
      <c r="B62" s="600" t="s">
        <v>307</v>
      </c>
      <c r="C62" s="614">
        <f t="shared" ref="C62:H62" si="9">+C5+C12+C19+C26+C34+C46+C52+C57</f>
        <v>318442</v>
      </c>
      <c r="D62" s="614">
        <f t="shared" si="9"/>
        <v>316884</v>
      </c>
      <c r="E62" s="614">
        <f t="shared" si="9"/>
        <v>345393024</v>
      </c>
      <c r="F62" s="614">
        <f t="shared" si="9"/>
        <v>354314535</v>
      </c>
      <c r="G62" s="614">
        <f t="shared" si="9"/>
        <v>395056585</v>
      </c>
      <c r="H62" s="614">
        <f t="shared" si="9"/>
        <v>395056585</v>
      </c>
    </row>
    <row r="63" spans="1:8" s="531" customFormat="1" ht="16.2" thickBot="1" x14ac:dyDescent="0.35">
      <c r="A63" s="621" t="s">
        <v>308</v>
      </c>
      <c r="B63" s="611" t="s">
        <v>309</v>
      </c>
      <c r="C63" s="601">
        <f t="shared" ref="C63:H63" si="10">SUM(C64:C66)</f>
        <v>0</v>
      </c>
      <c r="D63" s="601">
        <f t="shared" si="10"/>
        <v>0</v>
      </c>
      <c r="E63" s="601">
        <f t="shared" si="10"/>
        <v>0</v>
      </c>
      <c r="F63" s="601">
        <f t="shared" si="10"/>
        <v>0</v>
      </c>
      <c r="G63" s="601">
        <f t="shared" si="10"/>
        <v>0</v>
      </c>
      <c r="H63" s="601">
        <f t="shared" si="10"/>
        <v>0</v>
      </c>
    </row>
    <row r="64" spans="1:8" s="531" customFormat="1" x14ac:dyDescent="0.3">
      <c r="A64" s="602" t="s">
        <v>340</v>
      </c>
      <c r="B64" s="603" t="s">
        <v>310</v>
      </c>
      <c r="C64" s="617"/>
      <c r="D64" s="617"/>
      <c r="E64" s="617"/>
      <c r="F64" s="617"/>
      <c r="G64" s="617"/>
      <c r="H64" s="617"/>
    </row>
    <row r="65" spans="1:8" s="531" customFormat="1" ht="31.2" x14ac:dyDescent="0.3">
      <c r="A65" s="605" t="s">
        <v>349</v>
      </c>
      <c r="B65" s="606" t="s">
        <v>311</v>
      </c>
      <c r="C65" s="617"/>
      <c r="D65" s="617"/>
      <c r="E65" s="617"/>
      <c r="F65" s="617"/>
      <c r="G65" s="617"/>
      <c r="H65" s="617"/>
    </row>
    <row r="66" spans="1:8" s="531" customFormat="1" ht="16.2" thickBot="1" x14ac:dyDescent="0.35">
      <c r="A66" s="609" t="s">
        <v>350</v>
      </c>
      <c r="B66" s="622" t="s">
        <v>468</v>
      </c>
      <c r="C66" s="617"/>
      <c r="D66" s="617"/>
      <c r="E66" s="617"/>
      <c r="F66" s="617"/>
      <c r="G66" s="617"/>
      <c r="H66" s="617"/>
    </row>
    <row r="67" spans="1:8" s="531" customFormat="1" ht="16.2" thickBot="1" x14ac:dyDescent="0.35">
      <c r="A67" s="621" t="s">
        <v>313</v>
      </c>
      <c r="B67" s="611" t="s">
        <v>314</v>
      </c>
      <c r="C67" s="601">
        <f t="shared" ref="C67:H67" si="11">SUM(C68:C71)</f>
        <v>0</v>
      </c>
      <c r="D67" s="601">
        <f t="shared" si="11"/>
        <v>0</v>
      </c>
      <c r="E67" s="601">
        <f t="shared" si="11"/>
        <v>0</v>
      </c>
      <c r="F67" s="601">
        <f t="shared" si="11"/>
        <v>0</v>
      </c>
      <c r="G67" s="601">
        <f t="shared" si="11"/>
        <v>0</v>
      </c>
      <c r="H67" s="601">
        <f t="shared" si="11"/>
        <v>0</v>
      </c>
    </row>
    <row r="68" spans="1:8" s="531" customFormat="1" x14ac:dyDescent="0.3">
      <c r="A68" s="602" t="s">
        <v>145</v>
      </c>
      <c r="B68" s="603" t="s">
        <v>315</v>
      </c>
      <c r="C68" s="617"/>
      <c r="D68" s="617"/>
      <c r="E68" s="617"/>
      <c r="F68" s="617"/>
      <c r="G68" s="617"/>
      <c r="H68" s="617"/>
    </row>
    <row r="69" spans="1:8" s="531" customFormat="1" x14ac:dyDescent="0.3">
      <c r="A69" s="605" t="s">
        <v>146</v>
      </c>
      <c r="B69" s="606" t="s">
        <v>316</v>
      </c>
      <c r="C69" s="617"/>
      <c r="D69" s="617"/>
      <c r="E69" s="617"/>
      <c r="F69" s="617"/>
      <c r="G69" s="617"/>
      <c r="H69" s="617"/>
    </row>
    <row r="70" spans="1:8" s="531" customFormat="1" x14ac:dyDescent="0.3">
      <c r="A70" s="605" t="s">
        <v>341</v>
      </c>
      <c r="B70" s="606" t="s">
        <v>317</v>
      </c>
      <c r="C70" s="617"/>
      <c r="D70" s="617"/>
      <c r="E70" s="617"/>
      <c r="F70" s="617"/>
      <c r="G70" s="617"/>
      <c r="H70" s="617"/>
    </row>
    <row r="71" spans="1:8" s="531" customFormat="1" ht="16.2" thickBot="1" x14ac:dyDescent="0.35">
      <c r="A71" s="609" t="s">
        <v>342</v>
      </c>
      <c r="B71" s="610" t="s">
        <v>318</v>
      </c>
      <c r="C71" s="617"/>
      <c r="D71" s="617"/>
      <c r="E71" s="617"/>
      <c r="F71" s="617"/>
      <c r="G71" s="617"/>
      <c r="H71" s="617"/>
    </row>
    <row r="72" spans="1:8" s="531" customFormat="1" ht="16.2" thickBot="1" x14ac:dyDescent="0.35">
      <c r="A72" s="621" t="s">
        <v>319</v>
      </c>
      <c r="B72" s="611" t="s">
        <v>320</v>
      </c>
      <c r="C72" s="601">
        <f t="shared" ref="C72:H72" si="12">SUM(C73:C74)</f>
        <v>159250</v>
      </c>
      <c r="D72" s="601">
        <f t="shared" si="12"/>
        <v>172606</v>
      </c>
      <c r="E72" s="601">
        <f t="shared" si="12"/>
        <v>175784981</v>
      </c>
      <c r="F72" s="601">
        <f t="shared" si="12"/>
        <v>175784981</v>
      </c>
      <c r="G72" s="601">
        <f t="shared" si="12"/>
        <v>175784981</v>
      </c>
      <c r="H72" s="601">
        <f t="shared" si="12"/>
        <v>175784981</v>
      </c>
    </row>
    <row r="73" spans="1:8" s="531" customFormat="1" x14ac:dyDescent="0.3">
      <c r="A73" s="602" t="s">
        <v>343</v>
      </c>
      <c r="B73" s="603" t="s">
        <v>321</v>
      </c>
      <c r="C73" s="617">
        <v>159250</v>
      </c>
      <c r="D73" s="617">
        <f>172129+477</f>
        <v>172606</v>
      </c>
      <c r="E73" s="617">
        <f>3179222+477225+172128534</f>
        <v>175784981</v>
      </c>
      <c r="F73" s="617">
        <f>3179222+477225+172128534</f>
        <v>175784981</v>
      </c>
      <c r="G73" s="617">
        <f>172128534+477225+3179222</f>
        <v>175784981</v>
      </c>
      <c r="H73" s="617">
        <f>172128534+477225+3179222</f>
        <v>175784981</v>
      </c>
    </row>
    <row r="74" spans="1:8" s="531" customFormat="1" ht="16.2" thickBot="1" x14ac:dyDescent="0.35">
      <c r="A74" s="609" t="s">
        <v>344</v>
      </c>
      <c r="B74" s="610" t="s">
        <v>322</v>
      </c>
      <c r="C74" s="617"/>
      <c r="D74" s="617"/>
      <c r="E74" s="617"/>
      <c r="F74" s="617"/>
      <c r="G74" s="617"/>
      <c r="H74" s="617"/>
    </row>
    <row r="75" spans="1:8" s="531" customFormat="1" ht="16.2" thickBot="1" x14ac:dyDescent="0.35">
      <c r="A75" s="621" t="s">
        <v>323</v>
      </c>
      <c r="B75" s="611" t="s">
        <v>324</v>
      </c>
      <c r="C75" s="601">
        <f t="shared" ref="C75:H75" si="13">SUM(C76:C78)</f>
        <v>0</v>
      </c>
      <c r="D75" s="601">
        <f t="shared" si="13"/>
        <v>0</v>
      </c>
      <c r="E75" s="601">
        <f t="shared" si="13"/>
        <v>0</v>
      </c>
      <c r="F75" s="601">
        <f t="shared" si="13"/>
        <v>0</v>
      </c>
      <c r="G75" s="601">
        <f t="shared" si="13"/>
        <v>7777206</v>
      </c>
      <c r="H75" s="601">
        <f t="shared" si="13"/>
        <v>7777206</v>
      </c>
    </row>
    <row r="76" spans="1:8" s="531" customFormat="1" x14ac:dyDescent="0.3">
      <c r="A76" s="602" t="s">
        <v>345</v>
      </c>
      <c r="B76" s="603" t="s">
        <v>325</v>
      </c>
      <c r="C76" s="617"/>
      <c r="D76" s="617"/>
      <c r="E76" s="617"/>
      <c r="F76" s="617"/>
      <c r="G76" s="617">
        <v>7777206</v>
      </c>
      <c r="H76" s="617">
        <v>7777206</v>
      </c>
    </row>
    <row r="77" spans="1:8" s="531" customFormat="1" x14ac:dyDescent="0.3">
      <c r="A77" s="605" t="s">
        <v>346</v>
      </c>
      <c r="B77" s="606" t="s">
        <v>326</v>
      </c>
      <c r="C77" s="617"/>
      <c r="D77" s="617"/>
      <c r="E77" s="617"/>
      <c r="F77" s="617"/>
      <c r="G77" s="617"/>
      <c r="H77" s="617"/>
    </row>
    <row r="78" spans="1:8" s="531" customFormat="1" ht="16.2" thickBot="1" x14ac:dyDescent="0.35">
      <c r="A78" s="609" t="s">
        <v>347</v>
      </c>
      <c r="B78" s="610" t="s">
        <v>327</v>
      </c>
      <c r="C78" s="617"/>
      <c r="D78" s="617"/>
      <c r="E78" s="617"/>
      <c r="F78" s="617"/>
      <c r="G78" s="617"/>
      <c r="H78" s="617"/>
    </row>
    <row r="79" spans="1:8" s="531" customFormat="1" ht="16.2" thickBot="1" x14ac:dyDescent="0.35">
      <c r="A79" s="621" t="s">
        <v>328</v>
      </c>
      <c r="B79" s="611" t="s">
        <v>348</v>
      </c>
      <c r="C79" s="601">
        <f t="shared" ref="C79:H79" si="14">SUM(C80:C83)</f>
        <v>0</v>
      </c>
      <c r="D79" s="601">
        <f t="shared" si="14"/>
        <v>0</v>
      </c>
      <c r="E79" s="601">
        <f t="shared" si="14"/>
        <v>0</v>
      </c>
      <c r="F79" s="601">
        <f t="shared" si="14"/>
        <v>0</v>
      </c>
      <c r="G79" s="601">
        <f t="shared" si="14"/>
        <v>0</v>
      </c>
      <c r="H79" s="601">
        <f t="shared" si="14"/>
        <v>0</v>
      </c>
    </row>
    <row r="80" spans="1:8" s="531" customFormat="1" x14ac:dyDescent="0.3">
      <c r="A80" s="623" t="s">
        <v>329</v>
      </c>
      <c r="B80" s="603" t="s">
        <v>330</v>
      </c>
      <c r="C80" s="617"/>
      <c r="D80" s="617"/>
      <c r="E80" s="617"/>
      <c r="F80" s="617"/>
      <c r="G80" s="617"/>
      <c r="H80" s="617"/>
    </row>
    <row r="81" spans="1:8" s="531" customFormat="1" x14ac:dyDescent="0.3">
      <c r="A81" s="624" t="s">
        <v>331</v>
      </c>
      <c r="B81" s="606" t="s">
        <v>332</v>
      </c>
      <c r="C81" s="617"/>
      <c r="D81" s="617"/>
      <c r="E81" s="617"/>
      <c r="F81" s="617"/>
      <c r="G81" s="617"/>
      <c r="H81" s="617"/>
    </row>
    <row r="82" spans="1:8" s="531" customFormat="1" x14ac:dyDescent="0.3">
      <c r="A82" s="624" t="s">
        <v>333</v>
      </c>
      <c r="B82" s="606" t="s">
        <v>334</v>
      </c>
      <c r="C82" s="617"/>
      <c r="D82" s="617"/>
      <c r="E82" s="617"/>
      <c r="F82" s="617"/>
      <c r="G82" s="617"/>
      <c r="H82" s="617"/>
    </row>
    <row r="83" spans="1:8" s="531" customFormat="1" ht="16.2" thickBot="1" x14ac:dyDescent="0.35">
      <c r="A83" s="625" t="s">
        <v>335</v>
      </c>
      <c r="B83" s="610" t="s">
        <v>336</v>
      </c>
      <c r="C83" s="617"/>
      <c r="D83" s="617"/>
      <c r="E83" s="617"/>
      <c r="F83" s="617"/>
      <c r="G83" s="617"/>
      <c r="H83" s="617"/>
    </row>
    <row r="84" spans="1:8" s="531" customFormat="1" ht="16.2" thickBot="1" x14ac:dyDescent="0.35">
      <c r="A84" s="621" t="s">
        <v>337</v>
      </c>
      <c r="B84" s="611" t="s">
        <v>482</v>
      </c>
      <c r="C84" s="626"/>
      <c r="D84" s="626"/>
      <c r="E84" s="626"/>
      <c r="F84" s="626"/>
      <c r="G84" s="626"/>
      <c r="H84" s="626"/>
    </row>
    <row r="85" spans="1:8" s="531" customFormat="1" ht="16.2" thickBot="1" x14ac:dyDescent="0.35">
      <c r="A85" s="621" t="s">
        <v>339</v>
      </c>
      <c r="B85" s="611" t="s">
        <v>338</v>
      </c>
      <c r="C85" s="626"/>
      <c r="D85" s="626"/>
      <c r="E85" s="626"/>
      <c r="F85" s="626"/>
      <c r="G85" s="626"/>
      <c r="H85" s="626"/>
    </row>
    <row r="86" spans="1:8" s="531" customFormat="1" ht="16.2" thickBot="1" x14ac:dyDescent="0.35">
      <c r="A86" s="621" t="s">
        <v>351</v>
      </c>
      <c r="B86" s="627" t="s">
        <v>485</v>
      </c>
      <c r="C86" s="614">
        <f t="shared" ref="C86:H86" si="15">+C63+C67+C72+C75+C79+C85+C84</f>
        <v>159250</v>
      </c>
      <c r="D86" s="614">
        <f t="shared" si="15"/>
        <v>172606</v>
      </c>
      <c r="E86" s="614">
        <f t="shared" si="15"/>
        <v>175784981</v>
      </c>
      <c r="F86" s="614">
        <f t="shared" si="15"/>
        <v>175784981</v>
      </c>
      <c r="G86" s="614">
        <f t="shared" si="15"/>
        <v>183562187</v>
      </c>
      <c r="H86" s="614">
        <f t="shared" si="15"/>
        <v>183562187</v>
      </c>
    </row>
    <row r="87" spans="1:8" s="531" customFormat="1" ht="31.8" thickBot="1" x14ac:dyDescent="0.35">
      <c r="A87" s="628" t="s">
        <v>484</v>
      </c>
      <c r="B87" s="629" t="s">
        <v>486</v>
      </c>
      <c r="C87" s="614">
        <f t="shared" ref="C87:H87" si="16">+C62+C86</f>
        <v>477692</v>
      </c>
      <c r="D87" s="614">
        <f t="shared" si="16"/>
        <v>489490</v>
      </c>
      <c r="E87" s="614">
        <f t="shared" si="16"/>
        <v>521178005</v>
      </c>
      <c r="F87" s="614">
        <f t="shared" si="16"/>
        <v>530099516</v>
      </c>
      <c r="G87" s="614">
        <f t="shared" si="16"/>
        <v>578618772</v>
      </c>
      <c r="H87" s="614">
        <f t="shared" si="16"/>
        <v>578618772</v>
      </c>
    </row>
    <row r="88" spans="1:8" s="531" customFormat="1" x14ac:dyDescent="0.3">
      <c r="A88" s="3"/>
      <c r="B88" s="4"/>
      <c r="C88" s="187"/>
      <c r="D88" s="187"/>
      <c r="E88" s="187"/>
      <c r="F88" s="187"/>
      <c r="G88" s="187"/>
      <c r="H88" s="187"/>
    </row>
    <row r="89" spans="1:8" x14ac:dyDescent="0.3">
      <c r="A89" s="672" t="s">
        <v>44</v>
      </c>
      <c r="B89" s="672"/>
      <c r="C89" s="214"/>
      <c r="D89" s="214"/>
      <c r="E89" s="214"/>
      <c r="F89" s="214"/>
      <c r="G89" s="214"/>
      <c r="H89" s="214"/>
    </row>
    <row r="90" spans="1:8" s="417" customFormat="1" ht="16.8" thickBot="1" x14ac:dyDescent="0.4">
      <c r="A90" s="673" t="s">
        <v>148</v>
      </c>
      <c r="B90" s="673"/>
      <c r="C90" s="634"/>
      <c r="D90" s="634"/>
      <c r="E90" s="634"/>
      <c r="F90" s="634"/>
      <c r="G90" s="634"/>
      <c r="H90" s="634"/>
    </row>
    <row r="91" spans="1:8" ht="47.4" thickBot="1" x14ac:dyDescent="0.35">
      <c r="A91" s="593" t="s">
        <v>67</v>
      </c>
      <c r="B91" s="594" t="s">
        <v>45</v>
      </c>
      <c r="C91" s="595" t="str">
        <f t="shared" ref="C91:H91" si="17">+C3</f>
        <v>Eredeti előirányzat (2016.01)</v>
      </c>
      <c r="D91" s="595" t="str">
        <f t="shared" si="17"/>
        <v>Módosított előirányzat (2016.05)</v>
      </c>
      <c r="E91" s="595" t="str">
        <f t="shared" si="17"/>
        <v>Módosított előirányzat (2016.09)</v>
      </c>
      <c r="F91" s="595" t="str">
        <f t="shared" si="17"/>
        <v>Módosított előirányzat (2016.11)</v>
      </c>
      <c r="G91" s="595" t="str">
        <f t="shared" si="17"/>
        <v>Módosított előirányzat (2016.12)</v>
      </c>
      <c r="H91" s="595" t="str">
        <f t="shared" si="17"/>
        <v>Módosított előirányzat (2016.12)</v>
      </c>
    </row>
    <row r="92" spans="1:8" s="531" customFormat="1" ht="16.2" thickBot="1" x14ac:dyDescent="0.35">
      <c r="A92" s="593" t="s">
        <v>494</v>
      </c>
      <c r="B92" s="594" t="s">
        <v>495</v>
      </c>
      <c r="C92" s="595" t="s">
        <v>496</v>
      </c>
      <c r="D92" s="595" t="s">
        <v>496</v>
      </c>
      <c r="E92" s="595" t="s">
        <v>496</v>
      </c>
      <c r="F92" s="595" t="s">
        <v>496</v>
      </c>
      <c r="G92" s="595" t="s">
        <v>496</v>
      </c>
      <c r="H92" s="595" t="s">
        <v>496</v>
      </c>
    </row>
    <row r="93" spans="1:8" ht="16.2" thickBot="1" x14ac:dyDescent="0.35">
      <c r="A93" s="635" t="s">
        <v>16</v>
      </c>
      <c r="B93" s="636" t="s">
        <v>729</v>
      </c>
      <c r="C93" s="637">
        <f t="shared" ref="C93:H93" si="18">C94+C95+C96+C97+C98+C111</f>
        <v>388211</v>
      </c>
      <c r="D93" s="637">
        <f t="shared" si="18"/>
        <v>398530</v>
      </c>
      <c r="E93" s="637">
        <f t="shared" si="18"/>
        <v>424951377</v>
      </c>
      <c r="F93" s="637">
        <f t="shared" si="18"/>
        <v>429678748</v>
      </c>
      <c r="G93" s="637">
        <f t="shared" si="18"/>
        <v>433666220</v>
      </c>
      <c r="H93" s="637">
        <f t="shared" si="18"/>
        <v>433631220</v>
      </c>
    </row>
    <row r="94" spans="1:8" x14ac:dyDescent="0.3">
      <c r="A94" s="638" t="s">
        <v>96</v>
      </c>
      <c r="B94" s="639" t="s">
        <v>46</v>
      </c>
      <c r="C94" s="640">
        <f>64115+11361+37340</f>
        <v>112816</v>
      </c>
      <c r="D94" s="640">
        <f>64115+11377+42299</f>
        <v>117791</v>
      </c>
      <c r="E94" s="640">
        <f>68533166+11756370+43637201</f>
        <v>123926737</v>
      </c>
      <c r="F94" s="640">
        <f>68780913+12006370+44403201</f>
        <v>125190484</v>
      </c>
      <c r="G94" s="640">
        <f>44640996+12006370+68780912</f>
        <v>125428278</v>
      </c>
      <c r="H94" s="640">
        <f>44640996+12006370+68780913</f>
        <v>125428279</v>
      </c>
    </row>
    <row r="95" spans="1:8" x14ac:dyDescent="0.3">
      <c r="A95" s="605" t="s">
        <v>97</v>
      </c>
      <c r="B95" s="641" t="s">
        <v>177</v>
      </c>
      <c r="C95" s="607">
        <f>18333+3440+13548</f>
        <v>35321</v>
      </c>
      <c r="D95" s="607">
        <f>18333+3440+14227</f>
        <v>36000</v>
      </c>
      <c r="E95" s="607">
        <f>3543625+19565289+15327363</f>
        <v>38436277</v>
      </c>
      <c r="F95" s="607">
        <f>3604375+19610834+15534184</f>
        <v>38749393</v>
      </c>
      <c r="G95" s="607">
        <f>15598389+3604375+19610832</f>
        <v>38813596</v>
      </c>
      <c r="H95" s="607">
        <f>15598389+3604375+19610834</f>
        <v>38813598</v>
      </c>
    </row>
    <row r="96" spans="1:8" x14ac:dyDescent="0.3">
      <c r="A96" s="605" t="s">
        <v>98</v>
      </c>
      <c r="B96" s="641" t="s">
        <v>135</v>
      </c>
      <c r="C96" s="612">
        <f>27371+29486+99261</f>
        <v>156118</v>
      </c>
      <c r="D96" s="612">
        <f>27371+29486+98509</f>
        <v>155366</v>
      </c>
      <c r="E96" s="612">
        <f>27175369+28519380+97638575+167640</f>
        <v>153500964</v>
      </c>
      <c r="F96" s="612">
        <f>26904104+27827630+98400575</f>
        <v>153132309</v>
      </c>
      <c r="G96" s="612">
        <f>101948575+27587630+26904107</f>
        <v>156440312</v>
      </c>
      <c r="H96" s="612">
        <f>101948575+27587630+26869104</f>
        <v>156405309</v>
      </c>
    </row>
    <row r="97" spans="1:8" x14ac:dyDescent="0.3">
      <c r="A97" s="605" t="s">
        <v>99</v>
      </c>
      <c r="B97" s="642" t="s">
        <v>178</v>
      </c>
      <c r="C97" s="612">
        <v>3650</v>
      </c>
      <c r="D97" s="612">
        <f>3650+7</f>
        <v>3657</v>
      </c>
      <c r="E97" s="612">
        <f>3768300+284480+2050000</f>
        <v>6102780</v>
      </c>
      <c r="F97" s="612">
        <v>9508880</v>
      </c>
      <c r="G97" s="612">
        <f>10786380</f>
        <v>10786380</v>
      </c>
      <c r="H97" s="612">
        <f>10786380</f>
        <v>10786380</v>
      </c>
    </row>
    <row r="98" spans="1:8" x14ac:dyDescent="0.3">
      <c r="A98" s="605" t="s">
        <v>110</v>
      </c>
      <c r="B98" s="643" t="s">
        <v>179</v>
      </c>
      <c r="C98" s="612">
        <f t="shared" ref="C98:H98" si="19">C99+C100+C101+C102+C103+C104+C105+C106+C107+C108+C109+C110</f>
        <v>80306</v>
      </c>
      <c r="D98" s="612">
        <f t="shared" si="19"/>
        <v>85716</v>
      </c>
      <c r="E98" s="612">
        <f t="shared" si="19"/>
        <v>102984619</v>
      </c>
      <c r="F98" s="612">
        <f t="shared" si="19"/>
        <v>103097682</v>
      </c>
      <c r="G98" s="612">
        <f t="shared" si="19"/>
        <v>102197654</v>
      </c>
      <c r="H98" s="612">
        <f t="shared" si="19"/>
        <v>102197654</v>
      </c>
    </row>
    <row r="99" spans="1:8" x14ac:dyDescent="0.3">
      <c r="A99" s="605" t="s">
        <v>100</v>
      </c>
      <c r="B99" s="641" t="s">
        <v>449</v>
      </c>
      <c r="C99" s="612"/>
      <c r="D99" s="612"/>
      <c r="E99" s="612"/>
      <c r="F99" s="612"/>
      <c r="G99" s="612"/>
      <c r="H99" s="612"/>
    </row>
    <row r="100" spans="1:8" x14ac:dyDescent="0.3">
      <c r="A100" s="605" t="s">
        <v>101</v>
      </c>
      <c r="B100" s="644" t="s">
        <v>448</v>
      </c>
      <c r="C100" s="612"/>
      <c r="D100" s="612"/>
      <c r="E100" s="612"/>
      <c r="F100" s="612"/>
      <c r="G100" s="612"/>
      <c r="H100" s="612"/>
    </row>
    <row r="101" spans="1:8" x14ac:dyDescent="0.3">
      <c r="A101" s="605" t="s">
        <v>111</v>
      </c>
      <c r="B101" s="644" t="s">
        <v>447</v>
      </c>
      <c r="C101" s="612"/>
      <c r="D101" s="612">
        <v>4017</v>
      </c>
      <c r="E101" s="612">
        <f>4297732</f>
        <v>4297732</v>
      </c>
      <c r="F101" s="612">
        <v>4300930</v>
      </c>
      <c r="G101" s="612">
        <v>4300930</v>
      </c>
      <c r="H101" s="612">
        <v>4300930</v>
      </c>
    </row>
    <row r="102" spans="1:8" x14ac:dyDescent="0.3">
      <c r="A102" s="605" t="s">
        <v>112</v>
      </c>
      <c r="B102" s="645" t="s">
        <v>354</v>
      </c>
      <c r="C102" s="612"/>
      <c r="D102" s="612"/>
      <c r="E102" s="612"/>
      <c r="F102" s="612"/>
      <c r="G102" s="612"/>
      <c r="H102" s="612"/>
    </row>
    <row r="103" spans="1:8" ht="31.2" x14ac:dyDescent="0.3">
      <c r="A103" s="605" t="s">
        <v>113</v>
      </c>
      <c r="B103" s="646" t="s">
        <v>355</v>
      </c>
      <c r="C103" s="612"/>
      <c r="D103" s="612"/>
      <c r="E103" s="612"/>
      <c r="F103" s="612"/>
      <c r="G103" s="612"/>
      <c r="H103" s="612"/>
    </row>
    <row r="104" spans="1:8" ht="31.2" x14ac:dyDescent="0.3">
      <c r="A104" s="605" t="s">
        <v>114</v>
      </c>
      <c r="B104" s="646" t="s">
        <v>356</v>
      </c>
      <c r="C104" s="612"/>
      <c r="D104" s="612"/>
      <c r="E104" s="612"/>
      <c r="F104" s="612"/>
      <c r="G104" s="612"/>
      <c r="H104" s="612"/>
    </row>
    <row r="105" spans="1:8" x14ac:dyDescent="0.3">
      <c r="A105" s="605" t="s">
        <v>116</v>
      </c>
      <c r="B105" s="645" t="s">
        <v>357</v>
      </c>
      <c r="C105" s="612">
        <v>78616</v>
      </c>
      <c r="D105" s="612">
        <f>79829+180</f>
        <v>80009</v>
      </c>
      <c r="E105" s="612">
        <f>80496247-137+707187+72390</f>
        <v>81275687</v>
      </c>
      <c r="F105" s="612">
        <f>9865+81375687</f>
        <v>81385552</v>
      </c>
      <c r="G105" s="612">
        <f>81375659+9865</f>
        <v>81385524</v>
      </c>
      <c r="H105" s="612">
        <f>81375659+9865</f>
        <v>81385524</v>
      </c>
    </row>
    <row r="106" spans="1:8" x14ac:dyDescent="0.3">
      <c r="A106" s="605" t="s">
        <v>180</v>
      </c>
      <c r="B106" s="645" t="s">
        <v>358</v>
      </c>
      <c r="C106" s="612"/>
      <c r="D106" s="612"/>
      <c r="E106" s="612"/>
      <c r="F106" s="612"/>
      <c r="G106" s="612"/>
      <c r="H106" s="612"/>
    </row>
    <row r="107" spans="1:8" ht="31.2" x14ac:dyDescent="0.3">
      <c r="A107" s="605" t="s">
        <v>352</v>
      </c>
      <c r="B107" s="646" t="s">
        <v>359</v>
      </c>
      <c r="C107" s="612"/>
      <c r="D107" s="612"/>
      <c r="E107" s="612"/>
      <c r="F107" s="612"/>
      <c r="G107" s="612"/>
      <c r="H107" s="612"/>
    </row>
    <row r="108" spans="1:8" x14ac:dyDescent="0.3">
      <c r="A108" s="647" t="s">
        <v>353</v>
      </c>
      <c r="B108" s="644" t="s">
        <v>360</v>
      </c>
      <c r="C108" s="612"/>
      <c r="D108" s="612"/>
      <c r="E108" s="612"/>
      <c r="F108" s="612"/>
      <c r="G108" s="612"/>
      <c r="H108" s="612"/>
    </row>
    <row r="109" spans="1:8" x14ac:dyDescent="0.3">
      <c r="A109" s="605" t="s">
        <v>445</v>
      </c>
      <c r="B109" s="644" t="s">
        <v>361</v>
      </c>
      <c r="C109" s="612"/>
      <c r="D109" s="612"/>
      <c r="E109" s="612"/>
      <c r="F109" s="612"/>
      <c r="G109" s="612"/>
      <c r="H109" s="612"/>
    </row>
    <row r="110" spans="1:8" ht="31.2" x14ac:dyDescent="0.3">
      <c r="A110" s="609" t="s">
        <v>446</v>
      </c>
      <c r="B110" s="644" t="s">
        <v>362</v>
      </c>
      <c r="C110" s="612">
        <v>1690</v>
      </c>
      <c r="D110" s="612">
        <v>1690</v>
      </c>
      <c r="E110" s="612">
        <f>17411200</f>
        <v>17411200</v>
      </c>
      <c r="F110" s="612">
        <f>17411200</f>
        <v>17411200</v>
      </c>
      <c r="G110" s="612">
        <f>16511200</f>
        <v>16511200</v>
      </c>
      <c r="H110" s="612">
        <f>16511200</f>
        <v>16511200</v>
      </c>
    </row>
    <row r="111" spans="1:8" x14ac:dyDescent="0.3">
      <c r="A111" s="605" t="s">
        <v>450</v>
      </c>
      <c r="B111" s="642" t="s">
        <v>47</v>
      </c>
      <c r="C111" s="607"/>
      <c r="D111" s="607"/>
      <c r="E111" s="607"/>
      <c r="F111" s="607"/>
      <c r="G111" s="607"/>
      <c r="H111" s="607"/>
    </row>
    <row r="112" spans="1:8" x14ac:dyDescent="0.3">
      <c r="A112" s="605" t="s">
        <v>451</v>
      </c>
      <c r="B112" s="641" t="s">
        <v>453</v>
      </c>
      <c r="C112" s="607"/>
      <c r="D112" s="607"/>
      <c r="E112" s="607"/>
      <c r="F112" s="607"/>
      <c r="G112" s="607"/>
      <c r="H112" s="607"/>
    </row>
    <row r="113" spans="1:8" ht="16.2" thickBot="1" x14ac:dyDescent="0.35">
      <c r="A113" s="648" t="s">
        <v>452</v>
      </c>
      <c r="B113" s="649" t="s">
        <v>454</v>
      </c>
      <c r="C113" s="650"/>
      <c r="D113" s="650"/>
      <c r="E113" s="650"/>
      <c r="F113" s="650"/>
      <c r="G113" s="650"/>
      <c r="H113" s="650"/>
    </row>
    <row r="114" spans="1:8" ht="16.2" thickBot="1" x14ac:dyDescent="0.35">
      <c r="A114" s="651" t="s">
        <v>17</v>
      </c>
      <c r="B114" s="652" t="s">
        <v>730</v>
      </c>
      <c r="C114" s="653">
        <f t="shared" ref="C114:H114" si="20">+C115+C117+C119</f>
        <v>81370</v>
      </c>
      <c r="D114" s="653">
        <f t="shared" si="20"/>
        <v>82849</v>
      </c>
      <c r="E114" s="653">
        <f t="shared" si="20"/>
        <v>88115184</v>
      </c>
      <c r="F114" s="653">
        <f t="shared" si="20"/>
        <v>92309324</v>
      </c>
      <c r="G114" s="653">
        <f t="shared" si="20"/>
        <v>136841108</v>
      </c>
      <c r="H114" s="653">
        <f t="shared" si="20"/>
        <v>136876108</v>
      </c>
    </row>
    <row r="115" spans="1:8" x14ac:dyDescent="0.3">
      <c r="A115" s="602" t="s">
        <v>102</v>
      </c>
      <c r="B115" s="641" t="s">
        <v>222</v>
      </c>
      <c r="C115" s="604">
        <f>906+58883+4700</f>
        <v>64489</v>
      </c>
      <c r="D115" s="604">
        <f>906+73584</f>
        <v>74490</v>
      </c>
      <c r="E115" s="604">
        <f>167640+1922145+77834413-167640</f>
        <v>79756558</v>
      </c>
      <c r="F115" s="604">
        <f>167640+2303145+81479913</f>
        <v>83950698</v>
      </c>
      <c r="G115" s="604">
        <f>81959913+2543145+167640</f>
        <v>84670698</v>
      </c>
      <c r="H115" s="604">
        <f>81959913+2543145+202640</f>
        <v>84705698</v>
      </c>
    </row>
    <row r="116" spans="1:8" x14ac:dyDescent="0.3">
      <c r="A116" s="602" t="s">
        <v>103</v>
      </c>
      <c r="B116" s="654" t="s">
        <v>367</v>
      </c>
      <c r="C116" s="604"/>
      <c r="D116" s="604"/>
      <c r="E116" s="604"/>
      <c r="F116" s="604"/>
      <c r="G116" s="604"/>
      <c r="H116" s="604"/>
    </row>
    <row r="117" spans="1:8" x14ac:dyDescent="0.3">
      <c r="A117" s="602" t="s">
        <v>104</v>
      </c>
      <c r="B117" s="654" t="s">
        <v>181</v>
      </c>
      <c r="C117" s="607">
        <f>19881-5000</f>
        <v>14881</v>
      </c>
      <c r="D117" s="607">
        <v>6359</v>
      </c>
      <c r="E117" s="607">
        <f>6358626</f>
        <v>6358626</v>
      </c>
      <c r="F117" s="607">
        <f>6358626</f>
        <v>6358626</v>
      </c>
      <c r="G117" s="607">
        <f>50170410</f>
        <v>50170410</v>
      </c>
      <c r="H117" s="607">
        <f>50170410</f>
        <v>50170410</v>
      </c>
    </row>
    <row r="118" spans="1:8" x14ac:dyDescent="0.3">
      <c r="A118" s="602" t="s">
        <v>105</v>
      </c>
      <c r="B118" s="654" t="s">
        <v>368</v>
      </c>
      <c r="C118" s="655"/>
      <c r="D118" s="655"/>
      <c r="E118" s="655"/>
      <c r="F118" s="655"/>
      <c r="G118" s="655"/>
      <c r="H118" s="655"/>
    </row>
    <row r="119" spans="1:8" x14ac:dyDescent="0.3">
      <c r="A119" s="602" t="s">
        <v>106</v>
      </c>
      <c r="B119" s="610" t="s">
        <v>225</v>
      </c>
      <c r="C119" s="655">
        <f t="shared" ref="C119:H119" si="21">C120+C121+C122+C123+C124+C125+C126+C127</f>
        <v>2000</v>
      </c>
      <c r="D119" s="655">
        <f t="shared" si="21"/>
        <v>2000</v>
      </c>
      <c r="E119" s="655">
        <f t="shared" si="21"/>
        <v>2000000</v>
      </c>
      <c r="F119" s="655">
        <f t="shared" si="21"/>
        <v>2000000</v>
      </c>
      <c r="G119" s="655">
        <f t="shared" si="21"/>
        <v>2000000</v>
      </c>
      <c r="H119" s="655">
        <f t="shared" si="21"/>
        <v>2000000</v>
      </c>
    </row>
    <row r="120" spans="1:8" ht="31.2" x14ac:dyDescent="0.3">
      <c r="A120" s="602" t="s">
        <v>115</v>
      </c>
      <c r="B120" s="608" t="s">
        <v>432</v>
      </c>
      <c r="C120" s="655"/>
      <c r="D120" s="655"/>
      <c r="E120" s="655"/>
      <c r="F120" s="655"/>
      <c r="G120" s="655"/>
      <c r="H120" s="655"/>
    </row>
    <row r="121" spans="1:8" ht="31.2" x14ac:dyDescent="0.3">
      <c r="A121" s="602" t="s">
        <v>117</v>
      </c>
      <c r="B121" s="656" t="s">
        <v>373</v>
      </c>
      <c r="C121" s="655"/>
      <c r="D121" s="655"/>
      <c r="E121" s="655"/>
      <c r="F121" s="655"/>
      <c r="G121" s="655"/>
      <c r="H121" s="655"/>
    </row>
    <row r="122" spans="1:8" ht="31.2" x14ac:dyDescent="0.3">
      <c r="A122" s="602" t="s">
        <v>182</v>
      </c>
      <c r="B122" s="646" t="s">
        <v>356</v>
      </c>
      <c r="C122" s="655"/>
      <c r="D122" s="655"/>
      <c r="E122" s="655"/>
      <c r="F122" s="655"/>
      <c r="G122" s="655"/>
      <c r="H122" s="655"/>
    </row>
    <row r="123" spans="1:8" x14ac:dyDescent="0.3">
      <c r="A123" s="602" t="s">
        <v>183</v>
      </c>
      <c r="B123" s="646" t="s">
        <v>372</v>
      </c>
      <c r="C123" s="655"/>
      <c r="D123" s="655"/>
      <c r="E123" s="655"/>
      <c r="F123" s="655"/>
      <c r="G123" s="655"/>
      <c r="H123" s="655"/>
    </row>
    <row r="124" spans="1:8" x14ac:dyDescent="0.3">
      <c r="A124" s="602" t="s">
        <v>184</v>
      </c>
      <c r="B124" s="646" t="s">
        <v>371</v>
      </c>
      <c r="C124" s="655"/>
      <c r="D124" s="655"/>
      <c r="E124" s="655"/>
      <c r="F124" s="655"/>
      <c r="G124" s="655"/>
      <c r="H124" s="655"/>
    </row>
    <row r="125" spans="1:8" ht="31.2" x14ac:dyDescent="0.3">
      <c r="A125" s="602" t="s">
        <v>364</v>
      </c>
      <c r="B125" s="646" t="s">
        <v>359</v>
      </c>
      <c r="C125" s="655"/>
      <c r="D125" s="655"/>
      <c r="E125" s="655"/>
      <c r="F125" s="655"/>
      <c r="G125" s="655"/>
      <c r="H125" s="655"/>
    </row>
    <row r="126" spans="1:8" x14ac:dyDescent="0.3">
      <c r="A126" s="602" t="s">
        <v>365</v>
      </c>
      <c r="B126" s="646" t="s">
        <v>370</v>
      </c>
      <c r="C126" s="655"/>
      <c r="D126" s="655"/>
      <c r="E126" s="655"/>
      <c r="F126" s="655"/>
      <c r="G126" s="655"/>
      <c r="H126" s="655"/>
    </row>
    <row r="127" spans="1:8" ht="31.8" thickBot="1" x14ac:dyDescent="0.35">
      <c r="A127" s="647" t="s">
        <v>366</v>
      </c>
      <c r="B127" s="646" t="s">
        <v>369</v>
      </c>
      <c r="C127" s="657">
        <v>2000</v>
      </c>
      <c r="D127" s="657">
        <v>2000</v>
      </c>
      <c r="E127" s="657">
        <f>2000000</f>
        <v>2000000</v>
      </c>
      <c r="F127" s="657">
        <f>2000000</f>
        <v>2000000</v>
      </c>
      <c r="G127" s="657">
        <f>2000000</f>
        <v>2000000</v>
      </c>
      <c r="H127" s="657">
        <f>2000000</f>
        <v>2000000</v>
      </c>
    </row>
    <row r="128" spans="1:8" ht="16.2" thickBot="1" x14ac:dyDescent="0.35">
      <c r="A128" s="599" t="s">
        <v>18</v>
      </c>
      <c r="B128" s="658" t="s">
        <v>455</v>
      </c>
      <c r="C128" s="601">
        <f t="shared" ref="C128:H128" si="22">C93+C114</f>
        <v>469581</v>
      </c>
      <c r="D128" s="601">
        <f t="shared" si="22"/>
        <v>481379</v>
      </c>
      <c r="E128" s="601">
        <f t="shared" si="22"/>
        <v>513066561</v>
      </c>
      <c r="F128" s="601">
        <f t="shared" si="22"/>
        <v>521988072</v>
      </c>
      <c r="G128" s="601">
        <f t="shared" si="22"/>
        <v>570507328</v>
      </c>
      <c r="H128" s="601">
        <f t="shared" si="22"/>
        <v>570507328</v>
      </c>
    </row>
    <row r="129" spans="1:8" ht="31.8" thickBot="1" x14ac:dyDescent="0.35">
      <c r="A129" s="599" t="s">
        <v>19</v>
      </c>
      <c r="B129" s="658" t="s">
        <v>456</v>
      </c>
      <c r="C129" s="601">
        <f t="shared" ref="C129:H129" si="23">+C130+C131+C132</f>
        <v>0</v>
      </c>
      <c r="D129" s="601">
        <f t="shared" si="23"/>
        <v>0</v>
      </c>
      <c r="E129" s="601">
        <f t="shared" si="23"/>
        <v>0</v>
      </c>
      <c r="F129" s="601">
        <f t="shared" si="23"/>
        <v>0</v>
      </c>
      <c r="G129" s="601">
        <f t="shared" si="23"/>
        <v>0</v>
      </c>
      <c r="H129" s="601">
        <f t="shared" si="23"/>
        <v>0</v>
      </c>
    </row>
    <row r="130" spans="1:8" ht="31.2" x14ac:dyDescent="0.3">
      <c r="A130" s="602" t="s">
        <v>264</v>
      </c>
      <c r="B130" s="654" t="s">
        <v>463</v>
      </c>
      <c r="C130" s="655"/>
      <c r="D130" s="655"/>
      <c r="E130" s="655"/>
      <c r="F130" s="655"/>
      <c r="G130" s="655"/>
      <c r="H130" s="655"/>
    </row>
    <row r="131" spans="1:8" ht="31.2" x14ac:dyDescent="0.3">
      <c r="A131" s="602" t="s">
        <v>267</v>
      </c>
      <c r="B131" s="654" t="s">
        <v>464</v>
      </c>
      <c r="C131" s="655"/>
      <c r="D131" s="655"/>
      <c r="E131" s="655"/>
      <c r="F131" s="655"/>
      <c r="G131" s="655"/>
      <c r="H131" s="655"/>
    </row>
    <row r="132" spans="1:8" ht="31.8" thickBot="1" x14ac:dyDescent="0.35">
      <c r="A132" s="647" t="s">
        <v>268</v>
      </c>
      <c r="B132" s="654" t="s">
        <v>465</v>
      </c>
      <c r="C132" s="655"/>
      <c r="D132" s="655"/>
      <c r="E132" s="655"/>
      <c r="F132" s="655"/>
      <c r="G132" s="655"/>
      <c r="H132" s="655"/>
    </row>
    <row r="133" spans="1:8" ht="16.2" thickBot="1" x14ac:dyDescent="0.35">
      <c r="A133" s="599" t="s">
        <v>20</v>
      </c>
      <c r="B133" s="658" t="s">
        <v>457</v>
      </c>
      <c r="C133" s="601">
        <f t="shared" ref="C133:H133" si="24">SUM(C134:C139)</f>
        <v>0</v>
      </c>
      <c r="D133" s="601">
        <f t="shared" si="24"/>
        <v>0</v>
      </c>
      <c r="E133" s="601">
        <f t="shared" si="24"/>
        <v>0</v>
      </c>
      <c r="F133" s="601">
        <f t="shared" si="24"/>
        <v>0</v>
      </c>
      <c r="G133" s="601">
        <f t="shared" si="24"/>
        <v>0</v>
      </c>
      <c r="H133" s="601">
        <f t="shared" si="24"/>
        <v>0</v>
      </c>
    </row>
    <row r="134" spans="1:8" x14ac:dyDescent="0.3">
      <c r="A134" s="602" t="s">
        <v>89</v>
      </c>
      <c r="B134" s="659" t="s">
        <v>466</v>
      </c>
      <c r="C134" s="655"/>
      <c r="D134" s="655"/>
      <c r="E134" s="655"/>
      <c r="F134" s="655"/>
      <c r="G134" s="655"/>
      <c r="H134" s="655"/>
    </row>
    <row r="135" spans="1:8" x14ac:dyDescent="0.3">
      <c r="A135" s="602" t="s">
        <v>90</v>
      </c>
      <c r="B135" s="659" t="s">
        <v>458</v>
      </c>
      <c r="C135" s="655"/>
      <c r="D135" s="655"/>
      <c r="E135" s="655"/>
      <c r="F135" s="655"/>
      <c r="G135" s="655"/>
      <c r="H135" s="655"/>
    </row>
    <row r="136" spans="1:8" x14ac:dyDescent="0.3">
      <c r="A136" s="602" t="s">
        <v>91</v>
      </c>
      <c r="B136" s="659" t="s">
        <v>459</v>
      </c>
      <c r="C136" s="655"/>
      <c r="D136" s="655"/>
      <c r="E136" s="655"/>
      <c r="F136" s="655"/>
      <c r="G136" s="655"/>
      <c r="H136" s="655"/>
    </row>
    <row r="137" spans="1:8" x14ac:dyDescent="0.3">
      <c r="A137" s="602" t="s">
        <v>169</v>
      </c>
      <c r="B137" s="659" t="s">
        <v>460</v>
      </c>
      <c r="C137" s="655"/>
      <c r="D137" s="655"/>
      <c r="E137" s="655"/>
      <c r="F137" s="655"/>
      <c r="G137" s="655"/>
      <c r="H137" s="655"/>
    </row>
    <row r="138" spans="1:8" x14ac:dyDescent="0.3">
      <c r="A138" s="602" t="s">
        <v>170</v>
      </c>
      <c r="B138" s="659" t="s">
        <v>461</v>
      </c>
      <c r="C138" s="655"/>
      <c r="D138" s="655"/>
      <c r="E138" s="655"/>
      <c r="F138" s="655"/>
      <c r="G138" s="655"/>
      <c r="H138" s="655"/>
    </row>
    <row r="139" spans="1:8" ht="16.2" thickBot="1" x14ac:dyDescent="0.35">
      <c r="A139" s="647" t="s">
        <v>171</v>
      </c>
      <c r="B139" s="659" t="s">
        <v>462</v>
      </c>
      <c r="C139" s="655"/>
      <c r="D139" s="655"/>
      <c r="E139" s="655"/>
      <c r="F139" s="655"/>
      <c r="G139" s="655"/>
      <c r="H139" s="655"/>
    </row>
    <row r="140" spans="1:8" ht="16.2" thickBot="1" x14ac:dyDescent="0.35">
      <c r="A140" s="599" t="s">
        <v>21</v>
      </c>
      <c r="B140" s="658" t="s">
        <v>470</v>
      </c>
      <c r="C140" s="614">
        <f t="shared" ref="C140:H140" si="25">+C141+C142+C143+C144</f>
        <v>8111</v>
      </c>
      <c r="D140" s="614">
        <f t="shared" si="25"/>
        <v>8111</v>
      </c>
      <c r="E140" s="614">
        <f t="shared" si="25"/>
        <v>8111444</v>
      </c>
      <c r="F140" s="614">
        <f t="shared" si="25"/>
        <v>8111444</v>
      </c>
      <c r="G140" s="614">
        <f t="shared" si="25"/>
        <v>8111444</v>
      </c>
      <c r="H140" s="614">
        <f t="shared" si="25"/>
        <v>8111444</v>
      </c>
    </row>
    <row r="141" spans="1:8" x14ac:dyDescent="0.3">
      <c r="A141" s="602" t="s">
        <v>92</v>
      </c>
      <c r="B141" s="659" t="s">
        <v>374</v>
      </c>
      <c r="C141" s="655"/>
      <c r="D141" s="655"/>
      <c r="E141" s="655"/>
      <c r="F141" s="655"/>
      <c r="G141" s="655"/>
      <c r="H141" s="655"/>
    </row>
    <row r="142" spans="1:8" x14ac:dyDescent="0.3">
      <c r="A142" s="602" t="s">
        <v>93</v>
      </c>
      <c r="B142" s="659" t="s">
        <v>375</v>
      </c>
      <c r="C142" s="655">
        <v>8111</v>
      </c>
      <c r="D142" s="655">
        <v>8111</v>
      </c>
      <c r="E142" s="655">
        <f>8111444</f>
        <v>8111444</v>
      </c>
      <c r="F142" s="655">
        <f>8111444</f>
        <v>8111444</v>
      </c>
      <c r="G142" s="655">
        <f>8111444</f>
        <v>8111444</v>
      </c>
      <c r="H142" s="655">
        <f>8111444</f>
        <v>8111444</v>
      </c>
    </row>
    <row r="143" spans="1:8" x14ac:dyDescent="0.3">
      <c r="A143" s="602" t="s">
        <v>288</v>
      </c>
      <c r="B143" s="659" t="s">
        <v>471</v>
      </c>
      <c r="C143" s="655"/>
      <c r="D143" s="655"/>
      <c r="E143" s="655"/>
      <c r="F143" s="655"/>
      <c r="G143" s="655"/>
      <c r="H143" s="655"/>
    </row>
    <row r="144" spans="1:8" ht="16.2" thickBot="1" x14ac:dyDescent="0.35">
      <c r="A144" s="647" t="s">
        <v>289</v>
      </c>
      <c r="B144" s="660" t="s">
        <v>394</v>
      </c>
      <c r="C144" s="655"/>
      <c r="D144" s="655"/>
      <c r="E144" s="655"/>
      <c r="F144" s="655"/>
      <c r="G144" s="655"/>
      <c r="H144" s="655"/>
    </row>
    <row r="145" spans="1:8" ht="16.2" thickBot="1" x14ac:dyDescent="0.35">
      <c r="A145" s="599" t="s">
        <v>22</v>
      </c>
      <c r="B145" s="658" t="s">
        <v>472</v>
      </c>
      <c r="C145" s="661">
        <f t="shared" ref="C145:H145" si="26">SUM(C146:C150)</f>
        <v>0</v>
      </c>
      <c r="D145" s="661">
        <f t="shared" si="26"/>
        <v>0</v>
      </c>
      <c r="E145" s="661">
        <f t="shared" si="26"/>
        <v>0</v>
      </c>
      <c r="F145" s="661">
        <f t="shared" si="26"/>
        <v>0</v>
      </c>
      <c r="G145" s="661">
        <f t="shared" si="26"/>
        <v>0</v>
      </c>
      <c r="H145" s="661">
        <f t="shared" si="26"/>
        <v>0</v>
      </c>
    </row>
    <row r="146" spans="1:8" x14ac:dyDescent="0.3">
      <c r="A146" s="602" t="s">
        <v>94</v>
      </c>
      <c r="B146" s="659" t="s">
        <v>467</v>
      </c>
      <c r="C146" s="655"/>
      <c r="D146" s="655"/>
      <c r="E146" s="655"/>
      <c r="F146" s="655"/>
      <c r="G146" s="655"/>
      <c r="H146" s="655"/>
    </row>
    <row r="147" spans="1:8" x14ac:dyDescent="0.3">
      <c r="A147" s="602" t="s">
        <v>95</v>
      </c>
      <c r="B147" s="659" t="s">
        <v>474</v>
      </c>
      <c r="C147" s="655"/>
      <c r="D147" s="655"/>
      <c r="E147" s="655"/>
      <c r="F147" s="655"/>
      <c r="G147" s="655"/>
      <c r="H147" s="655"/>
    </row>
    <row r="148" spans="1:8" x14ac:dyDescent="0.3">
      <c r="A148" s="602" t="s">
        <v>300</v>
      </c>
      <c r="B148" s="659" t="s">
        <v>469</v>
      </c>
      <c r="C148" s="655"/>
      <c r="D148" s="655"/>
      <c r="E148" s="655"/>
      <c r="F148" s="655"/>
      <c r="G148" s="655"/>
      <c r="H148" s="655"/>
    </row>
    <row r="149" spans="1:8" ht="31.2" x14ac:dyDescent="0.3">
      <c r="A149" s="602" t="s">
        <v>301</v>
      </c>
      <c r="B149" s="659" t="s">
        <v>475</v>
      </c>
      <c r="C149" s="655"/>
      <c r="D149" s="655"/>
      <c r="E149" s="655"/>
      <c r="F149" s="655"/>
      <c r="G149" s="655"/>
      <c r="H149" s="655"/>
    </row>
    <row r="150" spans="1:8" ht="16.2" thickBot="1" x14ac:dyDescent="0.35">
      <c r="A150" s="602" t="s">
        <v>473</v>
      </c>
      <c r="B150" s="659" t="s">
        <v>476</v>
      </c>
      <c r="C150" s="655"/>
      <c r="D150" s="655"/>
      <c r="E150" s="655"/>
      <c r="F150" s="655"/>
      <c r="G150" s="655"/>
      <c r="H150" s="655"/>
    </row>
    <row r="151" spans="1:8" ht="16.2" thickBot="1" x14ac:dyDescent="0.35">
      <c r="A151" s="599" t="s">
        <v>23</v>
      </c>
      <c r="B151" s="658" t="s">
        <v>477</v>
      </c>
      <c r="C151" s="662"/>
      <c r="D151" s="662"/>
      <c r="E151" s="662"/>
      <c r="F151" s="662"/>
      <c r="G151" s="662"/>
      <c r="H151" s="662"/>
    </row>
    <row r="152" spans="1:8" ht="16.2" thickBot="1" x14ac:dyDescent="0.35">
      <c r="A152" s="599" t="s">
        <v>24</v>
      </c>
      <c r="B152" s="658" t="s">
        <v>553</v>
      </c>
      <c r="C152" s="662"/>
      <c r="D152" s="662"/>
      <c r="E152" s="662"/>
      <c r="F152" s="662"/>
      <c r="G152" s="662"/>
      <c r="H152" s="662"/>
    </row>
    <row r="153" spans="1:8" ht="16.2" thickBot="1" x14ac:dyDescent="0.35">
      <c r="A153" s="599" t="s">
        <v>25</v>
      </c>
      <c r="B153" s="658" t="s">
        <v>480</v>
      </c>
      <c r="C153" s="663">
        <f t="shared" ref="C153:H153" si="27">+C129+C133+C140+C145+C151+C152</f>
        <v>8111</v>
      </c>
      <c r="D153" s="663">
        <f t="shared" si="27"/>
        <v>8111</v>
      </c>
      <c r="E153" s="663">
        <f t="shared" si="27"/>
        <v>8111444</v>
      </c>
      <c r="F153" s="663">
        <f t="shared" si="27"/>
        <v>8111444</v>
      </c>
      <c r="G153" s="663">
        <f t="shared" si="27"/>
        <v>8111444</v>
      </c>
      <c r="H153" s="663">
        <f t="shared" si="27"/>
        <v>8111444</v>
      </c>
    </row>
    <row r="154" spans="1:8" s="531" customFormat="1" ht="16.2" thickBot="1" x14ac:dyDescent="0.35">
      <c r="A154" s="664" t="s">
        <v>26</v>
      </c>
      <c r="B154" s="665" t="s">
        <v>479</v>
      </c>
      <c r="C154" s="663">
        <f t="shared" ref="C154:H154" si="28">+C128+C153</f>
        <v>477692</v>
      </c>
      <c r="D154" s="663">
        <f t="shared" si="28"/>
        <v>489490</v>
      </c>
      <c r="E154" s="663">
        <f t="shared" si="28"/>
        <v>521178005</v>
      </c>
      <c r="F154" s="663">
        <f t="shared" si="28"/>
        <v>530099516</v>
      </c>
      <c r="G154" s="663">
        <f t="shared" si="28"/>
        <v>578618772</v>
      </c>
      <c r="H154" s="663">
        <f t="shared" si="28"/>
        <v>578618772</v>
      </c>
    </row>
    <row r="156" spans="1:8" x14ac:dyDescent="0.3">
      <c r="A156" s="674" t="s">
        <v>376</v>
      </c>
      <c r="B156" s="674"/>
      <c r="C156" s="214"/>
      <c r="D156" s="214"/>
      <c r="E156" s="214"/>
      <c r="F156" s="214"/>
      <c r="G156" s="214"/>
      <c r="H156" s="214"/>
    </row>
    <row r="157" spans="1:8" ht="16.8" thickBot="1" x14ac:dyDescent="0.35">
      <c r="A157" s="671" t="s">
        <v>149</v>
      </c>
      <c r="B157" s="671"/>
      <c r="C157" s="592" t="s">
        <v>606</v>
      </c>
      <c r="D157" s="592" t="s">
        <v>606</v>
      </c>
      <c r="E157" s="592" t="s">
        <v>615</v>
      </c>
      <c r="F157" s="592" t="s">
        <v>615</v>
      </c>
      <c r="G157" s="592" t="s">
        <v>615</v>
      </c>
      <c r="H157" s="592" t="s">
        <v>615</v>
      </c>
    </row>
    <row r="158" spans="1:8" ht="31.8" thickBot="1" x14ac:dyDescent="0.35">
      <c r="A158" s="599">
        <v>1</v>
      </c>
      <c r="B158" s="666" t="s">
        <v>481</v>
      </c>
      <c r="C158" s="601">
        <f t="shared" ref="C158:H158" si="29">+C62-C128</f>
        <v>-151139</v>
      </c>
      <c r="D158" s="601">
        <f t="shared" si="29"/>
        <v>-164495</v>
      </c>
      <c r="E158" s="601">
        <f t="shared" si="29"/>
        <v>-167673537</v>
      </c>
      <c r="F158" s="601">
        <f t="shared" si="29"/>
        <v>-167673537</v>
      </c>
      <c r="G158" s="601">
        <f t="shared" si="29"/>
        <v>-175450743</v>
      </c>
      <c r="H158" s="601">
        <f t="shared" si="29"/>
        <v>-175450743</v>
      </c>
    </row>
    <row r="159" spans="1:8" ht="47.4" thickBot="1" x14ac:dyDescent="0.35">
      <c r="A159" s="599" t="s">
        <v>17</v>
      </c>
      <c r="B159" s="666" t="s">
        <v>487</v>
      </c>
      <c r="C159" s="601">
        <f t="shared" ref="C159:H159" si="30">+C86-C153</f>
        <v>151139</v>
      </c>
      <c r="D159" s="601">
        <f t="shared" si="30"/>
        <v>164495</v>
      </c>
      <c r="E159" s="601">
        <f t="shared" si="30"/>
        <v>167673537</v>
      </c>
      <c r="F159" s="601">
        <f t="shared" si="30"/>
        <v>167673537</v>
      </c>
      <c r="G159" s="601">
        <f t="shared" si="30"/>
        <v>175450743</v>
      </c>
      <c r="H159" s="601">
        <f t="shared" si="30"/>
        <v>175450743</v>
      </c>
    </row>
  </sheetData>
  <mergeCells count="6">
    <mergeCell ref="A156:B156"/>
    <mergeCell ref="A157:B157"/>
    <mergeCell ref="A1:B1"/>
    <mergeCell ref="A2:B2"/>
    <mergeCell ref="A89:B89"/>
    <mergeCell ref="A90:B90"/>
  </mergeCells>
  <phoneticPr fontId="29" type="noConversion"/>
  <printOptions horizontalCentered="1"/>
  <pageMargins left="0.39370078740157483" right="0.39370078740157483" top="0.98425196850393704" bottom="0.59055118110236215" header="0.78740157480314965" footer="0.59055118110236215"/>
  <pageSetup paperSize="9" scale="85" orientation="landscape" r:id="rId1"/>
  <headerFooter alignWithMargins="0">
    <oddHeader>&amp;C&amp;"Times New Roman CE,Félkövér"&amp;12
Vonyarcvashegy Nagyközség Önkormányzata
2016. ÉVI KÖLTSÉGVETÉS
KÖTELEZŐ FELADATAINAK MÉRLEGE &amp;R&amp;"Times New Roman CE,Félkövér dőlt"&amp;11 1.2. melléklet a ........./2016. () önkormányzati rendelethez</oddHeader>
    <oddFooter>&amp;P. oldal, összesen: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A19" zoomScaleNormal="100" workbookViewId="0">
      <selection activeCell="G53" sqref="G53"/>
    </sheetView>
  </sheetViews>
  <sheetFormatPr defaultColWidth="9.33203125" defaultRowHeight="13.2" x14ac:dyDescent="0.25"/>
  <cols>
    <col min="1" max="1" width="13.77734375" style="570" customWidth="1"/>
    <col min="2" max="2" width="69.33203125" style="542" customWidth="1"/>
    <col min="3" max="3" width="21.6640625" style="542" customWidth="1"/>
    <col min="4" max="4" width="22.109375" style="542" customWidth="1"/>
    <col min="5" max="5" width="20.77734375" style="542" customWidth="1"/>
    <col min="6" max="6" width="22.33203125" style="542" customWidth="1"/>
    <col min="7" max="7" width="21.7773437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+CONCATENATE("9.2.1. melléklet a ……/",LEFT([1]ÖSSZEFÜGGÉSEK!D5,4),". (….) önkormányzati rendelethez")</f>
        <v>9.2.1. melléklet a ……/. (….) önkormányzati rendelethez</v>
      </c>
      <c r="D1" s="535"/>
      <c r="E1" s="535"/>
      <c r="F1" s="535"/>
      <c r="G1" s="535"/>
    </row>
    <row r="2" spans="1:7" s="538" customFormat="1" ht="33" customHeight="1" x14ac:dyDescent="0.25">
      <c r="A2" s="232" t="s">
        <v>197</v>
      </c>
      <c r="B2" s="200" t="s">
        <v>549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421</v>
      </c>
      <c r="C3" s="540" t="s">
        <v>57</v>
      </c>
      <c r="D3" s="540" t="s">
        <v>57</v>
      </c>
      <c r="E3" s="540" t="s">
        <v>57</v>
      </c>
      <c r="F3" s="540" t="s">
        <v>57</v>
      </c>
      <c r="G3" s="540" t="s">
        <v>57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143</v>
      </c>
      <c r="G8" s="191">
        <f>SUM(G9:G19)</f>
        <v>143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>
        <v>7</v>
      </c>
      <c r="G10" s="550">
        <v>7</v>
      </c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>
        <v>136</v>
      </c>
      <c r="G16" s="551">
        <v>136</v>
      </c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785946</v>
      </c>
      <c r="E20" s="191">
        <f>SUM(E21:E23)</f>
        <v>817838</v>
      </c>
      <c r="F20" s="191">
        <f>SUM(F21:F23)</f>
        <v>817838</v>
      </c>
      <c r="G20" s="191">
        <f>SUM(G21:G23)</f>
        <v>817838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>
        <f>673846+112100</f>
        <v>785946</v>
      </c>
      <c r="E23" s="550">
        <f>673846+112100-785946+817838</f>
        <v>817838</v>
      </c>
      <c r="F23" s="550">
        <f>673846+112100-785946+817838</f>
        <v>817838</v>
      </c>
      <c r="G23" s="550">
        <f>673846+112100-785946+817838</f>
        <v>817838</v>
      </c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>
        <v>15000</v>
      </c>
      <c r="E25" s="555">
        <v>15000</v>
      </c>
      <c r="F25" s="555">
        <v>15000</v>
      </c>
      <c r="G25" s="555">
        <v>15000</v>
      </c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800946</v>
      </c>
      <c r="E37" s="561">
        <f>+E8+E20+E25+E26+E31+E35+E36</f>
        <v>832838</v>
      </c>
      <c r="F37" s="561">
        <f>+F8+F20+F25+F26+F31+F35+F36</f>
        <v>832981</v>
      </c>
      <c r="G37" s="561">
        <f>+G8+G20+G25+G26+G31+G35+G36</f>
        <v>832981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109819</v>
      </c>
      <c r="D38" s="561">
        <f>+D39+D40+D41</f>
        <v>114640518</v>
      </c>
      <c r="E38" s="561">
        <f>+E39+E40+E41</f>
        <v>114640518</v>
      </c>
      <c r="F38" s="561">
        <f>+F39+F40+F41</f>
        <v>114640375</v>
      </c>
      <c r="G38" s="561">
        <f>+G39+G40+G41</f>
        <v>114640375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>
        <v>3179222</v>
      </c>
      <c r="E39" s="39">
        <v>3179222</v>
      </c>
      <c r="F39" s="39">
        <v>3179222</v>
      </c>
      <c r="G39" s="39">
        <v>3179222</v>
      </c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>
        <f>108291+1528</f>
        <v>109819</v>
      </c>
      <c r="D41" s="46">
        <f>106843549+1405165+148590+5758891-3947+3+121747+58293+16891-2887886</f>
        <v>111461296</v>
      </c>
      <c r="E41" s="46">
        <f>106843549+1405165+148590+5758891-3947+3+121747+58293+16891-2887886</f>
        <v>111461296</v>
      </c>
      <c r="F41" s="46">
        <f>106843549+1405165+148590+5758891-3947+3+121747+58293+16891-2887886-143</f>
        <v>111461153</v>
      </c>
      <c r="G41" s="46">
        <f>106843549+1405165+148590+5758891-3947+3+121747+58293+16891-2887886-143</f>
        <v>111461153</v>
      </c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109819</v>
      </c>
      <c r="D42" s="206">
        <f>D37+D38</f>
        <v>115441464</v>
      </c>
      <c r="E42" s="206">
        <f>E37+E38</f>
        <v>115473356</v>
      </c>
      <c r="F42" s="206">
        <f>F37+F38</f>
        <v>115473356</v>
      </c>
      <c r="G42" s="206">
        <f>G37+G38</f>
        <v>115473356</v>
      </c>
    </row>
    <row r="43" spans="1:7" s="552" customFormat="1" ht="67.5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109819</v>
      </c>
      <c r="D46" s="191">
        <f>SUM(D47:D51)</f>
        <v>115441464</v>
      </c>
      <c r="E46" s="191">
        <f>SUM(E47:E51)</f>
        <v>115305716</v>
      </c>
      <c r="F46" s="191">
        <f>SUM(F47:F51)</f>
        <v>115305716</v>
      </c>
      <c r="G46" s="191">
        <f>SUM(G47:G51)</f>
        <v>115270716</v>
      </c>
    </row>
    <row r="47" spans="1:7" ht="12" customHeight="1" x14ac:dyDescent="0.25">
      <c r="A47" s="549" t="s">
        <v>96</v>
      </c>
      <c r="B47" s="7" t="s">
        <v>46</v>
      </c>
      <c r="C47" s="39">
        <f>63407+708</f>
        <v>64115</v>
      </c>
      <c r="D47" s="39">
        <f>64501556+1065880+428900+117000+4534560+45900+13300+100000-2273930</f>
        <v>68533166</v>
      </c>
      <c r="E47" s="39">
        <f>68533166+127000+746+120000</f>
        <v>68780912</v>
      </c>
      <c r="F47" s="39">
        <f>68533166+127000+746+120000</f>
        <v>68780912</v>
      </c>
      <c r="G47" s="39">
        <f>68533166+127000+746+120000+1</f>
        <v>68780913</v>
      </c>
    </row>
    <row r="48" spans="1:7" ht="12" customHeight="1" x14ac:dyDescent="0.25">
      <c r="A48" s="549" t="s">
        <v>97</v>
      </c>
      <c r="B48" s="6" t="s">
        <v>177</v>
      </c>
      <c r="C48" s="42">
        <f>17513+820</f>
        <v>18333</v>
      </c>
      <c r="D48" s="42">
        <f>18470909+289285+120146+31590+1224331+12393+3591+27000-613956</f>
        <v>19565289</v>
      </c>
      <c r="E48" s="42">
        <f>18470909+289285+120146+31590+1224331+12393+3591+27000-613956+27000-147146+165689</f>
        <v>19610832</v>
      </c>
      <c r="F48" s="42">
        <f>18470909+289285+120146+31590+1224331+12393+3591+27000-613956+27000-147146+165689</f>
        <v>19610832</v>
      </c>
      <c r="G48" s="42">
        <f>18470909+289285+120146+31590+1224331+12393+3591+27000-613956+27000-147146+165689+2</f>
        <v>19610834</v>
      </c>
    </row>
    <row r="49" spans="1:7" ht="12" customHeight="1" x14ac:dyDescent="0.25">
      <c r="A49" s="549" t="s">
        <v>98</v>
      </c>
      <c r="B49" s="6" t="s">
        <v>135</v>
      </c>
      <c r="C49" s="42">
        <v>27371</v>
      </c>
      <c r="D49" s="42">
        <f>27065306+50000+124800-3947+3+121747-14900</f>
        <v>27343009</v>
      </c>
      <c r="E49" s="42">
        <f>27065306+50000+124800-3947+3+121747-14900-167640-127000-23364-86536+85638-120000</f>
        <v>26904107</v>
      </c>
      <c r="F49" s="42">
        <f>27065306+50000+124800-3947+3+121747-14900-167640-127000-23364-86536+85638-120000</f>
        <v>26904107</v>
      </c>
      <c r="G49" s="42">
        <f>27065306+50000+124800-3947+3+121747-14900-167640-127000-23364-86536+85638-120000-3-35000</f>
        <v>26869104</v>
      </c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>
        <v>9865</v>
      </c>
      <c r="F51" s="42">
        <v>9865</v>
      </c>
      <c r="G51" s="42">
        <v>9865</v>
      </c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167640</v>
      </c>
      <c r="F52" s="191">
        <f>SUM(F53:F55)</f>
        <v>167640</v>
      </c>
      <c r="G52" s="191">
        <f>SUM(G53:G55)</f>
        <v>202640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>
        <v>167640</v>
      </c>
      <c r="F53" s="39">
        <v>167640</v>
      </c>
      <c r="G53" s="39">
        <f>167640+35000</f>
        <v>202640</v>
      </c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5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3.8" thickBot="1" x14ac:dyDescent="0.3">
      <c r="A58" s="554" t="s">
        <v>19</v>
      </c>
      <c r="B58" s="568" t="s">
        <v>532</v>
      </c>
      <c r="C58" s="569">
        <f>+C46+C52+C57</f>
        <v>109819</v>
      </c>
      <c r="D58" s="569">
        <f>+D46+D52+D57</f>
        <v>115441464</v>
      </c>
      <c r="E58" s="569">
        <f>+E46+E52+E57</f>
        <v>115473356</v>
      </c>
      <c r="F58" s="569">
        <f>+F46+F52+F57</f>
        <v>115473356</v>
      </c>
      <c r="G58" s="569">
        <f>+G46+G52+G57</f>
        <v>115473356</v>
      </c>
    </row>
    <row r="59" spans="1:7" ht="15" customHeight="1" thickBot="1" x14ac:dyDescent="0.3">
      <c r="C59" s="571"/>
      <c r="D59" s="571"/>
      <c r="E59" s="571"/>
      <c r="F59" s="571"/>
      <c r="G59" s="571"/>
    </row>
    <row r="60" spans="1:7" ht="14.25" customHeight="1" thickBot="1" x14ac:dyDescent="0.3">
      <c r="A60" s="154" t="s">
        <v>522</v>
      </c>
      <c r="B60" s="155"/>
      <c r="C60" s="61">
        <v>17</v>
      </c>
      <c r="D60" s="61">
        <v>17</v>
      </c>
      <c r="E60" s="61">
        <v>17</v>
      </c>
      <c r="F60" s="61">
        <v>17</v>
      </c>
      <c r="G60" s="61">
        <v>17</v>
      </c>
    </row>
    <row r="61" spans="1:7" ht="13.8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C13" zoomScaleNormal="100" workbookViewId="0">
      <selection activeCell="F9" sqref="F9"/>
    </sheetView>
  </sheetViews>
  <sheetFormatPr defaultColWidth="9.33203125" defaultRowHeight="13.2" x14ac:dyDescent="0.25"/>
  <cols>
    <col min="1" max="1" width="13.77734375" style="570" customWidth="1"/>
    <col min="2" max="2" width="79.109375" style="542" customWidth="1"/>
    <col min="3" max="7" width="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+CONCATENATE("9.2.2. melléklet a ……/",LEFT([1]ÖSSZEFÜGGÉSEK!D5,4),". (….) önkormányzati rendelethez")</f>
        <v>9.2.2. melléklet a ……/. (….) önkormányzati rendelethez</v>
      </c>
      <c r="D1" s="535"/>
      <c r="E1" s="535"/>
      <c r="F1" s="535"/>
      <c r="G1" s="535"/>
    </row>
    <row r="2" spans="1:7" s="538" customFormat="1" ht="25.5" customHeight="1" x14ac:dyDescent="0.25">
      <c r="A2" s="232" t="s">
        <v>197</v>
      </c>
      <c r="B2" s="200" t="s">
        <v>549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422</v>
      </c>
      <c r="C3" s="540" t="s">
        <v>58</v>
      </c>
      <c r="D3" s="540" t="s">
        <v>58</v>
      </c>
      <c r="E3" s="540" t="s">
        <v>58</v>
      </c>
      <c r="F3" s="540" t="s">
        <v>58</v>
      </c>
      <c r="G3" s="540" t="s">
        <v>58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13.8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0</v>
      </c>
      <c r="G8" s="191">
        <f>SUM(G9:G19)</f>
        <v>0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/>
      <c r="G10" s="550"/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/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0</v>
      </c>
      <c r="E37" s="561">
        <f>+E8+E20+E25+E26+E31+E35+E36</f>
        <v>0</v>
      </c>
      <c r="F37" s="561">
        <f>+F8+F20+F25+F26+F31+F35+F36</f>
        <v>0</v>
      </c>
      <c r="G37" s="561">
        <f>+G8+G20+G25+G26+G31+G35+G36</f>
        <v>0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0</v>
      </c>
      <c r="D38" s="561">
        <f>+D39+D40+D41</f>
        <v>0</v>
      </c>
      <c r="E38" s="561">
        <f>+E39+E40+E41</f>
        <v>0</v>
      </c>
      <c r="F38" s="561">
        <f>+F39+F40+F41</f>
        <v>0</v>
      </c>
      <c r="G38" s="561">
        <f>+G39+G40+G41</f>
        <v>0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/>
      <c r="E39" s="39"/>
      <c r="F39" s="39"/>
      <c r="G39" s="39"/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/>
      <c r="D41" s="46"/>
      <c r="E41" s="46"/>
      <c r="F41" s="46"/>
      <c r="G41" s="46"/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0</v>
      </c>
      <c r="D42" s="206">
        <f>+D37+D38</f>
        <v>0</v>
      </c>
      <c r="E42" s="206">
        <f>+E37+E38</f>
        <v>0</v>
      </c>
      <c r="F42" s="206">
        <f>+F37+F38</f>
        <v>0</v>
      </c>
      <c r="G42" s="206">
        <f>+G37+G38</f>
        <v>0</v>
      </c>
    </row>
    <row r="43" spans="1:7" s="552" customFormat="1" ht="15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0</v>
      </c>
      <c r="D46" s="191">
        <f>SUM(D47:D51)</f>
        <v>0</v>
      </c>
      <c r="E46" s="191">
        <f>SUM(E47:E51)</f>
        <v>0</v>
      </c>
      <c r="F46" s="191">
        <f>SUM(F47:F51)</f>
        <v>0</v>
      </c>
      <c r="G46" s="191">
        <f>SUM(G47:G51)</f>
        <v>0</v>
      </c>
    </row>
    <row r="47" spans="1:7" ht="12" customHeight="1" x14ac:dyDescent="0.25">
      <c r="A47" s="549" t="s">
        <v>96</v>
      </c>
      <c r="B47" s="7" t="s">
        <v>46</v>
      </c>
      <c r="C47" s="39"/>
      <c r="D47" s="39"/>
      <c r="E47" s="39"/>
      <c r="F47" s="39"/>
      <c r="G47" s="39"/>
    </row>
    <row r="48" spans="1:7" ht="12" customHeight="1" x14ac:dyDescent="0.25">
      <c r="A48" s="549" t="s">
        <v>97</v>
      </c>
      <c r="B48" s="6" t="s">
        <v>177</v>
      </c>
      <c r="C48" s="42"/>
      <c r="D48" s="42"/>
      <c r="E48" s="42"/>
      <c r="F48" s="42"/>
      <c r="G48" s="42"/>
    </row>
    <row r="49" spans="1:7" ht="12" customHeight="1" x14ac:dyDescent="0.25">
      <c r="A49" s="549" t="s">
        <v>98</v>
      </c>
      <c r="B49" s="6" t="s">
        <v>135</v>
      </c>
      <c r="C49" s="42"/>
      <c r="D49" s="42"/>
      <c r="E49" s="42"/>
      <c r="F49" s="42"/>
      <c r="G49" s="42"/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/>
      <c r="F51" s="42"/>
      <c r="G51" s="42"/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0</v>
      </c>
      <c r="F52" s="191">
        <f>SUM(F53:F55)</f>
        <v>0</v>
      </c>
      <c r="G52" s="191">
        <f>SUM(G53:G55)</f>
        <v>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/>
      <c r="F53" s="39"/>
      <c r="G53" s="39"/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5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3.8" thickBot="1" x14ac:dyDescent="0.3">
      <c r="A58" s="554" t="s">
        <v>19</v>
      </c>
      <c r="B58" s="568" t="s">
        <v>532</v>
      </c>
      <c r="C58" s="569">
        <f>+C46+C52+C57</f>
        <v>0</v>
      </c>
      <c r="D58" s="569">
        <f>+D46+D52+D57</f>
        <v>0</v>
      </c>
      <c r="E58" s="569">
        <f>+E46+E52+E57</f>
        <v>0</v>
      </c>
      <c r="F58" s="569">
        <f>+F46+F52+F57</f>
        <v>0</v>
      </c>
      <c r="G58" s="569">
        <f>+G46+G52+G57</f>
        <v>0</v>
      </c>
    </row>
    <row r="59" spans="1:7" ht="15" customHeight="1" thickBot="1" x14ac:dyDescent="0.3">
      <c r="C59" s="571"/>
      <c r="D59" s="571"/>
      <c r="E59" s="571"/>
      <c r="F59" s="571"/>
      <c r="G59" s="571"/>
    </row>
    <row r="60" spans="1:7" ht="14.25" customHeight="1" thickBot="1" x14ac:dyDescent="0.3">
      <c r="A60" s="154" t="s">
        <v>522</v>
      </c>
      <c r="B60" s="155"/>
      <c r="C60" s="61"/>
      <c r="D60" s="61"/>
      <c r="E60" s="61"/>
      <c r="F60" s="61"/>
      <c r="G60" s="61"/>
    </row>
    <row r="61" spans="1:7" ht="13.8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0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61"/>
  <sheetViews>
    <sheetView topLeftCell="C1" zoomScaleNormal="100" workbookViewId="0">
      <selection activeCell="D21" sqref="D21"/>
    </sheetView>
  </sheetViews>
  <sheetFormatPr defaultColWidth="9.33203125" defaultRowHeight="13.2" x14ac:dyDescent="0.25"/>
  <cols>
    <col min="1" max="1" width="13.77734375" style="570" customWidth="1"/>
    <col min="2" max="2" width="79.109375" style="542" customWidth="1"/>
    <col min="3" max="7" width="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+CONCATENATE("9.2.3. melléklet a ……/",LEFT([1]ÖSSZEFÜGGÉSEK!D5,4),". (….) önkormányzati rendelethez")</f>
        <v>9.2.3. melléklet a ……/. (….) önkormányzati rendelethez</v>
      </c>
      <c r="D1" s="535"/>
      <c r="E1" s="535"/>
      <c r="F1" s="535"/>
      <c r="G1" s="535"/>
    </row>
    <row r="2" spans="1:7" s="538" customFormat="1" ht="33" customHeight="1" x14ac:dyDescent="0.25">
      <c r="A2" s="232" t="s">
        <v>197</v>
      </c>
      <c r="B2" s="200" t="s">
        <v>549</v>
      </c>
      <c r="C2" s="537" t="s">
        <v>57</v>
      </c>
      <c r="D2" s="537" t="s">
        <v>57</v>
      </c>
      <c r="E2" s="537" t="s">
        <v>57</v>
      </c>
      <c r="F2" s="537" t="s">
        <v>57</v>
      </c>
      <c r="G2" s="537" t="s">
        <v>57</v>
      </c>
    </row>
    <row r="3" spans="1:7" s="538" customFormat="1" ht="23.4" thickBot="1" x14ac:dyDescent="0.3">
      <c r="A3" s="539" t="s">
        <v>196</v>
      </c>
      <c r="B3" s="201" t="s">
        <v>533</v>
      </c>
      <c r="C3" s="540" t="s">
        <v>435</v>
      </c>
      <c r="D3" s="540" t="s">
        <v>435</v>
      </c>
      <c r="E3" s="540" t="s">
        <v>435</v>
      </c>
      <c r="F3" s="540" t="s">
        <v>435</v>
      </c>
      <c r="G3" s="540" t="s">
        <v>435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615</v>
      </c>
      <c r="E4" s="146" t="s">
        <v>615</v>
      </c>
      <c r="F4" s="146" t="s">
        <v>615</v>
      </c>
      <c r="G4" s="146" t="s">
        <v>615</v>
      </c>
    </row>
    <row r="5" spans="1:7" ht="13.8" thickBot="1" x14ac:dyDescent="0.3">
      <c r="A5" s="233" t="s">
        <v>198</v>
      </c>
      <c r="B5" s="147" t="s">
        <v>53</v>
      </c>
      <c r="C5" s="30" t="s">
        <v>602</v>
      </c>
      <c r="D5" s="30" t="s">
        <v>699</v>
      </c>
      <c r="E5" s="30" t="s">
        <v>710</v>
      </c>
      <c r="F5" s="30" t="s">
        <v>723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0</v>
      </c>
      <c r="G8" s="191">
        <f>SUM(G9:G19)</f>
        <v>0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/>
      <c r="G10" s="550"/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/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524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525</v>
      </c>
      <c r="C26" s="191">
        <f>+C27+C28+C29</f>
        <v>0</v>
      </c>
      <c r="D26" s="191">
        <f>+D27+D28+D29</f>
        <v>0</v>
      </c>
      <c r="E26" s="191">
        <f>+E27+E28+E29</f>
        <v>0</v>
      </c>
      <c r="F26" s="191">
        <f>+F27+F28+F29</f>
        <v>0</v>
      </c>
      <c r="G26" s="191">
        <f>+G27+G28+G29</f>
        <v>0</v>
      </c>
    </row>
    <row r="27" spans="1:7" s="552" customFormat="1" ht="12" customHeight="1" x14ac:dyDescent="0.25">
      <c r="A27" s="556" t="s">
        <v>264</v>
      </c>
      <c r="B27" s="557" t="s">
        <v>259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7" t="s">
        <v>406</v>
      </c>
      <c r="C28" s="550"/>
      <c r="D28" s="550"/>
      <c r="E28" s="550"/>
      <c r="F28" s="550"/>
      <c r="G28" s="550"/>
    </row>
    <row r="29" spans="1:7" s="552" customFormat="1" ht="12" customHeight="1" x14ac:dyDescent="0.25">
      <c r="A29" s="556" t="s">
        <v>268</v>
      </c>
      <c r="B29" s="558" t="s">
        <v>409</v>
      </c>
      <c r="C29" s="550"/>
      <c r="D29" s="550"/>
      <c r="E29" s="550"/>
      <c r="F29" s="550"/>
      <c r="G29" s="550"/>
    </row>
    <row r="30" spans="1:7" s="552" customFormat="1" ht="12" customHeight="1" thickBot="1" x14ac:dyDescent="0.3">
      <c r="A30" s="549" t="s">
        <v>269</v>
      </c>
      <c r="B30" s="559" t="s">
        <v>526</v>
      </c>
      <c r="C30" s="46"/>
      <c r="D30" s="46"/>
      <c r="E30" s="46"/>
      <c r="F30" s="46"/>
      <c r="G30" s="46"/>
    </row>
    <row r="31" spans="1:7" s="552" customFormat="1" ht="12" customHeight="1" thickBot="1" x14ac:dyDescent="0.3">
      <c r="A31" s="554" t="s">
        <v>20</v>
      </c>
      <c r="B31" s="63" t="s">
        <v>410</v>
      </c>
      <c r="C31" s="191">
        <f>+C32+C33+C34</f>
        <v>0</v>
      </c>
      <c r="D31" s="191">
        <f>+D32+D33+D34</f>
        <v>0</v>
      </c>
      <c r="E31" s="191">
        <f>+E32+E33+E34</f>
        <v>0</v>
      </c>
      <c r="F31" s="191">
        <f>+F32+F33+F34</f>
        <v>0</v>
      </c>
      <c r="G31" s="191">
        <f>+G32+G33+G34</f>
        <v>0</v>
      </c>
    </row>
    <row r="32" spans="1:7" s="552" customFormat="1" ht="12" customHeight="1" x14ac:dyDescent="0.25">
      <c r="A32" s="556" t="s">
        <v>89</v>
      </c>
      <c r="B32" s="557" t="s">
        <v>291</v>
      </c>
      <c r="C32" s="39"/>
      <c r="D32" s="39"/>
      <c r="E32" s="39"/>
      <c r="F32" s="39"/>
      <c r="G32" s="39"/>
    </row>
    <row r="33" spans="1:7" s="552" customFormat="1" ht="12" customHeight="1" x14ac:dyDescent="0.25">
      <c r="A33" s="556" t="s">
        <v>90</v>
      </c>
      <c r="B33" s="558" t="s">
        <v>292</v>
      </c>
      <c r="C33" s="192"/>
      <c r="D33" s="192"/>
      <c r="E33" s="192"/>
      <c r="F33" s="192"/>
      <c r="G33" s="192"/>
    </row>
    <row r="34" spans="1:7" s="552" customFormat="1" ht="12" customHeight="1" thickBot="1" x14ac:dyDescent="0.3">
      <c r="A34" s="549" t="s">
        <v>91</v>
      </c>
      <c r="B34" s="559" t="s">
        <v>293</v>
      </c>
      <c r="C34" s="46"/>
      <c r="D34" s="46"/>
      <c r="E34" s="46"/>
      <c r="F34" s="46"/>
      <c r="G34" s="46"/>
    </row>
    <row r="35" spans="1:7" s="546" customFormat="1" ht="12" customHeight="1" thickBot="1" x14ac:dyDescent="0.3">
      <c r="A35" s="554" t="s">
        <v>21</v>
      </c>
      <c r="B35" s="63" t="s">
        <v>379</v>
      </c>
      <c r="C35" s="555"/>
      <c r="D35" s="555"/>
      <c r="E35" s="555"/>
      <c r="F35" s="555"/>
      <c r="G35" s="555"/>
    </row>
    <row r="36" spans="1:7" s="546" customFormat="1" ht="12" customHeight="1" thickBot="1" x14ac:dyDescent="0.3">
      <c r="A36" s="554" t="s">
        <v>22</v>
      </c>
      <c r="B36" s="63" t="s">
        <v>411</v>
      </c>
      <c r="C36" s="560"/>
      <c r="D36" s="560"/>
      <c r="E36" s="560"/>
      <c r="F36" s="560"/>
      <c r="G36" s="560"/>
    </row>
    <row r="37" spans="1:7" s="546" customFormat="1" ht="12" customHeight="1" thickBot="1" x14ac:dyDescent="0.3">
      <c r="A37" s="116" t="s">
        <v>23</v>
      </c>
      <c r="B37" s="63" t="s">
        <v>412</v>
      </c>
      <c r="C37" s="561">
        <f>+C8+C20+C25+C26+C31+C35+C36</f>
        <v>0</v>
      </c>
      <c r="D37" s="561">
        <f>+D8+D20+D25+D26+D31+D35+D36</f>
        <v>0</v>
      </c>
      <c r="E37" s="561">
        <f>+E8+E20+E25+E26+E31+E35+E36</f>
        <v>0</v>
      </c>
      <c r="F37" s="561">
        <f>+F8+F20+F25+F26+F31+F35+F36</f>
        <v>0</v>
      </c>
      <c r="G37" s="561">
        <f>+G8+G20+G25+G26+G31+G35+G36</f>
        <v>0</v>
      </c>
    </row>
    <row r="38" spans="1:7" s="546" customFormat="1" ht="12" customHeight="1" thickBot="1" x14ac:dyDescent="0.3">
      <c r="A38" s="562" t="s">
        <v>24</v>
      </c>
      <c r="B38" s="63" t="s">
        <v>413</v>
      </c>
      <c r="C38" s="561">
        <f>+C39+C40+C41</f>
        <v>0</v>
      </c>
      <c r="D38" s="561">
        <f>+D39+D40+D41</f>
        <v>0</v>
      </c>
      <c r="E38" s="561">
        <f>+E39+E40+E41</f>
        <v>0</v>
      </c>
      <c r="F38" s="561">
        <f>+F39+F40+F41</f>
        <v>0</v>
      </c>
      <c r="G38" s="561">
        <f>+G39+G40+G41</f>
        <v>0</v>
      </c>
    </row>
    <row r="39" spans="1:7" s="546" customFormat="1" ht="12" customHeight="1" x14ac:dyDescent="0.25">
      <c r="A39" s="556" t="s">
        <v>414</v>
      </c>
      <c r="B39" s="557" t="s">
        <v>232</v>
      </c>
      <c r="C39" s="39"/>
      <c r="D39" s="39"/>
      <c r="E39" s="39"/>
      <c r="F39" s="39"/>
      <c r="G39" s="39"/>
    </row>
    <row r="40" spans="1:7" s="546" customFormat="1" ht="12" customHeight="1" x14ac:dyDescent="0.25">
      <c r="A40" s="556" t="s">
        <v>415</v>
      </c>
      <c r="B40" s="558" t="s">
        <v>2</v>
      </c>
      <c r="C40" s="192"/>
      <c r="D40" s="192"/>
      <c r="E40" s="192"/>
      <c r="F40" s="192"/>
      <c r="G40" s="192"/>
    </row>
    <row r="41" spans="1:7" s="552" customFormat="1" ht="12" customHeight="1" thickBot="1" x14ac:dyDescent="0.3">
      <c r="A41" s="549" t="s">
        <v>416</v>
      </c>
      <c r="B41" s="559" t="s">
        <v>417</v>
      </c>
      <c r="C41" s="46"/>
      <c r="D41" s="46"/>
      <c r="E41" s="46"/>
      <c r="F41" s="46"/>
      <c r="G41" s="46"/>
    </row>
    <row r="42" spans="1:7" s="552" customFormat="1" ht="15" customHeight="1" thickBot="1" x14ac:dyDescent="0.25">
      <c r="A42" s="562" t="s">
        <v>25</v>
      </c>
      <c r="B42" s="563" t="s">
        <v>418</v>
      </c>
      <c r="C42" s="206">
        <f>+C37+C38</f>
        <v>0</v>
      </c>
      <c r="D42" s="206">
        <f>+D37+D38</f>
        <v>0</v>
      </c>
      <c r="E42" s="206">
        <f>+E37+E38</f>
        <v>0</v>
      </c>
      <c r="F42" s="206">
        <f>+F37+F38</f>
        <v>0</v>
      </c>
      <c r="G42" s="206">
        <f>+G37+G38</f>
        <v>0</v>
      </c>
    </row>
    <row r="43" spans="1:7" s="552" customFormat="1" ht="15" customHeight="1" x14ac:dyDescent="0.25">
      <c r="A43" s="150"/>
      <c r="B43" s="151"/>
      <c r="C43" s="205"/>
      <c r="D43" s="205"/>
      <c r="E43" s="205"/>
      <c r="F43" s="205"/>
      <c r="G43" s="205"/>
    </row>
    <row r="44" spans="1:7" ht="13.8" thickBot="1" x14ac:dyDescent="0.3">
      <c r="A44" s="564"/>
      <c r="B44" s="565"/>
      <c r="C44" s="566"/>
      <c r="D44" s="566"/>
      <c r="E44" s="566"/>
      <c r="F44" s="566"/>
      <c r="G44" s="566"/>
    </row>
    <row r="45" spans="1:7" s="543" customFormat="1" ht="16.5" customHeight="1" thickBot="1" x14ac:dyDescent="0.3">
      <c r="A45" s="152"/>
      <c r="B45" s="153" t="s">
        <v>55</v>
      </c>
      <c r="C45" s="206"/>
      <c r="D45" s="206"/>
      <c r="E45" s="206"/>
      <c r="F45" s="206"/>
      <c r="G45" s="206"/>
    </row>
    <row r="46" spans="1:7" s="567" customFormat="1" ht="12" customHeight="1" thickBot="1" x14ac:dyDescent="0.3">
      <c r="A46" s="554" t="s">
        <v>16</v>
      </c>
      <c r="B46" s="63" t="s">
        <v>419</v>
      </c>
      <c r="C46" s="191">
        <f>SUM(C47:C51)</f>
        <v>0</v>
      </c>
      <c r="D46" s="191">
        <f>SUM(D47:D51)</f>
        <v>0</v>
      </c>
      <c r="E46" s="191">
        <f>SUM(E47:E51)</f>
        <v>0</v>
      </c>
      <c r="F46" s="191">
        <f>SUM(F47:F51)</f>
        <v>0</v>
      </c>
      <c r="G46" s="191">
        <f>SUM(G47:G51)</f>
        <v>0</v>
      </c>
    </row>
    <row r="47" spans="1:7" ht="12" customHeight="1" x14ac:dyDescent="0.25">
      <c r="A47" s="549" t="s">
        <v>96</v>
      </c>
      <c r="B47" s="7" t="s">
        <v>46</v>
      </c>
      <c r="C47" s="39"/>
      <c r="D47" s="39"/>
      <c r="E47" s="39"/>
      <c r="F47" s="39"/>
      <c r="G47" s="39"/>
    </row>
    <row r="48" spans="1:7" ht="12" customHeight="1" x14ac:dyDescent="0.25">
      <c r="A48" s="549" t="s">
        <v>97</v>
      </c>
      <c r="B48" s="6" t="s">
        <v>177</v>
      </c>
      <c r="C48" s="42"/>
      <c r="D48" s="42"/>
      <c r="E48" s="42"/>
      <c r="F48" s="42"/>
      <c r="G48" s="42"/>
    </row>
    <row r="49" spans="1:7" ht="12" customHeight="1" x14ac:dyDescent="0.25">
      <c r="A49" s="549" t="s">
        <v>98</v>
      </c>
      <c r="B49" s="6" t="s">
        <v>135</v>
      </c>
      <c r="C49" s="42"/>
      <c r="D49" s="42"/>
      <c r="E49" s="42"/>
      <c r="F49" s="42"/>
      <c r="G49" s="42"/>
    </row>
    <row r="50" spans="1:7" ht="12" customHeight="1" x14ac:dyDescent="0.25">
      <c r="A50" s="549" t="s">
        <v>99</v>
      </c>
      <c r="B50" s="6" t="s">
        <v>178</v>
      </c>
      <c r="C50" s="42"/>
      <c r="D50" s="42"/>
      <c r="E50" s="42"/>
      <c r="F50" s="42"/>
      <c r="G50" s="42"/>
    </row>
    <row r="51" spans="1:7" ht="12" customHeight="1" thickBot="1" x14ac:dyDescent="0.3">
      <c r="A51" s="549" t="s">
        <v>144</v>
      </c>
      <c r="B51" s="6" t="s">
        <v>179</v>
      </c>
      <c r="C51" s="42"/>
      <c r="D51" s="42"/>
      <c r="E51" s="42"/>
      <c r="F51" s="42"/>
      <c r="G51" s="42"/>
    </row>
    <row r="52" spans="1:7" ht="12" customHeight="1" thickBot="1" x14ac:dyDescent="0.3">
      <c r="A52" s="554" t="s">
        <v>17</v>
      </c>
      <c r="B52" s="63" t="s">
        <v>420</v>
      </c>
      <c r="C52" s="191">
        <f>SUM(C53:C55)</f>
        <v>0</v>
      </c>
      <c r="D52" s="191">
        <f>SUM(D53:D55)</f>
        <v>0</v>
      </c>
      <c r="E52" s="191">
        <f>SUM(E53:E55)</f>
        <v>0</v>
      </c>
      <c r="F52" s="191">
        <f>SUM(F53:F55)</f>
        <v>0</v>
      </c>
      <c r="G52" s="191">
        <f>SUM(G53:G55)</f>
        <v>0</v>
      </c>
    </row>
    <row r="53" spans="1:7" s="567" customFormat="1" ht="12" customHeight="1" x14ac:dyDescent="0.25">
      <c r="A53" s="549" t="s">
        <v>102</v>
      </c>
      <c r="B53" s="7" t="s">
        <v>222</v>
      </c>
      <c r="C53" s="39"/>
      <c r="D53" s="39"/>
      <c r="E53" s="39"/>
      <c r="F53" s="39"/>
      <c r="G53" s="39"/>
    </row>
    <row r="54" spans="1:7" ht="12" customHeight="1" x14ac:dyDescent="0.25">
      <c r="A54" s="549" t="s">
        <v>103</v>
      </c>
      <c r="B54" s="6" t="s">
        <v>181</v>
      </c>
      <c r="C54" s="42"/>
      <c r="D54" s="42"/>
      <c r="E54" s="42"/>
      <c r="F54" s="42"/>
      <c r="G54" s="42"/>
    </row>
    <row r="55" spans="1:7" ht="12" customHeight="1" x14ac:dyDescent="0.25">
      <c r="A55" s="549" t="s">
        <v>104</v>
      </c>
      <c r="B55" s="6" t="s">
        <v>56</v>
      </c>
      <c r="C55" s="42"/>
      <c r="D55" s="42"/>
      <c r="E55" s="42"/>
      <c r="F55" s="42"/>
      <c r="G55" s="42"/>
    </row>
    <row r="56" spans="1:7" ht="12" customHeight="1" thickBot="1" x14ac:dyDescent="0.3">
      <c r="A56" s="549" t="s">
        <v>105</v>
      </c>
      <c r="B56" s="6" t="s">
        <v>527</v>
      </c>
      <c r="C56" s="42"/>
      <c r="D56" s="42"/>
      <c r="E56" s="42"/>
      <c r="F56" s="42"/>
      <c r="G56" s="42"/>
    </row>
    <row r="57" spans="1:7" ht="15" customHeight="1" thickBot="1" x14ac:dyDescent="0.3">
      <c r="A57" s="554" t="s">
        <v>18</v>
      </c>
      <c r="B57" s="63" t="s">
        <v>12</v>
      </c>
      <c r="C57" s="555"/>
      <c r="D57" s="555"/>
      <c r="E57" s="555"/>
      <c r="F57" s="555"/>
      <c r="G57" s="555"/>
    </row>
    <row r="58" spans="1:7" ht="13.8" thickBot="1" x14ac:dyDescent="0.3">
      <c r="A58" s="554" t="s">
        <v>19</v>
      </c>
      <c r="B58" s="568" t="s">
        <v>532</v>
      </c>
      <c r="C58" s="569">
        <f>+C46+C52+C57</f>
        <v>0</v>
      </c>
      <c r="D58" s="569">
        <f>+D46+D52+D57</f>
        <v>0</v>
      </c>
      <c r="E58" s="569">
        <f>+E46+E52+E57</f>
        <v>0</v>
      </c>
      <c r="F58" s="569">
        <f>+F46+F52+F57</f>
        <v>0</v>
      </c>
      <c r="G58" s="569">
        <f>+G46+G52+G57</f>
        <v>0</v>
      </c>
    </row>
    <row r="59" spans="1:7" ht="15" customHeight="1" thickBot="1" x14ac:dyDescent="0.3">
      <c r="C59" s="571"/>
      <c r="D59" s="571"/>
      <c r="E59" s="571"/>
      <c r="F59" s="571"/>
      <c r="G59" s="571"/>
    </row>
    <row r="60" spans="1:7" ht="14.25" customHeight="1" thickBot="1" x14ac:dyDescent="0.3">
      <c r="A60" s="154" t="s">
        <v>522</v>
      </c>
      <c r="B60" s="155"/>
      <c r="C60" s="61"/>
      <c r="D60" s="61"/>
      <c r="E60" s="61"/>
      <c r="F60" s="61"/>
      <c r="G60" s="61"/>
    </row>
    <row r="61" spans="1:7" ht="13.8" thickBot="1" x14ac:dyDescent="0.3">
      <c r="A61" s="154" t="s">
        <v>199</v>
      </c>
      <c r="B61" s="155"/>
      <c r="C61" s="61"/>
      <c r="D61" s="61"/>
      <c r="E61" s="61"/>
      <c r="F61" s="61"/>
      <c r="G61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0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60"/>
  <sheetViews>
    <sheetView topLeftCell="A13" zoomScaleNormal="100" workbookViewId="0">
      <selection activeCell="L47" sqref="L47"/>
    </sheetView>
  </sheetViews>
  <sheetFormatPr defaultColWidth="9.33203125" defaultRowHeight="13.2" x14ac:dyDescent="0.25"/>
  <cols>
    <col min="1" max="1" width="13.77734375" style="570" customWidth="1"/>
    <col min="2" max="2" width="72.109375" style="542" customWidth="1"/>
    <col min="3" max="3" width="20.77734375" style="542" customWidth="1"/>
    <col min="4" max="4" width="21.6640625" style="542" customWidth="1"/>
    <col min="5" max="5" width="21.33203125" style="542" customWidth="1"/>
    <col min="6" max="6" width="20.109375" style="542" customWidth="1"/>
    <col min="7" max="7" width="21.332031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+CONCATENATE("9.3. melléklet a ……/",LEFT([2]ÖSSZEFÜGGÉSEK!E5,4),". (….) önkormányzati rendelethez")</f>
        <v>9.3. melléklet a ……/. (….) önkormányzati rendelethez</v>
      </c>
      <c r="D1" s="535"/>
      <c r="E1" s="535"/>
      <c r="F1" s="535"/>
      <c r="G1" s="535"/>
    </row>
    <row r="2" spans="1:7" s="538" customFormat="1" ht="33.75" customHeight="1" x14ac:dyDescent="0.25">
      <c r="A2" s="232" t="s">
        <v>197</v>
      </c>
      <c r="B2" s="200" t="s">
        <v>550</v>
      </c>
      <c r="C2" s="537" t="s">
        <v>58</v>
      </c>
      <c r="D2" s="537" t="s">
        <v>58</v>
      </c>
      <c r="E2" s="537" t="s">
        <v>58</v>
      </c>
      <c r="F2" s="537" t="s">
        <v>58</v>
      </c>
      <c r="G2" s="537" t="s">
        <v>58</v>
      </c>
    </row>
    <row r="3" spans="1:7" s="538" customFormat="1" ht="23.4" thickBot="1" x14ac:dyDescent="0.3">
      <c r="A3" s="539" t="s">
        <v>196</v>
      </c>
      <c r="B3" s="201" t="s">
        <v>402</v>
      </c>
      <c r="C3" s="540" t="s">
        <v>51</v>
      </c>
      <c r="D3" s="540" t="s">
        <v>51</v>
      </c>
      <c r="E3" s="540" t="s">
        <v>51</v>
      </c>
      <c r="F3" s="540" t="s">
        <v>51</v>
      </c>
      <c r="G3" s="540" t="s">
        <v>51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601</v>
      </c>
      <c r="E4" s="146" t="s">
        <v>700</v>
      </c>
      <c r="F4" s="146" t="s">
        <v>700</v>
      </c>
      <c r="G4" s="146" t="s">
        <v>700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681</v>
      </c>
      <c r="E5" s="30" t="s">
        <v>699</v>
      </c>
      <c r="F5" s="30" t="s">
        <v>710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2120</v>
      </c>
      <c r="D8" s="191">
        <f>SUM(D9:D19)</f>
        <v>2120</v>
      </c>
      <c r="E8" s="191">
        <f>SUM(E9:E19)</f>
        <v>2170000</v>
      </c>
      <c r="F8" s="191">
        <f>SUM(F9:F19)</f>
        <v>2170000</v>
      </c>
      <c r="G8" s="191">
        <f>SUM(G9:G19)</f>
        <v>2218146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>
        <v>2120</v>
      </c>
      <c r="D10" s="550">
        <v>2120</v>
      </c>
      <c r="E10" s="550">
        <v>2120000</v>
      </c>
      <c r="F10" s="550">
        <v>2120000</v>
      </c>
      <c r="G10" s="550">
        <f>2120000+31026</f>
        <v>2151026</v>
      </c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>
        <v>50000</v>
      </c>
      <c r="F11" s="550">
        <v>50000</v>
      </c>
      <c r="G11" s="550">
        <f>50000+17018</f>
        <v>67018</v>
      </c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>
        <v>102</v>
      </c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528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408</v>
      </c>
      <c r="C26" s="191">
        <f>+C27+C28</f>
        <v>0</v>
      </c>
      <c r="D26" s="191">
        <f>+D27+D28</f>
        <v>0</v>
      </c>
      <c r="E26" s="191">
        <f>+E27+E28</f>
        <v>0</v>
      </c>
      <c r="F26" s="191">
        <f>+F27+F28</f>
        <v>0</v>
      </c>
      <c r="G26" s="191">
        <f>+G27+G28</f>
        <v>0</v>
      </c>
    </row>
    <row r="27" spans="1:7" s="552" customFormat="1" ht="12" customHeight="1" x14ac:dyDescent="0.25">
      <c r="A27" s="556" t="s">
        <v>264</v>
      </c>
      <c r="B27" s="557" t="s">
        <v>406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8" t="s">
        <v>409</v>
      </c>
      <c r="C28" s="192"/>
      <c r="D28" s="192"/>
      <c r="E28" s="192"/>
      <c r="F28" s="192"/>
      <c r="G28" s="192"/>
    </row>
    <row r="29" spans="1:7" s="552" customFormat="1" ht="12" customHeight="1" thickBot="1" x14ac:dyDescent="0.3">
      <c r="A29" s="549" t="s">
        <v>268</v>
      </c>
      <c r="B29" s="559" t="s">
        <v>529</v>
      </c>
      <c r="C29" s="46"/>
      <c r="D29" s="46"/>
      <c r="E29" s="46"/>
      <c r="F29" s="46"/>
      <c r="G29" s="46"/>
    </row>
    <row r="30" spans="1:7" s="552" customFormat="1" ht="12" customHeight="1" thickBot="1" x14ac:dyDescent="0.3">
      <c r="A30" s="554" t="s">
        <v>20</v>
      </c>
      <c r="B30" s="63" t="s">
        <v>410</v>
      </c>
      <c r="C30" s="191">
        <f>+C31+C32+C33</f>
        <v>0</v>
      </c>
      <c r="D30" s="191">
        <f>+D31+D32+D33</f>
        <v>0</v>
      </c>
      <c r="E30" s="191">
        <f>+E31+E32+E33</f>
        <v>0</v>
      </c>
      <c r="F30" s="191">
        <f>+F31+F32+F33</f>
        <v>0</v>
      </c>
      <c r="G30" s="191">
        <f>+G31+G32+G33</f>
        <v>0</v>
      </c>
    </row>
    <row r="31" spans="1:7" s="552" customFormat="1" ht="12" customHeight="1" x14ac:dyDescent="0.25">
      <c r="A31" s="556" t="s">
        <v>89</v>
      </c>
      <c r="B31" s="557" t="s">
        <v>291</v>
      </c>
      <c r="C31" s="39"/>
      <c r="D31" s="39"/>
      <c r="E31" s="39"/>
      <c r="F31" s="39"/>
      <c r="G31" s="39"/>
    </row>
    <row r="32" spans="1:7" s="552" customFormat="1" ht="12" customHeight="1" x14ac:dyDescent="0.25">
      <c r="A32" s="556" t="s">
        <v>90</v>
      </c>
      <c r="B32" s="558" t="s">
        <v>292</v>
      </c>
      <c r="C32" s="192"/>
      <c r="D32" s="192"/>
      <c r="E32" s="192"/>
      <c r="F32" s="192"/>
      <c r="G32" s="192"/>
    </row>
    <row r="33" spans="1:7" s="552" customFormat="1" ht="12" customHeight="1" thickBot="1" x14ac:dyDescent="0.3">
      <c r="A33" s="549" t="s">
        <v>91</v>
      </c>
      <c r="B33" s="559" t="s">
        <v>293</v>
      </c>
      <c r="C33" s="46"/>
      <c r="D33" s="46"/>
      <c r="E33" s="46"/>
      <c r="F33" s="46"/>
      <c r="G33" s="46"/>
    </row>
    <row r="34" spans="1:7" s="546" customFormat="1" ht="12" customHeight="1" thickBot="1" x14ac:dyDescent="0.3">
      <c r="A34" s="554" t="s">
        <v>21</v>
      </c>
      <c r="B34" s="63" t="s">
        <v>379</v>
      </c>
      <c r="C34" s="555"/>
      <c r="D34" s="555"/>
      <c r="E34" s="555"/>
      <c r="F34" s="555"/>
      <c r="G34" s="555"/>
    </row>
    <row r="35" spans="1:7" s="546" customFormat="1" ht="12" customHeight="1" thickBot="1" x14ac:dyDescent="0.3">
      <c r="A35" s="554" t="s">
        <v>22</v>
      </c>
      <c r="B35" s="63" t="s">
        <v>411</v>
      </c>
      <c r="C35" s="560"/>
      <c r="D35" s="560"/>
      <c r="E35" s="560"/>
      <c r="F35" s="560"/>
      <c r="G35" s="560"/>
    </row>
    <row r="36" spans="1:7" s="546" customFormat="1" ht="12" customHeight="1" thickBot="1" x14ac:dyDescent="0.3">
      <c r="A36" s="116" t="s">
        <v>23</v>
      </c>
      <c r="B36" s="63" t="s">
        <v>530</v>
      </c>
      <c r="C36" s="561">
        <f>+C8+C20+C25+C26+C30+C34+C35</f>
        <v>2120</v>
      </c>
      <c r="D36" s="561">
        <f>+D8+D20+D25+D26+D30+D34+D35</f>
        <v>2120</v>
      </c>
      <c r="E36" s="561">
        <f>+E8+E20+E25+E26+E30+E34+E35</f>
        <v>2170000</v>
      </c>
      <c r="F36" s="561">
        <f>+F8+F20+F25+F26+F30+F34+F35</f>
        <v>2170000</v>
      </c>
      <c r="G36" s="561">
        <f>+G8+G20+G25+G26+G30+G34+G35</f>
        <v>2218146</v>
      </c>
    </row>
    <row r="37" spans="1:7" s="546" customFormat="1" ht="12" customHeight="1" thickBot="1" x14ac:dyDescent="0.3">
      <c r="A37" s="562" t="s">
        <v>24</v>
      </c>
      <c r="B37" s="63" t="s">
        <v>413</v>
      </c>
      <c r="C37" s="561">
        <f>+C38+C39+C40</f>
        <v>43073</v>
      </c>
      <c r="D37" s="561">
        <f>+D38+D39+D40</f>
        <v>43089</v>
      </c>
      <c r="E37" s="561">
        <f>+E38+E39+E40</f>
        <v>43571520</v>
      </c>
      <c r="F37" s="561">
        <f>+F38+F39+F40</f>
        <v>43571520</v>
      </c>
      <c r="G37" s="561">
        <f>+G38+G39+G40</f>
        <v>43523374</v>
      </c>
    </row>
    <row r="38" spans="1:7" s="546" customFormat="1" ht="12" customHeight="1" x14ac:dyDescent="0.25">
      <c r="A38" s="556" t="s">
        <v>414</v>
      </c>
      <c r="B38" s="557" t="s">
        <v>232</v>
      </c>
      <c r="C38" s="39"/>
      <c r="D38" s="39">
        <v>477</v>
      </c>
      <c r="E38" s="39">
        <v>477225</v>
      </c>
      <c r="F38" s="39">
        <v>477225</v>
      </c>
      <c r="G38" s="39">
        <v>477225</v>
      </c>
    </row>
    <row r="39" spans="1:7" s="546" customFormat="1" ht="12" customHeight="1" x14ac:dyDescent="0.25">
      <c r="A39" s="556" t="s">
        <v>415</v>
      </c>
      <c r="B39" s="558" t="s">
        <v>2</v>
      </c>
      <c r="C39" s="192"/>
      <c r="D39" s="192"/>
      <c r="E39" s="192"/>
      <c r="F39" s="192"/>
      <c r="G39" s="192"/>
    </row>
    <row r="40" spans="1:7" s="552" customFormat="1" ht="12" customHeight="1" thickBot="1" x14ac:dyDescent="0.3">
      <c r="A40" s="549" t="s">
        <v>416</v>
      </c>
      <c r="B40" s="559" t="s">
        <v>417</v>
      </c>
      <c r="C40" s="46">
        <f>42707+366</f>
        <v>43073</v>
      </c>
      <c r="D40" s="46">
        <f>43073-477+16</f>
        <v>42612</v>
      </c>
      <c r="E40" s="46">
        <f>42635316+458979</f>
        <v>43094295</v>
      </c>
      <c r="F40" s="46">
        <f>42635316+458979</f>
        <v>43094295</v>
      </c>
      <c r="G40" s="46">
        <f>43094295-48146</f>
        <v>43046149</v>
      </c>
    </row>
    <row r="41" spans="1:7" s="552" customFormat="1" ht="15" customHeight="1" thickBot="1" x14ac:dyDescent="0.25">
      <c r="A41" s="562" t="s">
        <v>25</v>
      </c>
      <c r="B41" s="563" t="s">
        <v>418</v>
      </c>
      <c r="C41" s="206">
        <f>+C36+C37</f>
        <v>45193</v>
      </c>
      <c r="D41" s="206">
        <f>+D36+D37</f>
        <v>45209</v>
      </c>
      <c r="E41" s="206">
        <f>+E36+E37</f>
        <v>45741520</v>
      </c>
      <c r="F41" s="206">
        <f>+F36+F37</f>
        <v>45741520</v>
      </c>
      <c r="G41" s="206">
        <f>+G36+G37</f>
        <v>45741520</v>
      </c>
    </row>
    <row r="42" spans="1:7" s="552" customFormat="1" ht="68.25" customHeight="1" x14ac:dyDescent="0.25">
      <c r="A42" s="150"/>
      <c r="B42" s="151"/>
      <c r="C42" s="205"/>
      <c r="D42" s="205"/>
      <c r="E42" s="205"/>
      <c r="F42" s="205"/>
      <c r="G42" s="205"/>
    </row>
    <row r="43" spans="1:7" ht="13.8" thickBot="1" x14ac:dyDescent="0.3">
      <c r="A43" s="564"/>
      <c r="B43" s="565"/>
      <c r="C43" s="566"/>
      <c r="D43" s="566"/>
      <c r="E43" s="566"/>
      <c r="F43" s="566"/>
      <c r="G43" s="566"/>
    </row>
    <row r="44" spans="1:7" s="543" customFormat="1" ht="16.5" customHeight="1" thickBot="1" x14ac:dyDescent="0.3">
      <c r="A44" s="152"/>
      <c r="B44" s="153" t="s">
        <v>55</v>
      </c>
      <c r="C44" s="206"/>
      <c r="D44" s="206"/>
      <c r="E44" s="206"/>
      <c r="F44" s="206"/>
      <c r="G44" s="206"/>
    </row>
    <row r="45" spans="1:7" s="567" customFormat="1" ht="12" customHeight="1" thickBot="1" x14ac:dyDescent="0.3">
      <c r="A45" s="554" t="s">
        <v>16</v>
      </c>
      <c r="B45" s="63" t="s">
        <v>419</v>
      </c>
      <c r="C45" s="191">
        <f>SUM(C46:C50)</f>
        <v>44287</v>
      </c>
      <c r="D45" s="191">
        <f>SUM(D46:D50)</f>
        <v>44303</v>
      </c>
      <c r="E45" s="191">
        <f>SUM(E46:E50)</f>
        <v>43819375</v>
      </c>
      <c r="F45" s="191">
        <f>SUM(F46:F50)</f>
        <v>43438375</v>
      </c>
      <c r="G45" s="191">
        <f>SUM(G46:G50)</f>
        <v>43198375</v>
      </c>
    </row>
    <row r="46" spans="1:7" ht="12" customHeight="1" x14ac:dyDescent="0.25">
      <c r="A46" s="549" t="s">
        <v>96</v>
      </c>
      <c r="B46" s="7" t="s">
        <v>46</v>
      </c>
      <c r="C46" s="39">
        <f>11257+106-2</f>
        <v>11361</v>
      </c>
      <c r="D46" s="39">
        <f>11361+3+13</f>
        <v>11377</v>
      </c>
      <c r="E46" s="39">
        <f>11394970+361400</f>
        <v>11756370</v>
      </c>
      <c r="F46" s="39">
        <f>11756370+250000</f>
        <v>12006370</v>
      </c>
      <c r="G46" s="39">
        <f>11756370+250000</f>
        <v>12006370</v>
      </c>
    </row>
    <row r="47" spans="1:7" ht="12" customHeight="1" x14ac:dyDescent="0.25">
      <c r="A47" s="549" t="s">
        <v>97</v>
      </c>
      <c r="B47" s="6" t="s">
        <v>177</v>
      </c>
      <c r="C47" s="42">
        <f>3181+260-1</f>
        <v>3440</v>
      </c>
      <c r="D47" s="42">
        <f>3440-3+3</f>
        <v>3440</v>
      </c>
      <c r="E47" s="42">
        <f>3446046+97579</f>
        <v>3543625</v>
      </c>
      <c r="F47" s="42">
        <f>3543625+60750</f>
        <v>3604375</v>
      </c>
      <c r="G47" s="42">
        <f>3543625+60750</f>
        <v>3604375</v>
      </c>
    </row>
    <row r="48" spans="1:7" ht="12" customHeight="1" x14ac:dyDescent="0.25">
      <c r="A48" s="549" t="s">
        <v>98</v>
      </c>
      <c r="B48" s="6" t="s">
        <v>135</v>
      </c>
      <c r="C48" s="42">
        <f>29486-3+3</f>
        <v>29486</v>
      </c>
      <c r="D48" s="42">
        <f>29486-3+3</f>
        <v>29486</v>
      </c>
      <c r="E48" s="42">
        <v>28519380</v>
      </c>
      <c r="F48" s="42">
        <f>28519380-381000-310750</f>
        <v>27827630</v>
      </c>
      <c r="G48" s="42">
        <v>27587630</v>
      </c>
    </row>
    <row r="49" spans="1:7" ht="12" customHeight="1" x14ac:dyDescent="0.25">
      <c r="A49" s="549" t="s">
        <v>99</v>
      </c>
      <c r="B49" s="6" t="s">
        <v>178</v>
      </c>
      <c r="C49" s="42"/>
      <c r="D49" s="42"/>
      <c r="E49" s="42"/>
      <c r="F49" s="42"/>
      <c r="G49" s="42"/>
    </row>
    <row r="50" spans="1:7" ht="12" customHeight="1" thickBot="1" x14ac:dyDescent="0.3">
      <c r="A50" s="549" t="s">
        <v>144</v>
      </c>
      <c r="B50" s="6" t="s">
        <v>179</v>
      </c>
      <c r="C50" s="42"/>
      <c r="D50" s="42"/>
      <c r="E50" s="42"/>
      <c r="F50" s="42"/>
      <c r="G50" s="42"/>
    </row>
    <row r="51" spans="1:7" ht="12" customHeight="1" thickBot="1" x14ac:dyDescent="0.3">
      <c r="A51" s="554" t="s">
        <v>17</v>
      </c>
      <c r="B51" s="63" t="s">
        <v>420</v>
      </c>
      <c r="C51" s="191">
        <f>SUM(C52:C54)</f>
        <v>906</v>
      </c>
      <c r="D51" s="191">
        <f>SUM(D52:D54)</f>
        <v>906</v>
      </c>
      <c r="E51" s="191">
        <f>SUM(E52:E54)</f>
        <v>1922145</v>
      </c>
      <c r="F51" s="191">
        <f>SUM(F52:F54)</f>
        <v>2303145</v>
      </c>
      <c r="G51" s="191">
        <f>SUM(G52:G54)</f>
        <v>2543145</v>
      </c>
    </row>
    <row r="52" spans="1:7" s="567" customFormat="1" ht="12" customHeight="1" x14ac:dyDescent="0.25">
      <c r="A52" s="549" t="s">
        <v>102</v>
      </c>
      <c r="B52" s="7" t="s">
        <v>222</v>
      </c>
      <c r="C52" s="39">
        <f>903+3</f>
        <v>906</v>
      </c>
      <c r="D52" s="39">
        <f>903+3</f>
        <v>906</v>
      </c>
      <c r="E52" s="39">
        <f>906145+1016000</f>
        <v>1922145</v>
      </c>
      <c r="F52" s="39">
        <f>906145+1016000+381000</f>
        <v>2303145</v>
      </c>
      <c r="G52" s="39">
        <v>2543145</v>
      </c>
    </row>
    <row r="53" spans="1:7" ht="12" customHeight="1" x14ac:dyDescent="0.25">
      <c r="A53" s="549" t="s">
        <v>103</v>
      </c>
      <c r="B53" s="6" t="s">
        <v>181</v>
      </c>
      <c r="C53" s="42"/>
      <c r="D53" s="42"/>
      <c r="E53" s="42"/>
      <c r="F53" s="42"/>
      <c r="G53" s="42"/>
    </row>
    <row r="54" spans="1:7" ht="12" customHeight="1" x14ac:dyDescent="0.25">
      <c r="A54" s="549" t="s">
        <v>104</v>
      </c>
      <c r="B54" s="6" t="s">
        <v>56</v>
      </c>
      <c r="C54" s="42"/>
      <c r="D54" s="42"/>
      <c r="E54" s="42"/>
      <c r="F54" s="42"/>
      <c r="G54" s="42"/>
    </row>
    <row r="55" spans="1:7" ht="12" customHeight="1" thickBot="1" x14ac:dyDescent="0.3">
      <c r="A55" s="549" t="s">
        <v>105</v>
      </c>
      <c r="B55" s="6" t="s">
        <v>527</v>
      </c>
      <c r="C55" s="42"/>
      <c r="D55" s="42"/>
      <c r="E55" s="42"/>
      <c r="F55" s="42"/>
      <c r="G55" s="42"/>
    </row>
    <row r="56" spans="1:7" ht="15" customHeight="1" thickBot="1" x14ac:dyDescent="0.3">
      <c r="A56" s="554" t="s">
        <v>18</v>
      </c>
      <c r="B56" s="63" t="s">
        <v>12</v>
      </c>
      <c r="C56" s="555"/>
      <c r="D56" s="555"/>
      <c r="E56" s="555"/>
      <c r="F56" s="555"/>
      <c r="G56" s="555"/>
    </row>
    <row r="57" spans="1:7" ht="13.8" thickBot="1" x14ac:dyDescent="0.3">
      <c r="A57" s="554" t="s">
        <v>19</v>
      </c>
      <c r="B57" s="568" t="s">
        <v>532</v>
      </c>
      <c r="C57" s="569">
        <f>+C45+C51+C56</f>
        <v>45193</v>
      </c>
      <c r="D57" s="569">
        <f>+D45+D51+D56</f>
        <v>45209</v>
      </c>
      <c r="E57" s="569">
        <f>+E45+E51+E56</f>
        <v>45741520</v>
      </c>
      <c r="F57" s="569">
        <f>+F45+F51+F56</f>
        <v>45741520</v>
      </c>
      <c r="G57" s="569">
        <f>+G45+G51+G56</f>
        <v>45741520</v>
      </c>
    </row>
    <row r="58" spans="1:7" ht="15" customHeight="1" thickBot="1" x14ac:dyDescent="0.3">
      <c r="C58" s="571"/>
      <c r="D58" s="571"/>
      <c r="E58" s="571"/>
      <c r="F58" s="571"/>
      <c r="G58" s="571"/>
    </row>
    <row r="59" spans="1:7" ht="14.25" customHeight="1" thickBot="1" x14ac:dyDescent="0.3">
      <c r="A59" s="154" t="s">
        <v>522</v>
      </c>
      <c r="B59" s="155"/>
      <c r="C59" s="61">
        <v>3.25</v>
      </c>
      <c r="D59" s="61">
        <v>3.25</v>
      </c>
      <c r="E59" s="61">
        <v>3.25</v>
      </c>
      <c r="F59" s="61">
        <v>3.25</v>
      </c>
      <c r="G59" s="61">
        <v>3.25</v>
      </c>
    </row>
    <row r="60" spans="1:7" ht="13.8" thickBot="1" x14ac:dyDescent="0.3">
      <c r="A60" s="154" t="s">
        <v>199</v>
      </c>
      <c r="B60" s="155"/>
      <c r="C60" s="61"/>
      <c r="D60" s="61"/>
      <c r="E60" s="61"/>
      <c r="F60" s="61"/>
      <c r="G60" s="61"/>
    </row>
  </sheetData>
  <sheetProtection formatCells="0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60"/>
  <sheetViews>
    <sheetView topLeftCell="A19" zoomScaleNormal="100" workbookViewId="0">
      <selection activeCell="L47" sqref="L47"/>
    </sheetView>
  </sheetViews>
  <sheetFormatPr defaultColWidth="9.33203125" defaultRowHeight="13.2" x14ac:dyDescent="0.25"/>
  <cols>
    <col min="1" max="1" width="13.77734375" style="570" customWidth="1"/>
    <col min="2" max="2" width="68" style="542" customWidth="1"/>
    <col min="3" max="3" width="21.6640625" style="542" customWidth="1"/>
    <col min="4" max="7" width="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+CONCATENATE("9.3.1. melléklet a ……/",LEFT([2]ÖSSZEFÜGGÉSEK!E5,4),". (….) önkormányzati rendelethez")</f>
        <v>9.3.1. melléklet a ……/. (….) önkormányzati rendelethez</v>
      </c>
      <c r="D1" s="535"/>
      <c r="E1" s="535"/>
      <c r="F1" s="535"/>
      <c r="G1" s="535"/>
    </row>
    <row r="2" spans="1:7" s="538" customFormat="1" ht="36" customHeight="1" x14ac:dyDescent="0.25">
      <c r="A2" s="232" t="s">
        <v>197</v>
      </c>
      <c r="B2" s="200" t="s">
        <v>550</v>
      </c>
      <c r="C2" s="537" t="s">
        <v>58</v>
      </c>
      <c r="D2" s="537" t="s">
        <v>58</v>
      </c>
      <c r="E2" s="537" t="s">
        <v>58</v>
      </c>
      <c r="F2" s="537" t="s">
        <v>58</v>
      </c>
      <c r="G2" s="537" t="s">
        <v>58</v>
      </c>
    </row>
    <row r="3" spans="1:7" s="538" customFormat="1" ht="23.4" thickBot="1" x14ac:dyDescent="0.3">
      <c r="A3" s="539" t="s">
        <v>196</v>
      </c>
      <c r="B3" s="201" t="s">
        <v>421</v>
      </c>
      <c r="C3" s="540" t="s">
        <v>51</v>
      </c>
      <c r="D3" s="540" t="s">
        <v>51</v>
      </c>
      <c r="E3" s="540" t="s">
        <v>51</v>
      </c>
      <c r="F3" s="540" t="s">
        <v>51</v>
      </c>
      <c r="G3" s="540" t="s">
        <v>51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601</v>
      </c>
      <c r="E4" s="146" t="s">
        <v>700</v>
      </c>
      <c r="F4" s="146" t="s">
        <v>700</v>
      </c>
      <c r="G4" s="146" t="s">
        <v>700</v>
      </c>
    </row>
    <row r="5" spans="1:7" ht="23.4" thickBot="1" x14ac:dyDescent="0.3">
      <c r="A5" s="233" t="s">
        <v>198</v>
      </c>
      <c r="B5" s="147" t="s">
        <v>53</v>
      </c>
      <c r="C5" s="30" t="s">
        <v>602</v>
      </c>
      <c r="D5" s="30" t="s">
        <v>681</v>
      </c>
      <c r="E5" s="30" t="s">
        <v>699</v>
      </c>
      <c r="F5" s="30" t="s">
        <v>710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2120</v>
      </c>
      <c r="D8" s="191">
        <f>SUM(D9:D19)</f>
        <v>2120</v>
      </c>
      <c r="E8" s="191">
        <f>SUM(E9:E19)</f>
        <v>2170000</v>
      </c>
      <c r="F8" s="191">
        <f>SUM(F9:F19)</f>
        <v>2170000</v>
      </c>
      <c r="G8" s="191">
        <f>SUM(G9:G19)</f>
        <v>2218146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>
        <v>2120</v>
      </c>
      <c r="D10" s="550">
        <v>2120</v>
      </c>
      <c r="E10" s="550">
        <v>2120000</v>
      </c>
      <c r="F10" s="550">
        <v>2120000</v>
      </c>
      <c r="G10" s="550">
        <f>2120000+31026</f>
        <v>2151026</v>
      </c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>
        <v>50000</v>
      </c>
      <c r="F11" s="550">
        <v>50000</v>
      </c>
      <c r="G11" s="550">
        <f>50000+17018</f>
        <v>67018</v>
      </c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>
        <v>102</v>
      </c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528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408</v>
      </c>
      <c r="C26" s="191">
        <f>+C27+C28</f>
        <v>0</v>
      </c>
      <c r="D26" s="191">
        <f>+D27+D28</f>
        <v>0</v>
      </c>
      <c r="E26" s="191">
        <f>+E27+E28</f>
        <v>0</v>
      </c>
      <c r="F26" s="191">
        <f>+F27+F28</f>
        <v>0</v>
      </c>
      <c r="G26" s="191">
        <f>+G27+G28</f>
        <v>0</v>
      </c>
    </row>
    <row r="27" spans="1:7" s="552" customFormat="1" ht="12" customHeight="1" x14ac:dyDescent="0.25">
      <c r="A27" s="556" t="s">
        <v>264</v>
      </c>
      <c r="B27" s="557" t="s">
        <v>406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8" t="s">
        <v>409</v>
      </c>
      <c r="C28" s="192"/>
      <c r="D28" s="192"/>
      <c r="E28" s="192"/>
      <c r="F28" s="192"/>
      <c r="G28" s="192"/>
    </row>
    <row r="29" spans="1:7" s="552" customFormat="1" ht="12" customHeight="1" thickBot="1" x14ac:dyDescent="0.3">
      <c r="A29" s="549" t="s">
        <v>268</v>
      </c>
      <c r="B29" s="559" t="s">
        <v>529</v>
      </c>
      <c r="C29" s="46"/>
      <c r="D29" s="46"/>
      <c r="E29" s="46"/>
      <c r="F29" s="46"/>
      <c r="G29" s="46"/>
    </row>
    <row r="30" spans="1:7" s="552" customFormat="1" ht="12" customHeight="1" thickBot="1" x14ac:dyDescent="0.3">
      <c r="A30" s="554" t="s">
        <v>20</v>
      </c>
      <c r="B30" s="63" t="s">
        <v>410</v>
      </c>
      <c r="C30" s="191">
        <f>+C31+C32+C33</f>
        <v>0</v>
      </c>
      <c r="D30" s="191">
        <f>+D31+D32+D33</f>
        <v>0</v>
      </c>
      <c r="E30" s="191">
        <f>+E31+E32+E33</f>
        <v>0</v>
      </c>
      <c r="F30" s="191">
        <f>+F31+F32+F33</f>
        <v>0</v>
      </c>
      <c r="G30" s="191">
        <f>+G31+G32+G33</f>
        <v>0</v>
      </c>
    </row>
    <row r="31" spans="1:7" s="552" customFormat="1" ht="12" customHeight="1" x14ac:dyDescent="0.25">
      <c r="A31" s="556" t="s">
        <v>89</v>
      </c>
      <c r="B31" s="557" t="s">
        <v>291</v>
      </c>
      <c r="C31" s="39"/>
      <c r="D31" s="39"/>
      <c r="E31" s="39"/>
      <c r="F31" s="39"/>
      <c r="G31" s="39"/>
    </row>
    <row r="32" spans="1:7" s="552" customFormat="1" ht="12" customHeight="1" x14ac:dyDescent="0.25">
      <c r="A32" s="556" t="s">
        <v>90</v>
      </c>
      <c r="B32" s="558" t="s">
        <v>292</v>
      </c>
      <c r="C32" s="192"/>
      <c r="D32" s="192"/>
      <c r="E32" s="192"/>
      <c r="F32" s="192"/>
      <c r="G32" s="192"/>
    </row>
    <row r="33" spans="1:7" s="552" customFormat="1" ht="12" customHeight="1" thickBot="1" x14ac:dyDescent="0.3">
      <c r="A33" s="549" t="s">
        <v>91</v>
      </c>
      <c r="B33" s="559" t="s">
        <v>293</v>
      </c>
      <c r="C33" s="46"/>
      <c r="D33" s="46"/>
      <c r="E33" s="46"/>
      <c r="F33" s="46"/>
      <c r="G33" s="46"/>
    </row>
    <row r="34" spans="1:7" s="546" customFormat="1" ht="12" customHeight="1" thickBot="1" x14ac:dyDescent="0.3">
      <c r="A34" s="554" t="s">
        <v>21</v>
      </c>
      <c r="B34" s="63" t="s">
        <v>379</v>
      </c>
      <c r="C34" s="555"/>
      <c r="D34" s="555"/>
      <c r="E34" s="555"/>
      <c r="F34" s="555"/>
      <c r="G34" s="555"/>
    </row>
    <row r="35" spans="1:7" s="546" customFormat="1" ht="12" customHeight="1" thickBot="1" x14ac:dyDescent="0.3">
      <c r="A35" s="554" t="s">
        <v>22</v>
      </c>
      <c r="B35" s="63" t="s">
        <v>411</v>
      </c>
      <c r="C35" s="560"/>
      <c r="D35" s="560"/>
      <c r="E35" s="560"/>
      <c r="F35" s="560"/>
      <c r="G35" s="560"/>
    </row>
    <row r="36" spans="1:7" s="546" customFormat="1" ht="12" customHeight="1" thickBot="1" x14ac:dyDescent="0.3">
      <c r="A36" s="116" t="s">
        <v>23</v>
      </c>
      <c r="B36" s="63" t="s">
        <v>530</v>
      </c>
      <c r="C36" s="561">
        <f>+C8+C20+C25+C26+C30+C34+C35</f>
        <v>2120</v>
      </c>
      <c r="D36" s="561">
        <f>+D8+D20+D25+D26+D30+D34+D35</f>
        <v>2120</v>
      </c>
      <c r="E36" s="561">
        <f>+E8+E20+E25+E26+E30+E34+E35</f>
        <v>2170000</v>
      </c>
      <c r="F36" s="561">
        <f>+F8+F20+F25+F26+F30+F34+F35</f>
        <v>2170000</v>
      </c>
      <c r="G36" s="561">
        <f>+G8+G20+G25+G26+G30+G34+G35</f>
        <v>2218146</v>
      </c>
    </row>
    <row r="37" spans="1:7" s="546" customFormat="1" ht="12" customHeight="1" thickBot="1" x14ac:dyDescent="0.3">
      <c r="A37" s="562" t="s">
        <v>24</v>
      </c>
      <c r="B37" s="63" t="s">
        <v>413</v>
      </c>
      <c r="C37" s="561">
        <f>+C38+C39+C40</f>
        <v>43073</v>
      </c>
      <c r="D37" s="561">
        <f>+D38+D39+D40</f>
        <v>43089</v>
      </c>
      <c r="E37" s="561">
        <f>+E38+E39+E40</f>
        <v>43571520</v>
      </c>
      <c r="F37" s="561">
        <f>+F38+F39+F40</f>
        <v>43571520</v>
      </c>
      <c r="G37" s="561">
        <f>+G38+G39+G40</f>
        <v>43523374</v>
      </c>
    </row>
    <row r="38" spans="1:7" s="546" customFormat="1" ht="12" customHeight="1" x14ac:dyDescent="0.25">
      <c r="A38" s="556" t="s">
        <v>414</v>
      </c>
      <c r="B38" s="557" t="s">
        <v>232</v>
      </c>
      <c r="C38" s="39"/>
      <c r="D38" s="39">
        <v>477</v>
      </c>
      <c r="E38" s="39">
        <v>477225</v>
      </c>
      <c r="F38" s="39">
        <v>477225</v>
      </c>
      <c r="G38" s="39">
        <v>477225</v>
      </c>
    </row>
    <row r="39" spans="1:7" s="546" customFormat="1" ht="12" customHeight="1" x14ac:dyDescent="0.25">
      <c r="A39" s="556" t="s">
        <v>415</v>
      </c>
      <c r="B39" s="558" t="s">
        <v>2</v>
      </c>
      <c r="C39" s="192"/>
      <c r="D39" s="192"/>
      <c r="E39" s="192"/>
      <c r="F39" s="192"/>
      <c r="G39" s="192"/>
    </row>
    <row r="40" spans="1:7" s="552" customFormat="1" ht="12" customHeight="1" thickBot="1" x14ac:dyDescent="0.3">
      <c r="A40" s="549" t="s">
        <v>416</v>
      </c>
      <c r="B40" s="559" t="s">
        <v>417</v>
      </c>
      <c r="C40" s="46">
        <f>42707+366</f>
        <v>43073</v>
      </c>
      <c r="D40" s="46">
        <f>43073-477+16</f>
        <v>42612</v>
      </c>
      <c r="E40" s="46">
        <f>42635316+458979</f>
        <v>43094295</v>
      </c>
      <c r="F40" s="46">
        <f>42635316+458979</f>
        <v>43094295</v>
      </c>
      <c r="G40" s="46">
        <f>43094295-48146</f>
        <v>43046149</v>
      </c>
    </row>
    <row r="41" spans="1:7" s="552" customFormat="1" ht="15" customHeight="1" thickBot="1" x14ac:dyDescent="0.25">
      <c r="A41" s="562" t="s">
        <v>25</v>
      </c>
      <c r="B41" s="563" t="s">
        <v>418</v>
      </c>
      <c r="C41" s="206">
        <f>+C36+C37</f>
        <v>45193</v>
      </c>
      <c r="D41" s="206">
        <f>+D36+D37</f>
        <v>45209</v>
      </c>
      <c r="E41" s="206">
        <f>+E36+E37</f>
        <v>45741520</v>
      </c>
      <c r="F41" s="206">
        <f>+F36+F37</f>
        <v>45741520</v>
      </c>
      <c r="G41" s="206">
        <f>+G36+G37</f>
        <v>45741520</v>
      </c>
    </row>
    <row r="42" spans="1:7" s="552" customFormat="1" ht="69" customHeight="1" x14ac:dyDescent="0.25">
      <c r="A42" s="150"/>
      <c r="B42" s="151"/>
      <c r="C42" s="205"/>
      <c r="D42" s="205"/>
      <c r="E42" s="205"/>
      <c r="F42" s="205"/>
      <c r="G42" s="205"/>
    </row>
    <row r="43" spans="1:7" ht="13.8" thickBot="1" x14ac:dyDescent="0.3">
      <c r="A43" s="564"/>
      <c r="B43" s="565"/>
      <c r="C43" s="566"/>
      <c r="D43" s="566"/>
      <c r="E43" s="566"/>
      <c r="F43" s="566"/>
      <c r="G43" s="566"/>
    </row>
    <row r="44" spans="1:7" s="543" customFormat="1" ht="16.5" customHeight="1" thickBot="1" x14ac:dyDescent="0.3">
      <c r="A44" s="152"/>
      <c r="B44" s="153" t="s">
        <v>55</v>
      </c>
      <c r="C44" s="206"/>
      <c r="D44" s="206"/>
      <c r="E44" s="206"/>
      <c r="F44" s="206"/>
      <c r="G44" s="206"/>
    </row>
    <row r="45" spans="1:7" s="567" customFormat="1" ht="12" customHeight="1" thickBot="1" x14ac:dyDescent="0.3">
      <c r="A45" s="554" t="s">
        <v>16</v>
      </c>
      <c r="B45" s="63" t="s">
        <v>419</v>
      </c>
      <c r="C45" s="191">
        <f>SUM(C46:C50)</f>
        <v>44287</v>
      </c>
      <c r="D45" s="191">
        <f>SUM(D46:D50)</f>
        <v>44303</v>
      </c>
      <c r="E45" s="191">
        <f>SUM(E46:E50)</f>
        <v>43819375</v>
      </c>
      <c r="F45" s="191">
        <f>SUM(F46:F50)</f>
        <v>43438375</v>
      </c>
      <c r="G45" s="191">
        <f>SUM(G46:G50)</f>
        <v>43198375</v>
      </c>
    </row>
    <row r="46" spans="1:7" ht="12" customHeight="1" x14ac:dyDescent="0.25">
      <c r="A46" s="549" t="s">
        <v>96</v>
      </c>
      <c r="B46" s="7" t="s">
        <v>46</v>
      </c>
      <c r="C46" s="39">
        <f>11257+106-2</f>
        <v>11361</v>
      </c>
      <c r="D46" s="39">
        <f>11361+3+13</f>
        <v>11377</v>
      </c>
      <c r="E46" s="39">
        <f>11394970+361400</f>
        <v>11756370</v>
      </c>
      <c r="F46" s="39">
        <f>11756370+250000</f>
        <v>12006370</v>
      </c>
      <c r="G46" s="39">
        <f>11756370+250000</f>
        <v>12006370</v>
      </c>
    </row>
    <row r="47" spans="1:7" ht="12" customHeight="1" x14ac:dyDescent="0.25">
      <c r="A47" s="549" t="s">
        <v>97</v>
      </c>
      <c r="B47" s="6" t="s">
        <v>177</v>
      </c>
      <c r="C47" s="42">
        <f>3181+260-1</f>
        <v>3440</v>
      </c>
      <c r="D47" s="42">
        <f>3181+260-1-3+3</f>
        <v>3440</v>
      </c>
      <c r="E47" s="42">
        <f>3446046+97579</f>
        <v>3543625</v>
      </c>
      <c r="F47" s="42">
        <f>3543625+60750</f>
        <v>3604375</v>
      </c>
      <c r="G47" s="42">
        <f>3543625+60750</f>
        <v>3604375</v>
      </c>
    </row>
    <row r="48" spans="1:7" ht="12" customHeight="1" x14ac:dyDescent="0.25">
      <c r="A48" s="549" t="s">
        <v>98</v>
      </c>
      <c r="B48" s="6" t="s">
        <v>135</v>
      </c>
      <c r="C48" s="42">
        <f>29486-3+3</f>
        <v>29486</v>
      </c>
      <c r="D48" s="42">
        <f>29486-3+3</f>
        <v>29486</v>
      </c>
      <c r="E48" s="42">
        <v>28519380</v>
      </c>
      <c r="F48" s="42">
        <f>28519380-381000-310750</f>
        <v>27827630</v>
      </c>
      <c r="G48" s="42">
        <v>27587630</v>
      </c>
    </row>
    <row r="49" spans="1:7" ht="12" customHeight="1" x14ac:dyDescent="0.25">
      <c r="A49" s="549" t="s">
        <v>99</v>
      </c>
      <c r="B49" s="6" t="s">
        <v>178</v>
      </c>
      <c r="C49" s="42"/>
      <c r="D49" s="42"/>
      <c r="E49" s="42"/>
      <c r="F49" s="42"/>
      <c r="G49" s="42"/>
    </row>
    <row r="50" spans="1:7" ht="12" customHeight="1" thickBot="1" x14ac:dyDescent="0.3">
      <c r="A50" s="549" t="s">
        <v>144</v>
      </c>
      <c r="B50" s="6" t="s">
        <v>179</v>
      </c>
      <c r="C50" s="42"/>
      <c r="D50" s="42"/>
      <c r="E50" s="42"/>
      <c r="F50" s="42"/>
      <c r="G50" s="42"/>
    </row>
    <row r="51" spans="1:7" ht="12" customHeight="1" thickBot="1" x14ac:dyDescent="0.3">
      <c r="A51" s="554" t="s">
        <v>17</v>
      </c>
      <c r="B51" s="63" t="s">
        <v>420</v>
      </c>
      <c r="C51" s="191">
        <f>SUM(C52:C54)</f>
        <v>906</v>
      </c>
      <c r="D51" s="191">
        <f>SUM(D52:D54)</f>
        <v>906</v>
      </c>
      <c r="E51" s="191">
        <f>SUM(E52:E54)</f>
        <v>1922145</v>
      </c>
      <c r="F51" s="191">
        <f>SUM(F52:F54)</f>
        <v>2303145</v>
      </c>
      <c r="G51" s="191">
        <f>SUM(G52:G54)</f>
        <v>2543145</v>
      </c>
    </row>
    <row r="52" spans="1:7" s="567" customFormat="1" ht="12" customHeight="1" x14ac:dyDescent="0.25">
      <c r="A52" s="549" t="s">
        <v>102</v>
      </c>
      <c r="B52" s="7" t="s">
        <v>222</v>
      </c>
      <c r="C52" s="39">
        <v>906</v>
      </c>
      <c r="D52" s="39">
        <v>906</v>
      </c>
      <c r="E52" s="39">
        <f>906145+1016000</f>
        <v>1922145</v>
      </c>
      <c r="F52" s="39">
        <f>906145+1016000+381000</f>
        <v>2303145</v>
      </c>
      <c r="G52" s="39">
        <v>2543145</v>
      </c>
    </row>
    <row r="53" spans="1:7" ht="12" customHeight="1" x14ac:dyDescent="0.25">
      <c r="A53" s="549" t="s">
        <v>103</v>
      </c>
      <c r="B53" s="6" t="s">
        <v>181</v>
      </c>
      <c r="C53" s="42"/>
      <c r="D53" s="42"/>
      <c r="E53" s="42"/>
      <c r="F53" s="42"/>
      <c r="G53" s="42"/>
    </row>
    <row r="54" spans="1:7" ht="12" customHeight="1" x14ac:dyDescent="0.25">
      <c r="A54" s="549" t="s">
        <v>104</v>
      </c>
      <c r="B54" s="6" t="s">
        <v>56</v>
      </c>
      <c r="C54" s="42"/>
      <c r="D54" s="42"/>
      <c r="E54" s="42"/>
      <c r="F54" s="42"/>
      <c r="G54" s="42"/>
    </row>
    <row r="55" spans="1:7" ht="12" customHeight="1" thickBot="1" x14ac:dyDescent="0.3">
      <c r="A55" s="549" t="s">
        <v>105</v>
      </c>
      <c r="B55" s="6" t="s">
        <v>527</v>
      </c>
      <c r="C55" s="42"/>
      <c r="D55" s="42"/>
      <c r="E55" s="42"/>
      <c r="F55" s="42"/>
      <c r="G55" s="42"/>
    </row>
    <row r="56" spans="1:7" ht="15" customHeight="1" thickBot="1" x14ac:dyDescent="0.3">
      <c r="A56" s="554" t="s">
        <v>18</v>
      </c>
      <c r="B56" s="63" t="s">
        <v>12</v>
      </c>
      <c r="C56" s="555"/>
      <c r="D56" s="555"/>
      <c r="E56" s="555"/>
      <c r="F56" s="555"/>
      <c r="G56" s="555"/>
    </row>
    <row r="57" spans="1:7" ht="13.8" thickBot="1" x14ac:dyDescent="0.3">
      <c r="A57" s="554" t="s">
        <v>19</v>
      </c>
      <c r="B57" s="568" t="s">
        <v>532</v>
      </c>
      <c r="C57" s="569">
        <f>+C45+C51+C56</f>
        <v>45193</v>
      </c>
      <c r="D57" s="569">
        <f>+D45+D51+D56</f>
        <v>45209</v>
      </c>
      <c r="E57" s="569">
        <f>+E45+E51+E56</f>
        <v>45741520</v>
      </c>
      <c r="F57" s="569">
        <f>+F45+F51+F56</f>
        <v>45741520</v>
      </c>
      <c r="G57" s="569">
        <f>+G45+G51+G56</f>
        <v>45741520</v>
      </c>
    </row>
    <row r="58" spans="1:7" ht="15" customHeight="1" thickBot="1" x14ac:dyDescent="0.3">
      <c r="C58" s="571"/>
      <c r="D58" s="571"/>
      <c r="E58" s="571"/>
      <c r="F58" s="571"/>
      <c r="G58" s="571"/>
    </row>
    <row r="59" spans="1:7" ht="14.25" customHeight="1" thickBot="1" x14ac:dyDescent="0.3">
      <c r="A59" s="154" t="s">
        <v>522</v>
      </c>
      <c r="B59" s="155"/>
      <c r="C59" s="61">
        <v>3.25</v>
      </c>
      <c r="D59" s="61">
        <v>3.25</v>
      </c>
      <c r="E59" s="61">
        <v>3.25</v>
      </c>
      <c r="F59" s="61">
        <v>3.25</v>
      </c>
      <c r="G59" s="61">
        <v>3.25</v>
      </c>
    </row>
    <row r="60" spans="1:7" ht="13.8" thickBot="1" x14ac:dyDescent="0.3">
      <c r="A60" s="154" t="s">
        <v>199</v>
      </c>
      <c r="B60" s="155"/>
      <c r="C60" s="61"/>
      <c r="D60" s="61"/>
      <c r="E60" s="61"/>
      <c r="F60" s="61"/>
      <c r="G60" s="61"/>
    </row>
  </sheetData>
  <sheetProtection formatCells="0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60"/>
  <sheetViews>
    <sheetView topLeftCell="C1" zoomScaleNormal="100" workbookViewId="0">
      <selection activeCell="L47" sqref="L47"/>
    </sheetView>
  </sheetViews>
  <sheetFormatPr defaultColWidth="9.33203125" defaultRowHeight="13.2" x14ac:dyDescent="0.25"/>
  <cols>
    <col min="1" max="1" width="13.77734375" style="570" customWidth="1"/>
    <col min="2" max="2" width="79.109375" style="542" customWidth="1"/>
    <col min="3" max="7" width="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+CONCATENATE("9.3.2. melléklet a ……/",LEFT([2]ÖSSZEFÜGGÉSEK!E5,4),". (….) önkormányzati rendelethez")</f>
        <v>9.3.2. melléklet a ……/. (….) önkormányzati rendelethez</v>
      </c>
      <c r="D1" s="535"/>
      <c r="E1" s="535"/>
      <c r="F1" s="535"/>
      <c r="G1" s="535"/>
    </row>
    <row r="2" spans="1:7" s="538" customFormat="1" ht="32.25" customHeight="1" x14ac:dyDescent="0.25">
      <c r="A2" s="232" t="s">
        <v>197</v>
      </c>
      <c r="B2" s="200" t="s">
        <v>550</v>
      </c>
      <c r="C2" s="537" t="s">
        <v>58</v>
      </c>
      <c r="D2" s="537" t="s">
        <v>58</v>
      </c>
      <c r="E2" s="537" t="s">
        <v>58</v>
      </c>
      <c r="F2" s="537" t="s">
        <v>58</v>
      </c>
      <c r="G2" s="537" t="s">
        <v>58</v>
      </c>
    </row>
    <row r="3" spans="1:7" s="538" customFormat="1" ht="23.4" thickBot="1" x14ac:dyDescent="0.3">
      <c r="A3" s="539" t="s">
        <v>196</v>
      </c>
      <c r="B3" s="201" t="s">
        <v>422</v>
      </c>
      <c r="C3" s="540" t="s">
        <v>58</v>
      </c>
      <c r="D3" s="540" t="s">
        <v>58</v>
      </c>
      <c r="E3" s="540" t="s">
        <v>58</v>
      </c>
      <c r="F3" s="540" t="s">
        <v>58</v>
      </c>
      <c r="G3" s="540" t="s">
        <v>58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601</v>
      </c>
      <c r="E4" s="146" t="s">
        <v>700</v>
      </c>
      <c r="F4" s="146" t="s">
        <v>700</v>
      </c>
      <c r="G4" s="146" t="s">
        <v>700</v>
      </c>
    </row>
    <row r="5" spans="1:7" ht="13.8" thickBot="1" x14ac:dyDescent="0.3">
      <c r="A5" s="233" t="s">
        <v>198</v>
      </c>
      <c r="B5" s="147" t="s">
        <v>53</v>
      </c>
      <c r="C5" s="30" t="s">
        <v>602</v>
      </c>
      <c r="D5" s="30" t="s">
        <v>681</v>
      </c>
      <c r="E5" s="30" t="s">
        <v>699</v>
      </c>
      <c r="F5" s="30" t="s">
        <v>710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0</v>
      </c>
      <c r="G8" s="191">
        <f>SUM(G9:G19)</f>
        <v>0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/>
      <c r="G10" s="550"/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/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528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408</v>
      </c>
      <c r="C26" s="191">
        <f>+C27+C28</f>
        <v>0</v>
      </c>
      <c r="D26" s="191">
        <f>+D27+D28</f>
        <v>0</v>
      </c>
      <c r="E26" s="191">
        <f>+E27+E28</f>
        <v>0</v>
      </c>
      <c r="F26" s="191">
        <f>+F27+F28</f>
        <v>0</v>
      </c>
      <c r="G26" s="191">
        <f>+G27+G28</f>
        <v>0</v>
      </c>
    </row>
    <row r="27" spans="1:7" s="552" customFormat="1" ht="12" customHeight="1" x14ac:dyDescent="0.25">
      <c r="A27" s="556" t="s">
        <v>264</v>
      </c>
      <c r="B27" s="557" t="s">
        <v>406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8" t="s">
        <v>409</v>
      </c>
      <c r="C28" s="192"/>
      <c r="D28" s="192"/>
      <c r="E28" s="192"/>
      <c r="F28" s="192"/>
      <c r="G28" s="192"/>
    </row>
    <row r="29" spans="1:7" s="552" customFormat="1" ht="12" customHeight="1" thickBot="1" x14ac:dyDescent="0.3">
      <c r="A29" s="549" t="s">
        <v>268</v>
      </c>
      <c r="B29" s="559" t="s">
        <v>529</v>
      </c>
      <c r="C29" s="46"/>
      <c r="D29" s="46"/>
      <c r="E29" s="46"/>
      <c r="F29" s="46"/>
      <c r="G29" s="46"/>
    </row>
    <row r="30" spans="1:7" s="552" customFormat="1" ht="12" customHeight="1" thickBot="1" x14ac:dyDescent="0.3">
      <c r="A30" s="554" t="s">
        <v>20</v>
      </c>
      <c r="B30" s="63" t="s">
        <v>410</v>
      </c>
      <c r="C30" s="191">
        <f>+C31+C32+C33</f>
        <v>0</v>
      </c>
      <c r="D30" s="191">
        <f>+D31+D32+D33</f>
        <v>0</v>
      </c>
      <c r="E30" s="191">
        <f>+E31+E32+E33</f>
        <v>0</v>
      </c>
      <c r="F30" s="191">
        <f>+F31+F32+F33</f>
        <v>0</v>
      </c>
      <c r="G30" s="191">
        <f>+G31+G32+G33</f>
        <v>0</v>
      </c>
    </row>
    <row r="31" spans="1:7" s="552" customFormat="1" ht="12" customHeight="1" x14ac:dyDescent="0.25">
      <c r="A31" s="556" t="s">
        <v>89</v>
      </c>
      <c r="B31" s="557" t="s">
        <v>291</v>
      </c>
      <c r="C31" s="39"/>
      <c r="D31" s="39"/>
      <c r="E31" s="39"/>
      <c r="F31" s="39"/>
      <c r="G31" s="39"/>
    </row>
    <row r="32" spans="1:7" s="552" customFormat="1" ht="12" customHeight="1" x14ac:dyDescent="0.25">
      <c r="A32" s="556" t="s">
        <v>90</v>
      </c>
      <c r="B32" s="558" t="s">
        <v>292</v>
      </c>
      <c r="C32" s="192"/>
      <c r="D32" s="192"/>
      <c r="E32" s="192"/>
      <c r="F32" s="192"/>
      <c r="G32" s="192"/>
    </row>
    <row r="33" spans="1:7" s="552" customFormat="1" ht="12" customHeight="1" thickBot="1" x14ac:dyDescent="0.3">
      <c r="A33" s="549" t="s">
        <v>91</v>
      </c>
      <c r="B33" s="559" t="s">
        <v>293</v>
      </c>
      <c r="C33" s="46"/>
      <c r="D33" s="46"/>
      <c r="E33" s="46"/>
      <c r="F33" s="46"/>
      <c r="G33" s="46"/>
    </row>
    <row r="34" spans="1:7" s="546" customFormat="1" ht="12" customHeight="1" thickBot="1" x14ac:dyDescent="0.3">
      <c r="A34" s="554" t="s">
        <v>21</v>
      </c>
      <c r="B34" s="63" t="s">
        <v>379</v>
      </c>
      <c r="C34" s="555"/>
      <c r="D34" s="555"/>
      <c r="E34" s="555"/>
      <c r="F34" s="555"/>
      <c r="G34" s="555"/>
    </row>
    <row r="35" spans="1:7" s="546" customFormat="1" ht="12" customHeight="1" thickBot="1" x14ac:dyDescent="0.3">
      <c r="A35" s="554" t="s">
        <v>22</v>
      </c>
      <c r="B35" s="63" t="s">
        <v>411</v>
      </c>
      <c r="C35" s="560"/>
      <c r="D35" s="560"/>
      <c r="E35" s="560"/>
      <c r="F35" s="560"/>
      <c r="G35" s="560"/>
    </row>
    <row r="36" spans="1:7" s="546" customFormat="1" ht="12" customHeight="1" thickBot="1" x14ac:dyDescent="0.3">
      <c r="A36" s="116" t="s">
        <v>23</v>
      </c>
      <c r="B36" s="63" t="s">
        <v>530</v>
      </c>
      <c r="C36" s="561">
        <f>+C8+C20+C25+C26+C30+C34+C35</f>
        <v>0</v>
      </c>
      <c r="D36" s="561">
        <f>+D8+D20+D25+D26+D30+D34+D35</f>
        <v>0</v>
      </c>
      <c r="E36" s="561">
        <f>+E8+E20+E25+E26+E30+E34+E35</f>
        <v>0</v>
      </c>
      <c r="F36" s="561">
        <f>+F8+F20+F25+F26+F30+F34+F35</f>
        <v>0</v>
      </c>
      <c r="G36" s="561">
        <f>+G8+G20+G25+G26+G30+G34+G35</f>
        <v>0</v>
      </c>
    </row>
    <row r="37" spans="1:7" s="546" customFormat="1" ht="12" customHeight="1" thickBot="1" x14ac:dyDescent="0.3">
      <c r="A37" s="562" t="s">
        <v>24</v>
      </c>
      <c r="B37" s="63" t="s">
        <v>413</v>
      </c>
      <c r="C37" s="561">
        <f>+C38+C39+C40</f>
        <v>0</v>
      </c>
      <c r="D37" s="561">
        <f>+D38+D39+D40</f>
        <v>0</v>
      </c>
      <c r="E37" s="561">
        <f>+E38+E39+E40</f>
        <v>0</v>
      </c>
      <c r="F37" s="561">
        <f>+F38+F39+F40</f>
        <v>0</v>
      </c>
      <c r="G37" s="561">
        <f>+G38+G39+G40</f>
        <v>0</v>
      </c>
    </row>
    <row r="38" spans="1:7" s="546" customFormat="1" ht="12" customHeight="1" x14ac:dyDescent="0.25">
      <c r="A38" s="556" t="s">
        <v>414</v>
      </c>
      <c r="B38" s="557" t="s">
        <v>232</v>
      </c>
      <c r="C38" s="39"/>
      <c r="D38" s="39"/>
      <c r="E38" s="39"/>
      <c r="F38" s="39"/>
      <c r="G38" s="39"/>
    </row>
    <row r="39" spans="1:7" s="546" customFormat="1" ht="12" customHeight="1" x14ac:dyDescent="0.25">
      <c r="A39" s="556" t="s">
        <v>415</v>
      </c>
      <c r="B39" s="558" t="s">
        <v>2</v>
      </c>
      <c r="C39" s="192"/>
      <c r="D39" s="192"/>
      <c r="E39" s="192"/>
      <c r="F39" s="192"/>
      <c r="G39" s="192"/>
    </row>
    <row r="40" spans="1:7" s="552" customFormat="1" ht="12" customHeight="1" thickBot="1" x14ac:dyDescent="0.3">
      <c r="A40" s="549" t="s">
        <v>416</v>
      </c>
      <c r="B40" s="559" t="s">
        <v>417</v>
      </c>
      <c r="C40" s="46"/>
      <c r="D40" s="46"/>
      <c r="E40" s="46"/>
      <c r="F40" s="46"/>
      <c r="G40" s="46"/>
    </row>
    <row r="41" spans="1:7" s="552" customFormat="1" ht="15" customHeight="1" thickBot="1" x14ac:dyDescent="0.25">
      <c r="A41" s="562" t="s">
        <v>25</v>
      </c>
      <c r="B41" s="563" t="s">
        <v>418</v>
      </c>
      <c r="C41" s="206">
        <f>+C36+C37</f>
        <v>0</v>
      </c>
      <c r="D41" s="206">
        <f>+D36+D37</f>
        <v>0</v>
      </c>
      <c r="E41" s="206">
        <f>+E36+E37</f>
        <v>0</v>
      </c>
      <c r="F41" s="206">
        <f>+F36+F37</f>
        <v>0</v>
      </c>
      <c r="G41" s="206">
        <f>+G36+G37</f>
        <v>0</v>
      </c>
    </row>
    <row r="42" spans="1:7" s="552" customFormat="1" ht="15" customHeight="1" x14ac:dyDescent="0.25">
      <c r="A42" s="150"/>
      <c r="B42" s="151"/>
      <c r="C42" s="205"/>
      <c r="D42" s="205"/>
      <c r="E42" s="205"/>
      <c r="F42" s="205"/>
      <c r="G42" s="205"/>
    </row>
    <row r="43" spans="1:7" ht="13.8" thickBot="1" x14ac:dyDescent="0.3">
      <c r="A43" s="564"/>
      <c r="B43" s="565"/>
      <c r="C43" s="566"/>
      <c r="D43" s="566"/>
      <c r="E43" s="566"/>
      <c r="F43" s="566"/>
      <c r="G43" s="566"/>
    </row>
    <row r="44" spans="1:7" s="543" customFormat="1" ht="16.5" customHeight="1" thickBot="1" x14ac:dyDescent="0.3">
      <c r="A44" s="152"/>
      <c r="B44" s="153" t="s">
        <v>55</v>
      </c>
      <c r="C44" s="206"/>
      <c r="D44" s="206"/>
      <c r="E44" s="206"/>
      <c r="F44" s="206"/>
      <c r="G44" s="206"/>
    </row>
    <row r="45" spans="1:7" s="567" customFormat="1" ht="12" customHeight="1" thickBot="1" x14ac:dyDescent="0.3">
      <c r="A45" s="554" t="s">
        <v>16</v>
      </c>
      <c r="B45" s="63" t="s">
        <v>419</v>
      </c>
      <c r="C45" s="191">
        <f>SUM(C46:C50)</f>
        <v>0</v>
      </c>
      <c r="D45" s="191">
        <f>SUM(D46:D50)</f>
        <v>0</v>
      </c>
      <c r="E45" s="191">
        <f>SUM(E46:E50)</f>
        <v>0</v>
      </c>
      <c r="F45" s="191">
        <f>SUM(F46:F50)</f>
        <v>0</v>
      </c>
      <c r="G45" s="191">
        <f>SUM(G46:G50)</f>
        <v>0</v>
      </c>
    </row>
    <row r="46" spans="1:7" ht="12" customHeight="1" x14ac:dyDescent="0.25">
      <c r="A46" s="549" t="s">
        <v>96</v>
      </c>
      <c r="B46" s="7" t="s">
        <v>46</v>
      </c>
      <c r="C46" s="39"/>
      <c r="D46" s="39"/>
      <c r="E46" s="39"/>
      <c r="F46" s="39"/>
      <c r="G46" s="39"/>
    </row>
    <row r="47" spans="1:7" ht="12" customHeight="1" x14ac:dyDescent="0.25">
      <c r="A47" s="549" t="s">
        <v>97</v>
      </c>
      <c r="B47" s="6" t="s">
        <v>177</v>
      </c>
      <c r="C47" s="42"/>
      <c r="D47" s="42"/>
      <c r="E47" s="42"/>
      <c r="F47" s="42"/>
      <c r="G47" s="42"/>
    </row>
    <row r="48" spans="1:7" ht="12" customHeight="1" x14ac:dyDescent="0.25">
      <c r="A48" s="549" t="s">
        <v>98</v>
      </c>
      <c r="B48" s="6" t="s">
        <v>135</v>
      </c>
      <c r="C48" s="42"/>
      <c r="D48" s="42"/>
      <c r="E48" s="42"/>
      <c r="F48" s="42"/>
      <c r="G48" s="42"/>
    </row>
    <row r="49" spans="1:7" ht="12" customHeight="1" x14ac:dyDescent="0.25">
      <c r="A49" s="549" t="s">
        <v>99</v>
      </c>
      <c r="B49" s="6" t="s">
        <v>178</v>
      </c>
      <c r="C49" s="42"/>
      <c r="D49" s="42"/>
      <c r="E49" s="42"/>
      <c r="F49" s="42"/>
      <c r="G49" s="42"/>
    </row>
    <row r="50" spans="1:7" ht="12" customHeight="1" thickBot="1" x14ac:dyDescent="0.3">
      <c r="A50" s="549" t="s">
        <v>144</v>
      </c>
      <c r="B50" s="6" t="s">
        <v>179</v>
      </c>
      <c r="C50" s="42"/>
      <c r="D50" s="42"/>
      <c r="E50" s="42"/>
      <c r="F50" s="42"/>
      <c r="G50" s="42"/>
    </row>
    <row r="51" spans="1:7" ht="12" customHeight="1" thickBot="1" x14ac:dyDescent="0.3">
      <c r="A51" s="554" t="s">
        <v>17</v>
      </c>
      <c r="B51" s="63" t="s">
        <v>420</v>
      </c>
      <c r="C51" s="191">
        <f>SUM(C52:C54)</f>
        <v>0</v>
      </c>
      <c r="D51" s="191">
        <f>SUM(D52:D54)</f>
        <v>0</v>
      </c>
      <c r="E51" s="191">
        <f>SUM(E52:E54)</f>
        <v>0</v>
      </c>
      <c r="F51" s="191">
        <f>SUM(F52:F54)</f>
        <v>0</v>
      </c>
      <c r="G51" s="191">
        <f>SUM(G52:G54)</f>
        <v>0</v>
      </c>
    </row>
    <row r="52" spans="1:7" s="567" customFormat="1" ht="12" customHeight="1" x14ac:dyDescent="0.25">
      <c r="A52" s="549" t="s">
        <v>102</v>
      </c>
      <c r="B52" s="7" t="s">
        <v>222</v>
      </c>
      <c r="C52" s="39"/>
      <c r="D52" s="39"/>
      <c r="E52" s="39"/>
      <c r="F52" s="39"/>
      <c r="G52" s="39"/>
    </row>
    <row r="53" spans="1:7" ht="12" customHeight="1" x14ac:dyDescent="0.25">
      <c r="A53" s="549" t="s">
        <v>103</v>
      </c>
      <c r="B53" s="6" t="s">
        <v>181</v>
      </c>
      <c r="C53" s="42"/>
      <c r="D53" s="42"/>
      <c r="E53" s="42"/>
      <c r="F53" s="42"/>
      <c r="G53" s="42"/>
    </row>
    <row r="54" spans="1:7" ht="12" customHeight="1" x14ac:dyDescent="0.25">
      <c r="A54" s="549" t="s">
        <v>104</v>
      </c>
      <c r="B54" s="6" t="s">
        <v>56</v>
      </c>
      <c r="C54" s="42"/>
      <c r="D54" s="42"/>
      <c r="E54" s="42"/>
      <c r="F54" s="42"/>
      <c r="G54" s="42"/>
    </row>
    <row r="55" spans="1:7" ht="12" customHeight="1" thickBot="1" x14ac:dyDescent="0.3">
      <c r="A55" s="549" t="s">
        <v>105</v>
      </c>
      <c r="B55" s="6" t="s">
        <v>527</v>
      </c>
      <c r="C55" s="42"/>
      <c r="D55" s="42"/>
      <c r="E55" s="42"/>
      <c r="F55" s="42"/>
      <c r="G55" s="42"/>
    </row>
    <row r="56" spans="1:7" ht="15" customHeight="1" thickBot="1" x14ac:dyDescent="0.3">
      <c r="A56" s="554" t="s">
        <v>18</v>
      </c>
      <c r="B56" s="63" t="s">
        <v>12</v>
      </c>
      <c r="C56" s="555"/>
      <c r="D56" s="555"/>
      <c r="E56" s="555"/>
      <c r="F56" s="555"/>
      <c r="G56" s="555"/>
    </row>
    <row r="57" spans="1:7" ht="13.8" thickBot="1" x14ac:dyDescent="0.3">
      <c r="A57" s="554" t="s">
        <v>19</v>
      </c>
      <c r="B57" s="568" t="s">
        <v>532</v>
      </c>
      <c r="C57" s="569">
        <f>+C45+C51+C56</f>
        <v>0</v>
      </c>
      <c r="D57" s="569">
        <f>+D45+D51+D56</f>
        <v>0</v>
      </c>
      <c r="E57" s="569">
        <f>+E45+E51+E56</f>
        <v>0</v>
      </c>
      <c r="F57" s="569">
        <f>+F45+F51+F56</f>
        <v>0</v>
      </c>
      <c r="G57" s="569">
        <f>+G45+G51+G56</f>
        <v>0</v>
      </c>
    </row>
    <row r="58" spans="1:7" ht="15" customHeight="1" thickBot="1" x14ac:dyDescent="0.3">
      <c r="C58" s="571"/>
      <c r="D58" s="571"/>
      <c r="E58" s="571"/>
      <c r="F58" s="571"/>
      <c r="G58" s="571"/>
    </row>
    <row r="59" spans="1:7" ht="14.25" customHeight="1" thickBot="1" x14ac:dyDescent="0.3">
      <c r="A59" s="154" t="s">
        <v>522</v>
      </c>
      <c r="B59" s="155"/>
      <c r="C59" s="61"/>
      <c r="D59" s="61"/>
      <c r="E59" s="61"/>
      <c r="F59" s="61"/>
      <c r="G59" s="61"/>
    </row>
    <row r="60" spans="1:7" ht="13.8" thickBot="1" x14ac:dyDescent="0.3">
      <c r="A60" s="154" t="s">
        <v>199</v>
      </c>
      <c r="B60" s="155"/>
      <c r="C60" s="61"/>
      <c r="D60" s="61"/>
      <c r="E60" s="61"/>
      <c r="F60" s="61"/>
      <c r="G60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60"/>
  <sheetViews>
    <sheetView topLeftCell="C1" zoomScaleNormal="100" workbookViewId="0">
      <selection activeCell="L47" sqref="L47"/>
    </sheetView>
  </sheetViews>
  <sheetFormatPr defaultColWidth="9.33203125" defaultRowHeight="13.2" x14ac:dyDescent="0.25"/>
  <cols>
    <col min="1" max="1" width="13.77734375" style="570" customWidth="1"/>
    <col min="2" max="2" width="79.109375" style="542" customWidth="1"/>
    <col min="3" max="7" width="25" style="542" customWidth="1"/>
    <col min="8" max="16384" width="9.33203125" style="542"/>
  </cols>
  <sheetData>
    <row r="1" spans="1:7" s="536" customFormat="1" ht="21" customHeight="1" thickBot="1" x14ac:dyDescent="0.3">
      <c r="A1" s="142"/>
      <c r="B1" s="143"/>
      <c r="C1" s="535" t="str">
        <f>+CONCATENATE("9.3.3. melléklet a ……/",LEFT([2]ÖSSZEFÜGGÉSEK!E5,4),". (….) önkormányzati rendelethez")</f>
        <v>9.3.3. melléklet a ……/. (….) önkormányzati rendelethez</v>
      </c>
      <c r="D1" s="535"/>
      <c r="E1" s="535"/>
      <c r="F1" s="535"/>
      <c r="G1" s="535"/>
    </row>
    <row r="2" spans="1:7" s="538" customFormat="1" ht="33" customHeight="1" x14ac:dyDescent="0.25">
      <c r="A2" s="232" t="s">
        <v>197</v>
      </c>
      <c r="B2" s="200" t="s">
        <v>550</v>
      </c>
      <c r="C2" s="537" t="s">
        <v>58</v>
      </c>
      <c r="D2" s="537" t="s">
        <v>58</v>
      </c>
      <c r="E2" s="537" t="s">
        <v>58</v>
      </c>
      <c r="F2" s="537" t="s">
        <v>58</v>
      </c>
      <c r="G2" s="537" t="s">
        <v>58</v>
      </c>
    </row>
    <row r="3" spans="1:7" s="538" customFormat="1" ht="23.4" thickBot="1" x14ac:dyDescent="0.3">
      <c r="A3" s="539" t="s">
        <v>196</v>
      </c>
      <c r="B3" s="201" t="s">
        <v>533</v>
      </c>
      <c r="C3" s="540" t="s">
        <v>435</v>
      </c>
      <c r="D3" s="540" t="s">
        <v>435</v>
      </c>
      <c r="E3" s="540" t="s">
        <v>435</v>
      </c>
      <c r="F3" s="540" t="s">
        <v>435</v>
      </c>
      <c r="G3" s="540" t="s">
        <v>435</v>
      </c>
    </row>
    <row r="4" spans="1:7" s="541" customFormat="1" ht="15.9" customHeight="1" thickBot="1" x14ac:dyDescent="0.35">
      <c r="A4" s="145"/>
      <c r="B4" s="145"/>
      <c r="C4" s="146" t="s">
        <v>601</v>
      </c>
      <c r="D4" s="146" t="s">
        <v>601</v>
      </c>
      <c r="E4" s="146" t="s">
        <v>700</v>
      </c>
      <c r="F4" s="146" t="s">
        <v>700</v>
      </c>
      <c r="G4" s="146" t="s">
        <v>700</v>
      </c>
    </row>
    <row r="5" spans="1:7" ht="13.8" thickBot="1" x14ac:dyDescent="0.3">
      <c r="A5" s="233" t="s">
        <v>198</v>
      </c>
      <c r="B5" s="147" t="s">
        <v>53</v>
      </c>
      <c r="C5" s="30" t="s">
        <v>602</v>
      </c>
      <c r="D5" s="30" t="s">
        <v>681</v>
      </c>
      <c r="E5" s="30" t="s">
        <v>699</v>
      </c>
      <c r="F5" s="30" t="s">
        <v>710</v>
      </c>
      <c r="G5" s="30" t="s">
        <v>723</v>
      </c>
    </row>
    <row r="6" spans="1:7" s="543" customFormat="1" ht="12.9" customHeight="1" thickBot="1" x14ac:dyDescent="0.3">
      <c r="A6" s="116" t="s">
        <v>494</v>
      </c>
      <c r="B6" s="117" t="s">
        <v>495</v>
      </c>
      <c r="C6" s="118" t="s">
        <v>496</v>
      </c>
      <c r="D6" s="118" t="s">
        <v>496</v>
      </c>
      <c r="E6" s="118" t="s">
        <v>496</v>
      </c>
      <c r="F6" s="118" t="s">
        <v>496</v>
      </c>
      <c r="G6" s="118" t="s">
        <v>496</v>
      </c>
    </row>
    <row r="7" spans="1:7" s="543" customFormat="1" ht="15.9" customHeight="1" thickBot="1" x14ac:dyDescent="0.3">
      <c r="A7" s="148"/>
      <c r="B7" s="149" t="s">
        <v>54</v>
      </c>
      <c r="C7" s="544"/>
      <c r="D7" s="544"/>
      <c r="E7" s="544"/>
      <c r="F7" s="544"/>
      <c r="G7" s="544"/>
    </row>
    <row r="8" spans="1:7" s="546" customFormat="1" ht="12" customHeight="1" thickBot="1" x14ac:dyDescent="0.3">
      <c r="A8" s="116" t="s">
        <v>16</v>
      </c>
      <c r="B8" s="545" t="s">
        <v>523</v>
      </c>
      <c r="C8" s="191">
        <f>SUM(C9:C19)</f>
        <v>0</v>
      </c>
      <c r="D8" s="191">
        <f>SUM(D9:D19)</f>
        <v>0</v>
      </c>
      <c r="E8" s="191">
        <f>SUM(E9:E19)</f>
        <v>0</v>
      </c>
      <c r="F8" s="191">
        <f>SUM(F9:F19)</f>
        <v>0</v>
      </c>
      <c r="G8" s="191">
        <f>SUM(G9:G19)</f>
        <v>0</v>
      </c>
    </row>
    <row r="9" spans="1:7" s="546" customFormat="1" ht="12" customHeight="1" x14ac:dyDescent="0.25">
      <c r="A9" s="547" t="s">
        <v>96</v>
      </c>
      <c r="B9" s="8" t="s">
        <v>277</v>
      </c>
      <c r="C9" s="548"/>
      <c r="D9" s="548"/>
      <c r="E9" s="548"/>
      <c r="F9" s="548"/>
      <c r="G9" s="548"/>
    </row>
    <row r="10" spans="1:7" s="546" customFormat="1" ht="12" customHeight="1" x14ac:dyDescent="0.25">
      <c r="A10" s="549" t="s">
        <v>97</v>
      </c>
      <c r="B10" s="6" t="s">
        <v>278</v>
      </c>
      <c r="C10" s="550"/>
      <c r="D10" s="550"/>
      <c r="E10" s="550"/>
      <c r="F10" s="550"/>
      <c r="G10" s="550"/>
    </row>
    <row r="11" spans="1:7" s="546" customFormat="1" ht="12" customHeight="1" x14ac:dyDescent="0.25">
      <c r="A11" s="549" t="s">
        <v>98</v>
      </c>
      <c r="B11" s="6" t="s">
        <v>279</v>
      </c>
      <c r="C11" s="550"/>
      <c r="D11" s="550"/>
      <c r="E11" s="550"/>
      <c r="F11" s="550"/>
      <c r="G11" s="550"/>
    </row>
    <row r="12" spans="1:7" s="546" customFormat="1" ht="12" customHeight="1" x14ac:dyDescent="0.25">
      <c r="A12" s="549" t="s">
        <v>99</v>
      </c>
      <c r="B12" s="6" t="s">
        <v>280</v>
      </c>
      <c r="C12" s="550"/>
      <c r="D12" s="550"/>
      <c r="E12" s="550"/>
      <c r="F12" s="550"/>
      <c r="G12" s="550"/>
    </row>
    <row r="13" spans="1:7" s="546" customFormat="1" ht="12" customHeight="1" x14ac:dyDescent="0.25">
      <c r="A13" s="549" t="s">
        <v>144</v>
      </c>
      <c r="B13" s="6" t="s">
        <v>281</v>
      </c>
      <c r="C13" s="550"/>
      <c r="D13" s="550"/>
      <c r="E13" s="550"/>
      <c r="F13" s="550"/>
      <c r="G13" s="550"/>
    </row>
    <row r="14" spans="1:7" s="546" customFormat="1" ht="12" customHeight="1" x14ac:dyDescent="0.25">
      <c r="A14" s="549" t="s">
        <v>100</v>
      </c>
      <c r="B14" s="6" t="s">
        <v>403</v>
      </c>
      <c r="C14" s="550"/>
      <c r="D14" s="550"/>
      <c r="E14" s="550"/>
      <c r="F14" s="550"/>
      <c r="G14" s="550"/>
    </row>
    <row r="15" spans="1:7" s="546" customFormat="1" ht="12" customHeight="1" x14ac:dyDescent="0.25">
      <c r="A15" s="549" t="s">
        <v>101</v>
      </c>
      <c r="B15" s="5" t="s">
        <v>404</v>
      </c>
      <c r="C15" s="550"/>
      <c r="D15" s="550"/>
      <c r="E15" s="550"/>
      <c r="F15" s="550"/>
      <c r="G15" s="550"/>
    </row>
    <row r="16" spans="1:7" s="546" customFormat="1" ht="12" customHeight="1" x14ac:dyDescent="0.25">
      <c r="A16" s="549" t="s">
        <v>111</v>
      </c>
      <c r="B16" s="6" t="s">
        <v>284</v>
      </c>
      <c r="C16" s="551"/>
      <c r="D16" s="551"/>
      <c r="E16" s="551"/>
      <c r="F16" s="551"/>
      <c r="G16" s="551"/>
    </row>
    <row r="17" spans="1:7" s="552" customFormat="1" ht="12" customHeight="1" x14ac:dyDescent="0.25">
      <c r="A17" s="549" t="s">
        <v>112</v>
      </c>
      <c r="B17" s="6" t="s">
        <v>285</v>
      </c>
      <c r="C17" s="550"/>
      <c r="D17" s="550"/>
      <c r="E17" s="550"/>
      <c r="F17" s="550"/>
      <c r="G17" s="550"/>
    </row>
    <row r="18" spans="1:7" s="552" customFormat="1" ht="12" customHeight="1" x14ac:dyDescent="0.25">
      <c r="A18" s="549" t="s">
        <v>113</v>
      </c>
      <c r="B18" s="6" t="s">
        <v>440</v>
      </c>
      <c r="C18" s="553"/>
      <c r="D18" s="553"/>
      <c r="E18" s="553"/>
      <c r="F18" s="553"/>
      <c r="G18" s="553"/>
    </row>
    <row r="19" spans="1:7" s="552" customFormat="1" ht="12" customHeight="1" thickBot="1" x14ac:dyDescent="0.3">
      <c r="A19" s="549" t="s">
        <v>114</v>
      </c>
      <c r="B19" s="5" t="s">
        <v>286</v>
      </c>
      <c r="C19" s="553"/>
      <c r="D19" s="553"/>
      <c r="E19" s="553"/>
      <c r="F19" s="553"/>
      <c r="G19" s="553"/>
    </row>
    <row r="20" spans="1:7" s="546" customFormat="1" ht="12" customHeight="1" thickBot="1" x14ac:dyDescent="0.3">
      <c r="A20" s="116" t="s">
        <v>17</v>
      </c>
      <c r="B20" s="545" t="s">
        <v>405</v>
      </c>
      <c r="C20" s="191">
        <f>SUM(C21:C23)</f>
        <v>0</v>
      </c>
      <c r="D20" s="191">
        <f>SUM(D21:D23)</f>
        <v>0</v>
      </c>
      <c r="E20" s="191">
        <f>SUM(E21:E23)</f>
        <v>0</v>
      </c>
      <c r="F20" s="191">
        <f>SUM(F21:F23)</f>
        <v>0</v>
      </c>
      <c r="G20" s="191">
        <f>SUM(G21:G23)</f>
        <v>0</v>
      </c>
    </row>
    <row r="21" spans="1:7" s="552" customFormat="1" ht="12" customHeight="1" x14ac:dyDescent="0.25">
      <c r="A21" s="549" t="s">
        <v>102</v>
      </c>
      <c r="B21" s="7" t="s">
        <v>254</v>
      </c>
      <c r="C21" s="550"/>
      <c r="D21" s="550"/>
      <c r="E21" s="550"/>
      <c r="F21" s="550"/>
      <c r="G21" s="550"/>
    </row>
    <row r="22" spans="1:7" s="552" customFormat="1" ht="12" customHeight="1" x14ac:dyDescent="0.25">
      <c r="A22" s="549" t="s">
        <v>103</v>
      </c>
      <c r="B22" s="6" t="s">
        <v>406</v>
      </c>
      <c r="C22" s="550"/>
      <c r="D22" s="550"/>
      <c r="E22" s="550"/>
      <c r="F22" s="550"/>
      <c r="G22" s="550"/>
    </row>
    <row r="23" spans="1:7" s="552" customFormat="1" ht="12" customHeight="1" x14ac:dyDescent="0.25">
      <c r="A23" s="549" t="s">
        <v>104</v>
      </c>
      <c r="B23" s="6" t="s">
        <v>407</v>
      </c>
      <c r="C23" s="550"/>
      <c r="D23" s="550"/>
      <c r="E23" s="550"/>
      <c r="F23" s="550"/>
      <c r="G23" s="550"/>
    </row>
    <row r="24" spans="1:7" s="552" customFormat="1" ht="12" customHeight="1" thickBot="1" x14ac:dyDescent="0.3">
      <c r="A24" s="549" t="s">
        <v>105</v>
      </c>
      <c r="B24" s="6" t="s">
        <v>528</v>
      </c>
      <c r="C24" s="550"/>
      <c r="D24" s="550"/>
      <c r="E24" s="550"/>
      <c r="F24" s="550"/>
      <c r="G24" s="550"/>
    </row>
    <row r="25" spans="1:7" s="552" customFormat="1" ht="12" customHeight="1" thickBot="1" x14ac:dyDescent="0.3">
      <c r="A25" s="554" t="s">
        <v>18</v>
      </c>
      <c r="B25" s="63" t="s">
        <v>168</v>
      </c>
      <c r="C25" s="555"/>
      <c r="D25" s="555"/>
      <c r="E25" s="555"/>
      <c r="F25" s="555"/>
      <c r="G25" s="555"/>
    </row>
    <row r="26" spans="1:7" s="552" customFormat="1" ht="12" customHeight="1" thickBot="1" x14ac:dyDescent="0.3">
      <c r="A26" s="554" t="s">
        <v>19</v>
      </c>
      <c r="B26" s="63" t="s">
        <v>408</v>
      </c>
      <c r="C26" s="191">
        <f>+C27+C28</f>
        <v>0</v>
      </c>
      <c r="D26" s="191">
        <f>+D27+D28</f>
        <v>0</v>
      </c>
      <c r="E26" s="191">
        <f>+E27+E28</f>
        <v>0</v>
      </c>
      <c r="F26" s="191">
        <f>+F27+F28</f>
        <v>0</v>
      </c>
      <c r="G26" s="191">
        <f>+G27+G28</f>
        <v>0</v>
      </c>
    </row>
    <row r="27" spans="1:7" s="552" customFormat="1" ht="12" customHeight="1" x14ac:dyDescent="0.25">
      <c r="A27" s="556" t="s">
        <v>264</v>
      </c>
      <c r="B27" s="557" t="s">
        <v>406</v>
      </c>
      <c r="C27" s="39"/>
      <c r="D27" s="39"/>
      <c r="E27" s="39"/>
      <c r="F27" s="39"/>
      <c r="G27" s="39"/>
    </row>
    <row r="28" spans="1:7" s="552" customFormat="1" ht="12" customHeight="1" x14ac:dyDescent="0.25">
      <c r="A28" s="556" t="s">
        <v>267</v>
      </c>
      <c r="B28" s="558" t="s">
        <v>409</v>
      </c>
      <c r="C28" s="192"/>
      <c r="D28" s="192"/>
      <c r="E28" s="192"/>
      <c r="F28" s="192"/>
      <c r="G28" s="192"/>
    </row>
    <row r="29" spans="1:7" s="552" customFormat="1" ht="12" customHeight="1" thickBot="1" x14ac:dyDescent="0.3">
      <c r="A29" s="549" t="s">
        <v>268</v>
      </c>
      <c r="B29" s="559" t="s">
        <v>529</v>
      </c>
      <c r="C29" s="46"/>
      <c r="D29" s="46"/>
      <c r="E29" s="46"/>
      <c r="F29" s="46"/>
      <c r="G29" s="46"/>
    </row>
    <row r="30" spans="1:7" s="552" customFormat="1" ht="12" customHeight="1" thickBot="1" x14ac:dyDescent="0.3">
      <c r="A30" s="554" t="s">
        <v>20</v>
      </c>
      <c r="B30" s="63" t="s">
        <v>410</v>
      </c>
      <c r="C30" s="191">
        <f>+C31+C32+C33</f>
        <v>0</v>
      </c>
      <c r="D30" s="191">
        <f>+D31+D32+D33</f>
        <v>0</v>
      </c>
      <c r="E30" s="191">
        <f>+E31+E32+E33</f>
        <v>0</v>
      </c>
      <c r="F30" s="191">
        <f>+F31+F32+F33</f>
        <v>0</v>
      </c>
      <c r="G30" s="191">
        <f>+G31+G32+G33</f>
        <v>0</v>
      </c>
    </row>
    <row r="31" spans="1:7" s="552" customFormat="1" ht="12" customHeight="1" x14ac:dyDescent="0.25">
      <c r="A31" s="556" t="s">
        <v>89</v>
      </c>
      <c r="B31" s="557" t="s">
        <v>291</v>
      </c>
      <c r="C31" s="39"/>
      <c r="D31" s="39"/>
      <c r="E31" s="39"/>
      <c r="F31" s="39"/>
      <c r="G31" s="39"/>
    </row>
    <row r="32" spans="1:7" s="552" customFormat="1" ht="12" customHeight="1" x14ac:dyDescent="0.25">
      <c r="A32" s="556" t="s">
        <v>90</v>
      </c>
      <c r="B32" s="558" t="s">
        <v>292</v>
      </c>
      <c r="C32" s="192"/>
      <c r="D32" s="192"/>
      <c r="E32" s="192"/>
      <c r="F32" s="192"/>
      <c r="G32" s="192"/>
    </row>
    <row r="33" spans="1:7" s="552" customFormat="1" ht="12" customHeight="1" thickBot="1" x14ac:dyDescent="0.3">
      <c r="A33" s="549" t="s">
        <v>91</v>
      </c>
      <c r="B33" s="559" t="s">
        <v>293</v>
      </c>
      <c r="C33" s="46"/>
      <c r="D33" s="46"/>
      <c r="E33" s="46"/>
      <c r="F33" s="46"/>
      <c r="G33" s="46"/>
    </row>
    <row r="34" spans="1:7" s="546" customFormat="1" ht="12" customHeight="1" thickBot="1" x14ac:dyDescent="0.3">
      <c r="A34" s="554" t="s">
        <v>21</v>
      </c>
      <c r="B34" s="63" t="s">
        <v>379</v>
      </c>
      <c r="C34" s="555"/>
      <c r="D34" s="555"/>
      <c r="E34" s="555"/>
      <c r="F34" s="555"/>
      <c r="G34" s="555"/>
    </row>
    <row r="35" spans="1:7" s="546" customFormat="1" ht="12" customHeight="1" thickBot="1" x14ac:dyDescent="0.3">
      <c r="A35" s="554" t="s">
        <v>22</v>
      </c>
      <c r="B35" s="63" t="s">
        <v>411</v>
      </c>
      <c r="C35" s="560"/>
      <c r="D35" s="560"/>
      <c r="E35" s="560"/>
      <c r="F35" s="560"/>
      <c r="G35" s="560"/>
    </row>
    <row r="36" spans="1:7" s="546" customFormat="1" ht="12" customHeight="1" thickBot="1" x14ac:dyDescent="0.3">
      <c r="A36" s="116" t="s">
        <v>23</v>
      </c>
      <c r="B36" s="63" t="s">
        <v>530</v>
      </c>
      <c r="C36" s="561">
        <f>+C8+C20+C25+C26+C30+C34+C35</f>
        <v>0</v>
      </c>
      <c r="D36" s="561">
        <f>+D8+D20+D25+D26+D30+D34+D35</f>
        <v>0</v>
      </c>
      <c r="E36" s="561">
        <f>+E8+E20+E25+E26+E30+E34+E35</f>
        <v>0</v>
      </c>
      <c r="F36" s="561">
        <f>+F8+F20+F25+F26+F30+F34+F35</f>
        <v>0</v>
      </c>
      <c r="G36" s="561">
        <f>+G8+G20+G25+G26+G30+G34+G35</f>
        <v>0</v>
      </c>
    </row>
    <row r="37" spans="1:7" s="546" customFormat="1" ht="12" customHeight="1" thickBot="1" x14ac:dyDescent="0.3">
      <c r="A37" s="562" t="s">
        <v>24</v>
      </c>
      <c r="B37" s="63" t="s">
        <v>413</v>
      </c>
      <c r="C37" s="561">
        <f>+C38+C39+C40</f>
        <v>0</v>
      </c>
      <c r="D37" s="561">
        <f>+D38+D39+D40</f>
        <v>0</v>
      </c>
      <c r="E37" s="561">
        <f>+E38+E39+E40</f>
        <v>0</v>
      </c>
      <c r="F37" s="561">
        <f>+F38+F39+F40</f>
        <v>0</v>
      </c>
      <c r="G37" s="561">
        <f>+G38+G39+G40</f>
        <v>0</v>
      </c>
    </row>
    <row r="38" spans="1:7" s="546" customFormat="1" ht="12" customHeight="1" x14ac:dyDescent="0.25">
      <c r="A38" s="556" t="s">
        <v>414</v>
      </c>
      <c r="B38" s="557" t="s">
        <v>232</v>
      </c>
      <c r="C38" s="39"/>
      <c r="D38" s="39"/>
      <c r="E38" s="39"/>
      <c r="F38" s="39"/>
      <c r="G38" s="39"/>
    </row>
    <row r="39" spans="1:7" s="546" customFormat="1" ht="12" customHeight="1" x14ac:dyDescent="0.25">
      <c r="A39" s="556" t="s">
        <v>415</v>
      </c>
      <c r="B39" s="558" t="s">
        <v>2</v>
      </c>
      <c r="C39" s="192"/>
      <c r="D39" s="192"/>
      <c r="E39" s="192"/>
      <c r="F39" s="192"/>
      <c r="G39" s="192"/>
    </row>
    <row r="40" spans="1:7" s="552" customFormat="1" ht="12" customHeight="1" thickBot="1" x14ac:dyDescent="0.3">
      <c r="A40" s="549" t="s">
        <v>416</v>
      </c>
      <c r="B40" s="559" t="s">
        <v>417</v>
      </c>
      <c r="C40" s="46"/>
      <c r="D40" s="46"/>
      <c r="E40" s="46"/>
      <c r="F40" s="46"/>
      <c r="G40" s="46"/>
    </row>
    <row r="41" spans="1:7" s="552" customFormat="1" ht="15" customHeight="1" thickBot="1" x14ac:dyDescent="0.25">
      <c r="A41" s="562" t="s">
        <v>25</v>
      </c>
      <c r="B41" s="563" t="s">
        <v>418</v>
      </c>
      <c r="C41" s="206">
        <f>+C36+C37</f>
        <v>0</v>
      </c>
      <c r="D41" s="206">
        <f>+D36+D37</f>
        <v>0</v>
      </c>
      <c r="E41" s="206">
        <f>+E36+E37</f>
        <v>0</v>
      </c>
      <c r="F41" s="206">
        <f>+F36+F37</f>
        <v>0</v>
      </c>
      <c r="G41" s="206">
        <f>+G36+G37</f>
        <v>0</v>
      </c>
    </row>
    <row r="42" spans="1:7" s="552" customFormat="1" ht="15" customHeight="1" x14ac:dyDescent="0.25">
      <c r="A42" s="150"/>
      <c r="B42" s="151"/>
      <c r="C42" s="205"/>
      <c r="D42" s="205"/>
      <c r="E42" s="205"/>
      <c r="F42" s="205"/>
      <c r="G42" s="205"/>
    </row>
    <row r="43" spans="1:7" ht="13.8" thickBot="1" x14ac:dyDescent="0.3">
      <c r="A43" s="564"/>
      <c r="B43" s="565"/>
      <c r="C43" s="566"/>
      <c r="D43" s="566"/>
      <c r="E43" s="566"/>
      <c r="F43" s="566"/>
      <c r="G43" s="566"/>
    </row>
    <row r="44" spans="1:7" s="543" customFormat="1" ht="16.5" customHeight="1" thickBot="1" x14ac:dyDescent="0.3">
      <c r="A44" s="152"/>
      <c r="B44" s="153" t="s">
        <v>55</v>
      </c>
      <c r="C44" s="206"/>
      <c r="D44" s="206"/>
      <c r="E44" s="206"/>
      <c r="F44" s="206"/>
      <c r="G44" s="206"/>
    </row>
    <row r="45" spans="1:7" s="567" customFormat="1" ht="12" customHeight="1" thickBot="1" x14ac:dyDescent="0.3">
      <c r="A45" s="554" t="s">
        <v>16</v>
      </c>
      <c r="B45" s="63" t="s">
        <v>419</v>
      </c>
      <c r="C45" s="191">
        <f>SUM(C46:C50)</f>
        <v>0</v>
      </c>
      <c r="D45" s="191">
        <f>SUM(D46:D50)</f>
        <v>0</v>
      </c>
      <c r="E45" s="191">
        <f>SUM(E46:E50)</f>
        <v>0</v>
      </c>
      <c r="F45" s="191">
        <f>SUM(F46:F50)</f>
        <v>0</v>
      </c>
      <c r="G45" s="191">
        <f>SUM(G46:G50)</f>
        <v>0</v>
      </c>
    </row>
    <row r="46" spans="1:7" ht="12" customHeight="1" x14ac:dyDescent="0.25">
      <c r="A46" s="549" t="s">
        <v>96</v>
      </c>
      <c r="B46" s="7" t="s">
        <v>46</v>
      </c>
      <c r="C46" s="39"/>
      <c r="D46" s="39"/>
      <c r="E46" s="39"/>
      <c r="F46" s="39"/>
      <c r="G46" s="39"/>
    </row>
    <row r="47" spans="1:7" ht="12" customHeight="1" x14ac:dyDescent="0.25">
      <c r="A47" s="549" t="s">
        <v>97</v>
      </c>
      <c r="B47" s="6" t="s">
        <v>177</v>
      </c>
      <c r="C47" s="42"/>
      <c r="D47" s="42"/>
      <c r="E47" s="42"/>
      <c r="F47" s="42"/>
      <c r="G47" s="42"/>
    </row>
    <row r="48" spans="1:7" ht="12" customHeight="1" x14ac:dyDescent="0.25">
      <c r="A48" s="549" t="s">
        <v>98</v>
      </c>
      <c r="B48" s="6" t="s">
        <v>135</v>
      </c>
      <c r="C48" s="42"/>
      <c r="D48" s="42"/>
      <c r="E48" s="42"/>
      <c r="F48" s="42"/>
      <c r="G48" s="42"/>
    </row>
    <row r="49" spans="1:7" ht="12" customHeight="1" x14ac:dyDescent="0.25">
      <c r="A49" s="549" t="s">
        <v>99</v>
      </c>
      <c r="B49" s="6" t="s">
        <v>178</v>
      </c>
      <c r="C49" s="42"/>
      <c r="D49" s="42"/>
      <c r="E49" s="42"/>
      <c r="F49" s="42"/>
      <c r="G49" s="42"/>
    </row>
    <row r="50" spans="1:7" ht="12" customHeight="1" thickBot="1" x14ac:dyDescent="0.3">
      <c r="A50" s="549" t="s">
        <v>144</v>
      </c>
      <c r="B50" s="6" t="s">
        <v>179</v>
      </c>
      <c r="C50" s="42"/>
      <c r="D50" s="42"/>
      <c r="E50" s="42"/>
      <c r="F50" s="42"/>
      <c r="G50" s="42"/>
    </row>
    <row r="51" spans="1:7" ht="12" customHeight="1" thickBot="1" x14ac:dyDescent="0.3">
      <c r="A51" s="554" t="s">
        <v>17</v>
      </c>
      <c r="B51" s="63" t="s">
        <v>420</v>
      </c>
      <c r="C51" s="191">
        <f>SUM(C52:C54)</f>
        <v>0</v>
      </c>
      <c r="D51" s="191">
        <f>SUM(D52:D54)</f>
        <v>0</v>
      </c>
      <c r="E51" s="191">
        <f>SUM(E52:E54)</f>
        <v>0</v>
      </c>
      <c r="F51" s="191">
        <f>SUM(F52:F54)</f>
        <v>0</v>
      </c>
      <c r="G51" s="191">
        <f>SUM(G52:G54)</f>
        <v>0</v>
      </c>
    </row>
    <row r="52" spans="1:7" s="567" customFormat="1" ht="12" customHeight="1" x14ac:dyDescent="0.25">
      <c r="A52" s="549" t="s">
        <v>102</v>
      </c>
      <c r="B52" s="7" t="s">
        <v>222</v>
      </c>
      <c r="C52" s="39"/>
      <c r="D52" s="39"/>
      <c r="E52" s="39"/>
      <c r="F52" s="39"/>
      <c r="G52" s="39"/>
    </row>
    <row r="53" spans="1:7" ht="12" customHeight="1" x14ac:dyDescent="0.25">
      <c r="A53" s="549" t="s">
        <v>103</v>
      </c>
      <c r="B53" s="6" t="s">
        <v>181</v>
      </c>
      <c r="C53" s="42"/>
      <c r="D53" s="42"/>
      <c r="E53" s="42"/>
      <c r="F53" s="42"/>
      <c r="G53" s="42"/>
    </row>
    <row r="54" spans="1:7" ht="12" customHeight="1" x14ac:dyDescent="0.25">
      <c r="A54" s="549" t="s">
        <v>104</v>
      </c>
      <c r="B54" s="6" t="s">
        <v>56</v>
      </c>
      <c r="C54" s="42"/>
      <c r="D54" s="42"/>
      <c r="E54" s="42"/>
      <c r="F54" s="42"/>
      <c r="G54" s="42"/>
    </row>
    <row r="55" spans="1:7" ht="12" customHeight="1" thickBot="1" x14ac:dyDescent="0.3">
      <c r="A55" s="549" t="s">
        <v>105</v>
      </c>
      <c r="B55" s="6" t="s">
        <v>527</v>
      </c>
      <c r="C55" s="42"/>
      <c r="D55" s="42"/>
      <c r="E55" s="42"/>
      <c r="F55" s="42"/>
      <c r="G55" s="42"/>
    </row>
    <row r="56" spans="1:7" ht="15" customHeight="1" thickBot="1" x14ac:dyDescent="0.3">
      <c r="A56" s="554" t="s">
        <v>18</v>
      </c>
      <c r="B56" s="63" t="s">
        <v>12</v>
      </c>
      <c r="C56" s="555"/>
      <c r="D56" s="555"/>
      <c r="E56" s="555"/>
      <c r="F56" s="555"/>
      <c r="G56" s="555"/>
    </row>
    <row r="57" spans="1:7" ht="13.8" thickBot="1" x14ac:dyDescent="0.3">
      <c r="A57" s="554" t="s">
        <v>19</v>
      </c>
      <c r="B57" s="568" t="s">
        <v>532</v>
      </c>
      <c r="C57" s="569">
        <f>+C45+C51+C56</f>
        <v>0</v>
      </c>
      <c r="D57" s="569">
        <f>+D45+D51+D56</f>
        <v>0</v>
      </c>
      <c r="E57" s="569">
        <f>+E45+E51+E56</f>
        <v>0</v>
      </c>
      <c r="F57" s="569">
        <f>+F45+F51+F56</f>
        <v>0</v>
      </c>
      <c r="G57" s="569">
        <f>+G45+G51+G56</f>
        <v>0</v>
      </c>
    </row>
    <row r="58" spans="1:7" ht="15" customHeight="1" thickBot="1" x14ac:dyDescent="0.3">
      <c r="C58" s="571"/>
      <c r="D58" s="571"/>
      <c r="E58" s="571"/>
      <c r="F58" s="571"/>
      <c r="G58" s="571"/>
    </row>
    <row r="59" spans="1:7" ht="14.25" customHeight="1" thickBot="1" x14ac:dyDescent="0.3">
      <c r="A59" s="154" t="s">
        <v>522</v>
      </c>
      <c r="B59" s="155"/>
      <c r="C59" s="61"/>
      <c r="D59" s="61"/>
      <c r="E59" s="61"/>
      <c r="F59" s="61"/>
      <c r="G59" s="61"/>
    </row>
    <row r="60" spans="1:7" ht="13.8" thickBot="1" x14ac:dyDescent="0.3">
      <c r="A60" s="154" t="s">
        <v>199</v>
      </c>
      <c r="B60" s="155"/>
      <c r="C60" s="61"/>
      <c r="D60" s="61"/>
      <c r="E60" s="61"/>
      <c r="F60" s="61"/>
      <c r="G60" s="6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G26"/>
  <sheetViews>
    <sheetView zoomScaleNormal="100" workbookViewId="0">
      <selection activeCell="I5" sqref="I5"/>
    </sheetView>
  </sheetViews>
  <sheetFormatPr defaultColWidth="9.33203125" defaultRowHeight="13.2" x14ac:dyDescent="0.25"/>
  <cols>
    <col min="1" max="1" width="5.44140625" style="33" customWidth="1"/>
    <col min="2" max="2" width="33.109375" style="33" customWidth="1"/>
    <col min="3" max="3" width="12.33203125" style="33" customWidth="1"/>
    <col min="4" max="4" width="11.44140625" style="33" customWidth="1"/>
    <col min="5" max="5" width="11.33203125" style="33" customWidth="1"/>
    <col min="6" max="6" width="11" style="33" customWidth="1"/>
    <col min="7" max="7" width="14.33203125" style="33" customWidth="1"/>
    <col min="8" max="16384" width="9.33203125" style="33"/>
  </cols>
  <sheetData>
    <row r="1" spans="1:7" ht="43.5" customHeight="1" x14ac:dyDescent="0.3">
      <c r="A1" s="720" t="s">
        <v>3</v>
      </c>
      <c r="B1" s="720"/>
      <c r="C1" s="720"/>
      <c r="D1" s="720"/>
      <c r="E1" s="720"/>
      <c r="F1" s="720"/>
      <c r="G1" s="720"/>
    </row>
    <row r="3" spans="1:7" s="89" customFormat="1" ht="27" customHeight="1" x14ac:dyDescent="0.35">
      <c r="A3" s="87" t="s">
        <v>203</v>
      </c>
      <c r="B3" s="88"/>
      <c r="C3" s="719" t="s">
        <v>548</v>
      </c>
      <c r="D3" s="719"/>
      <c r="E3" s="719"/>
      <c r="F3" s="719"/>
      <c r="G3" s="719"/>
    </row>
    <row r="4" spans="1:7" s="89" customFormat="1" ht="15.6" x14ac:dyDescent="0.3">
      <c r="A4" s="88"/>
      <c r="B4" s="88"/>
      <c r="C4" s="88"/>
      <c r="D4" s="88"/>
      <c r="E4" s="88"/>
      <c r="F4" s="88"/>
      <c r="G4" s="88"/>
    </row>
    <row r="5" spans="1:7" s="89" customFormat="1" ht="24.75" customHeight="1" x14ac:dyDescent="0.35">
      <c r="A5" s="87" t="s">
        <v>204</v>
      </c>
      <c r="B5" s="88"/>
      <c r="C5" s="719" t="s">
        <v>682</v>
      </c>
      <c r="D5" s="719"/>
      <c r="E5" s="719"/>
      <c r="F5" s="719"/>
      <c r="G5" s="88"/>
    </row>
    <row r="6" spans="1:7" s="90" customFormat="1" x14ac:dyDescent="0.25">
      <c r="A6" s="127"/>
      <c r="B6" s="127"/>
      <c r="C6" s="127"/>
      <c r="D6" s="127"/>
      <c r="E6" s="127"/>
      <c r="F6" s="127"/>
      <c r="G6" s="127"/>
    </row>
    <row r="7" spans="1:7" s="91" customFormat="1" ht="15" customHeight="1" x14ac:dyDescent="0.25">
      <c r="A7" s="171" t="s">
        <v>679</v>
      </c>
      <c r="B7" s="170"/>
      <c r="C7" s="170"/>
      <c r="D7" s="156"/>
      <c r="E7" s="156"/>
      <c r="F7" s="156"/>
      <c r="G7" s="156"/>
    </row>
    <row r="8" spans="1:7" s="91" customFormat="1" ht="15" customHeight="1" thickBot="1" x14ac:dyDescent="0.3">
      <c r="A8" s="171" t="s">
        <v>205</v>
      </c>
      <c r="B8" s="156"/>
      <c r="C8" s="156"/>
      <c r="D8" s="156"/>
      <c r="E8" s="156"/>
      <c r="F8" s="156"/>
      <c r="G8" s="156"/>
    </row>
    <row r="9" spans="1:7" s="38" customFormat="1" ht="42" customHeight="1" thickBot="1" x14ac:dyDescent="0.3">
      <c r="A9" s="113" t="s">
        <v>14</v>
      </c>
      <c r="B9" s="114" t="s">
        <v>206</v>
      </c>
      <c r="C9" s="114" t="s">
        <v>207</v>
      </c>
      <c r="D9" s="114" t="s">
        <v>208</v>
      </c>
      <c r="E9" s="114" t="s">
        <v>209</v>
      </c>
      <c r="F9" s="114" t="s">
        <v>210</v>
      </c>
      <c r="G9" s="115" t="s">
        <v>50</v>
      </c>
    </row>
    <row r="10" spans="1:7" ht="24" customHeight="1" x14ac:dyDescent="0.25">
      <c r="A10" s="157" t="s">
        <v>16</v>
      </c>
      <c r="B10" s="122" t="s">
        <v>211</v>
      </c>
      <c r="C10" s="92"/>
      <c r="D10" s="92"/>
      <c r="E10" s="92"/>
      <c r="F10" s="92"/>
      <c r="G10" s="158">
        <f>SUM(C10:F10)</f>
        <v>0</v>
      </c>
    </row>
    <row r="11" spans="1:7" ht="24" customHeight="1" x14ac:dyDescent="0.25">
      <c r="A11" s="159" t="s">
        <v>17</v>
      </c>
      <c r="B11" s="123" t="s">
        <v>212</v>
      </c>
      <c r="C11" s="93"/>
      <c r="D11" s="93"/>
      <c r="E11" s="93"/>
      <c r="F11" s="93"/>
      <c r="G11" s="160">
        <f t="shared" ref="G11:G16" si="0">SUM(C11:F11)</f>
        <v>0</v>
      </c>
    </row>
    <row r="12" spans="1:7" ht="24" customHeight="1" x14ac:dyDescent="0.25">
      <c r="A12" s="159" t="s">
        <v>18</v>
      </c>
      <c r="B12" s="123" t="s">
        <v>213</v>
      </c>
      <c r="C12" s="93"/>
      <c r="D12" s="93"/>
      <c r="E12" s="93"/>
      <c r="F12" s="93"/>
      <c r="G12" s="160">
        <f t="shared" si="0"/>
        <v>0</v>
      </c>
    </row>
    <row r="13" spans="1:7" ht="24" customHeight="1" x14ac:dyDescent="0.25">
      <c r="A13" s="159" t="s">
        <v>19</v>
      </c>
      <c r="B13" s="123" t="s">
        <v>214</v>
      </c>
      <c r="C13" s="93"/>
      <c r="D13" s="93"/>
      <c r="E13" s="93"/>
      <c r="F13" s="93"/>
      <c r="G13" s="160">
        <f t="shared" si="0"/>
        <v>0</v>
      </c>
    </row>
    <row r="14" spans="1:7" ht="24" customHeight="1" x14ac:dyDescent="0.25">
      <c r="A14" s="159" t="s">
        <v>20</v>
      </c>
      <c r="B14" s="123" t="s">
        <v>215</v>
      </c>
      <c r="C14" s="93"/>
      <c r="D14" s="93"/>
      <c r="E14" s="93"/>
      <c r="F14" s="93"/>
      <c r="G14" s="160">
        <f t="shared" si="0"/>
        <v>0</v>
      </c>
    </row>
    <row r="15" spans="1:7" ht="24" customHeight="1" thickBot="1" x14ac:dyDescent="0.3">
      <c r="A15" s="161" t="s">
        <v>21</v>
      </c>
      <c r="B15" s="162" t="s">
        <v>216</v>
      </c>
      <c r="C15" s="94"/>
      <c r="D15" s="94"/>
      <c r="E15" s="94"/>
      <c r="F15" s="94"/>
      <c r="G15" s="163">
        <f t="shared" si="0"/>
        <v>0</v>
      </c>
    </row>
    <row r="16" spans="1:7" s="95" customFormat="1" ht="24" customHeight="1" thickBot="1" x14ac:dyDescent="0.3">
      <c r="A16" s="164" t="s">
        <v>22</v>
      </c>
      <c r="B16" s="165" t="s">
        <v>50</v>
      </c>
      <c r="C16" s="166">
        <f>SUM(C10:C15)</f>
        <v>0</v>
      </c>
      <c r="D16" s="166">
        <f>SUM(D10:D15)</f>
        <v>0</v>
      </c>
      <c r="E16" s="166">
        <f>SUM(E10:E15)</f>
        <v>0</v>
      </c>
      <c r="F16" s="166">
        <f>SUM(F10:F15)</f>
        <v>0</v>
      </c>
      <c r="G16" s="167">
        <f t="shared" si="0"/>
        <v>0</v>
      </c>
    </row>
    <row r="17" spans="1:7" s="90" customFormat="1" x14ac:dyDescent="0.25">
      <c r="A17" s="127"/>
      <c r="B17" s="127"/>
      <c r="C17" s="127"/>
      <c r="D17" s="127"/>
      <c r="E17" s="127"/>
      <c r="F17" s="127"/>
      <c r="G17" s="127"/>
    </row>
    <row r="18" spans="1:7" s="90" customFormat="1" x14ac:dyDescent="0.25">
      <c r="A18" s="127"/>
      <c r="B18" s="127"/>
      <c r="C18" s="127"/>
      <c r="D18" s="127"/>
      <c r="E18" s="127"/>
      <c r="F18" s="127"/>
      <c r="G18" s="127"/>
    </row>
    <row r="19" spans="1:7" s="90" customFormat="1" x14ac:dyDescent="0.25">
      <c r="A19" s="127"/>
      <c r="B19" s="127"/>
      <c r="C19" s="127"/>
      <c r="D19" s="127"/>
      <c r="E19" s="127"/>
      <c r="F19" s="127"/>
      <c r="G19" s="127"/>
    </row>
    <row r="20" spans="1:7" s="90" customFormat="1" ht="15.6" x14ac:dyDescent="0.3">
      <c r="A20" s="89" t="s">
        <v>629</v>
      </c>
      <c r="B20" s="127"/>
      <c r="C20" s="127"/>
      <c r="D20" s="127"/>
      <c r="E20" s="127"/>
      <c r="F20" s="127"/>
      <c r="G20" s="127"/>
    </row>
    <row r="21" spans="1:7" s="90" customFormat="1" x14ac:dyDescent="0.25">
      <c r="A21" s="127"/>
      <c r="B21" s="127"/>
      <c r="C21" s="127"/>
      <c r="D21" s="127"/>
      <c r="E21" s="127"/>
      <c r="F21" s="127"/>
      <c r="G21" s="127"/>
    </row>
    <row r="22" spans="1:7" x14ac:dyDescent="0.25">
      <c r="A22" s="127"/>
      <c r="B22" s="127"/>
      <c r="C22" s="127"/>
      <c r="D22" s="127"/>
      <c r="E22" s="127"/>
      <c r="F22" s="127"/>
      <c r="G22" s="127"/>
    </row>
    <row r="23" spans="1:7" x14ac:dyDescent="0.25">
      <c r="A23" s="127"/>
      <c r="B23" s="127"/>
      <c r="C23" s="90"/>
      <c r="D23" s="90"/>
      <c r="E23" s="90"/>
      <c r="F23" s="90"/>
      <c r="G23" s="127"/>
    </row>
    <row r="24" spans="1:7" ht="13.8" x14ac:dyDescent="0.3">
      <c r="A24" s="127"/>
      <c r="B24" s="127"/>
      <c r="C24" s="168"/>
      <c r="D24" s="169" t="s">
        <v>217</v>
      </c>
      <c r="E24" s="169"/>
      <c r="F24" s="168"/>
      <c r="G24" s="127"/>
    </row>
    <row r="25" spans="1:7" ht="13.8" x14ac:dyDescent="0.3">
      <c r="C25" s="96"/>
      <c r="D25" s="97"/>
      <c r="E25" s="97"/>
      <c r="F25" s="96"/>
    </row>
    <row r="26" spans="1:7" ht="13.8" x14ac:dyDescent="0.3">
      <c r="C26" s="96"/>
      <c r="D26" s="97"/>
      <c r="E26" s="97"/>
      <c r="F26" s="96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……/2016.() önkormányzati rendelethez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I169"/>
  <sheetViews>
    <sheetView topLeftCell="A69" zoomScaleNormal="100" zoomScaleSheetLayoutView="100" workbookViewId="0">
      <selection activeCell="B89" sqref="B89"/>
    </sheetView>
  </sheetViews>
  <sheetFormatPr defaultColWidth="9.33203125" defaultRowHeight="15.6" x14ac:dyDescent="0.3"/>
  <cols>
    <col min="1" max="1" width="7.109375" style="216" bestFit="1" customWidth="1"/>
    <col min="2" max="2" width="67.109375" style="216" bestFit="1" customWidth="1"/>
    <col min="3" max="3" width="13" style="217" bestFit="1" customWidth="1"/>
    <col min="4" max="4" width="9.6640625" style="216" bestFit="1" customWidth="1"/>
    <col min="5" max="9" width="15.33203125" style="216" bestFit="1" customWidth="1"/>
    <col min="10" max="16384" width="9.33203125" style="216"/>
  </cols>
  <sheetData>
    <row r="1" spans="1:9" ht="15.9" customHeight="1" x14ac:dyDescent="0.3">
      <c r="A1" s="672" t="s">
        <v>13</v>
      </c>
      <c r="B1" s="672"/>
      <c r="C1" s="672"/>
      <c r="D1" s="672"/>
      <c r="E1" s="672"/>
    </row>
    <row r="2" spans="1:9" ht="15.9" customHeight="1" thickBot="1" x14ac:dyDescent="0.35">
      <c r="A2" s="675" t="s">
        <v>147</v>
      </c>
      <c r="B2" s="675"/>
      <c r="D2" s="69"/>
      <c r="E2" s="190" t="s">
        <v>606</v>
      </c>
      <c r="F2" s="190" t="s">
        <v>606</v>
      </c>
      <c r="G2" s="190" t="s">
        <v>615</v>
      </c>
      <c r="H2" s="190" t="s">
        <v>615</v>
      </c>
      <c r="I2" s="190" t="s">
        <v>615</v>
      </c>
    </row>
    <row r="3" spans="1:9" ht="38.1" customHeight="1" thickBot="1" x14ac:dyDescent="0.35">
      <c r="A3" s="21" t="s">
        <v>67</v>
      </c>
      <c r="B3" s="22" t="s">
        <v>15</v>
      </c>
      <c r="C3" s="22" t="s">
        <v>627</v>
      </c>
      <c r="D3" s="231" t="s">
        <v>628</v>
      </c>
      <c r="E3" s="30" t="s">
        <v>638</v>
      </c>
      <c r="F3" s="30" t="s">
        <v>681</v>
      </c>
      <c r="G3" s="30" t="s">
        <v>699</v>
      </c>
      <c r="H3" s="30" t="s">
        <v>710</v>
      </c>
      <c r="I3" s="30" t="s">
        <v>723</v>
      </c>
    </row>
    <row r="4" spans="1:9" s="31" customFormat="1" ht="12" customHeight="1" thickBot="1" x14ac:dyDescent="0.25">
      <c r="A4" s="25" t="s">
        <v>494</v>
      </c>
      <c r="B4" s="26" t="s">
        <v>495</v>
      </c>
      <c r="C4" s="26" t="s">
        <v>496</v>
      </c>
      <c r="D4" s="26" t="s">
        <v>498</v>
      </c>
      <c r="E4" s="265" t="s">
        <v>497</v>
      </c>
      <c r="F4" s="265" t="s">
        <v>497</v>
      </c>
      <c r="G4" s="265" t="s">
        <v>497</v>
      </c>
      <c r="H4" s="265" t="s">
        <v>497</v>
      </c>
      <c r="I4" s="265" t="s">
        <v>497</v>
      </c>
    </row>
    <row r="5" spans="1:9" s="1" customFormat="1" ht="12" customHeight="1" thickBot="1" x14ac:dyDescent="0.3">
      <c r="A5" s="18" t="s">
        <v>16</v>
      </c>
      <c r="B5" s="19" t="s">
        <v>248</v>
      </c>
      <c r="C5" s="405">
        <f t="shared" ref="C5:H5" si="0">+C6+C7+C8+C9+C10+C11</f>
        <v>222027</v>
      </c>
      <c r="D5" s="405">
        <f t="shared" si="0"/>
        <v>238658</v>
      </c>
      <c r="E5" s="399">
        <f t="shared" si="0"/>
        <v>220726</v>
      </c>
      <c r="F5" s="399">
        <f t="shared" si="0"/>
        <v>222684</v>
      </c>
      <c r="G5" s="399">
        <f t="shared" si="0"/>
        <v>238913095</v>
      </c>
      <c r="H5" s="399">
        <f t="shared" si="0"/>
        <v>241120656</v>
      </c>
      <c r="I5" s="399">
        <f>+I6+I7+I8+I9+I10+I11</f>
        <v>242303330</v>
      </c>
    </row>
    <row r="6" spans="1:9" s="1" customFormat="1" ht="12" customHeight="1" x14ac:dyDescent="0.25">
      <c r="A6" s="13" t="s">
        <v>96</v>
      </c>
      <c r="B6" s="241" t="s">
        <v>249</v>
      </c>
      <c r="C6" s="406">
        <v>85823</v>
      </c>
      <c r="D6" s="406">
        <v>132678</v>
      </c>
      <c r="E6" s="400">
        <f>129684+352</f>
        <v>130036</v>
      </c>
      <c r="F6" s="400">
        <f>129684+352</f>
        <v>130036</v>
      </c>
      <c r="G6" s="400">
        <v>130036203</v>
      </c>
      <c r="H6" s="400">
        <v>130036203</v>
      </c>
      <c r="I6" s="400">
        <v>130036203</v>
      </c>
    </row>
    <row r="7" spans="1:9" s="1" customFormat="1" ht="12" customHeight="1" x14ac:dyDescent="0.25">
      <c r="A7" s="12" t="s">
        <v>97</v>
      </c>
      <c r="B7" s="242" t="s">
        <v>250</v>
      </c>
      <c r="C7" s="407">
        <v>46363</v>
      </c>
      <c r="D7" s="407">
        <v>49114</v>
      </c>
      <c r="E7" s="401">
        <v>51222</v>
      </c>
      <c r="F7" s="401">
        <v>51222</v>
      </c>
      <c r="G7" s="401">
        <f>51222140-914933</f>
        <v>50307207</v>
      </c>
      <c r="H7" s="401">
        <f>50307207+1243033</f>
        <v>51550240</v>
      </c>
      <c r="I7" s="401">
        <f>50307207+1243033</f>
        <v>51550240</v>
      </c>
    </row>
    <row r="8" spans="1:9" s="1" customFormat="1" ht="12" customHeight="1" x14ac:dyDescent="0.25">
      <c r="A8" s="12" t="s">
        <v>98</v>
      </c>
      <c r="B8" s="242" t="s">
        <v>251</v>
      </c>
      <c r="C8" s="407">
        <v>22159</v>
      </c>
      <c r="D8" s="407">
        <v>32540</v>
      </c>
      <c r="E8" s="401">
        <v>36662</v>
      </c>
      <c r="F8" s="401">
        <v>36662</v>
      </c>
      <c r="G8" s="401">
        <v>36662252</v>
      </c>
      <c r="H8" s="401">
        <f>36662252+64140+130560</f>
        <v>36856952</v>
      </c>
      <c r="I8" s="401">
        <f>36662252+64140+130560+942490</f>
        <v>37799442</v>
      </c>
    </row>
    <row r="9" spans="1:9" s="1" customFormat="1" ht="12" customHeight="1" x14ac:dyDescent="0.25">
      <c r="A9" s="12" t="s">
        <v>99</v>
      </c>
      <c r="B9" s="242" t="s">
        <v>252</v>
      </c>
      <c r="C9" s="407">
        <v>2760</v>
      </c>
      <c r="D9" s="407">
        <v>3266</v>
      </c>
      <c r="E9" s="401">
        <v>2806</v>
      </c>
      <c r="F9" s="401">
        <f>2806+690</f>
        <v>3496</v>
      </c>
      <c r="G9" s="401">
        <v>3495417</v>
      </c>
      <c r="H9" s="401">
        <v>3495417</v>
      </c>
      <c r="I9" s="401">
        <v>3495417</v>
      </c>
    </row>
    <row r="10" spans="1:9" s="1" customFormat="1" ht="12" customHeight="1" x14ac:dyDescent="0.25">
      <c r="A10" s="12" t="s">
        <v>144</v>
      </c>
      <c r="B10" s="176" t="s">
        <v>436</v>
      </c>
      <c r="C10" s="407">
        <v>59247</v>
      </c>
      <c r="D10" s="407">
        <v>20702</v>
      </c>
      <c r="E10" s="401"/>
      <c r="F10" s="401">
        <f>342+926</f>
        <v>1268</v>
      </c>
      <c r="G10" s="401">
        <f>1268057+15721200+342000+738759+342000</f>
        <v>18412016</v>
      </c>
      <c r="H10" s="401">
        <f>18412016+114000+655828</f>
        <v>19181844</v>
      </c>
      <c r="I10" s="401">
        <f>18412016+114000+655828+240184</f>
        <v>19422028</v>
      </c>
    </row>
    <row r="11" spans="1:9" s="1" customFormat="1" ht="12" customHeight="1" thickBot="1" x14ac:dyDescent="0.3">
      <c r="A11" s="14" t="s">
        <v>100</v>
      </c>
      <c r="B11" s="177" t="s">
        <v>437</v>
      </c>
      <c r="C11" s="407">
        <v>5675</v>
      </c>
      <c r="D11" s="407">
        <v>358</v>
      </c>
      <c r="E11" s="401"/>
      <c r="F11" s="401"/>
      <c r="G11" s="401"/>
      <c r="H11" s="401"/>
      <c r="I11" s="401"/>
    </row>
    <row r="12" spans="1:9" s="1" customFormat="1" ht="12" customHeight="1" thickBot="1" x14ac:dyDescent="0.3">
      <c r="A12" s="18" t="s">
        <v>17</v>
      </c>
      <c r="B12" s="175" t="s">
        <v>253</v>
      </c>
      <c r="C12" s="405">
        <f t="shared" ref="C12:H12" si="1">+C13+C14+C15+C16+C17</f>
        <v>37826</v>
      </c>
      <c r="D12" s="405">
        <f t="shared" si="1"/>
        <v>58464</v>
      </c>
      <c r="E12" s="399">
        <f t="shared" si="1"/>
        <v>46768</v>
      </c>
      <c r="F12" s="399">
        <f t="shared" si="1"/>
        <v>52468</v>
      </c>
      <c r="G12" s="399">
        <f t="shared" si="1"/>
        <v>52867639</v>
      </c>
      <c r="H12" s="399">
        <f t="shared" si="1"/>
        <v>56187083</v>
      </c>
      <c r="I12" s="399">
        <f>+I13+I14+I15+I16+I17</f>
        <v>60037083</v>
      </c>
    </row>
    <row r="13" spans="1:9" s="1" customFormat="1" ht="12" customHeight="1" x14ac:dyDescent="0.25">
      <c r="A13" s="13" t="s">
        <v>102</v>
      </c>
      <c r="B13" s="241" t="s">
        <v>254</v>
      </c>
      <c r="C13" s="406"/>
      <c r="D13" s="406"/>
      <c r="E13" s="400"/>
      <c r="F13" s="400"/>
      <c r="G13" s="400"/>
      <c r="H13" s="400"/>
      <c r="I13" s="400"/>
    </row>
    <row r="14" spans="1:9" s="1" customFormat="1" ht="12" customHeight="1" x14ac:dyDescent="0.25">
      <c r="A14" s="12" t="s">
        <v>103</v>
      </c>
      <c r="B14" s="242" t="s">
        <v>255</v>
      </c>
      <c r="C14" s="407"/>
      <c r="D14" s="407"/>
      <c r="E14" s="401"/>
      <c r="F14" s="401"/>
      <c r="G14" s="401"/>
      <c r="H14" s="401"/>
      <c r="I14" s="401"/>
    </row>
    <row r="15" spans="1:9" s="1" customFormat="1" ht="12" customHeight="1" x14ac:dyDescent="0.25">
      <c r="A15" s="12" t="s">
        <v>104</v>
      </c>
      <c r="B15" s="242" t="s">
        <v>426</v>
      </c>
      <c r="C15" s="407"/>
      <c r="D15" s="407"/>
      <c r="E15" s="401"/>
      <c r="F15" s="401"/>
      <c r="G15" s="401"/>
      <c r="H15" s="401"/>
      <c r="I15" s="401"/>
    </row>
    <row r="16" spans="1:9" s="1" customFormat="1" ht="12" customHeight="1" x14ac:dyDescent="0.25">
      <c r="A16" s="12" t="s">
        <v>105</v>
      </c>
      <c r="B16" s="242" t="s">
        <v>427</v>
      </c>
      <c r="C16" s="407"/>
      <c r="D16" s="407"/>
      <c r="E16" s="401"/>
      <c r="F16" s="401"/>
      <c r="G16" s="401"/>
      <c r="H16" s="401"/>
      <c r="I16" s="401"/>
    </row>
    <row r="17" spans="1:9" s="1" customFormat="1" ht="12" customHeight="1" x14ac:dyDescent="0.25">
      <c r="A17" s="12" t="s">
        <v>106</v>
      </c>
      <c r="B17" s="242" t="s">
        <v>256</v>
      </c>
      <c r="C17" s="407">
        <v>37826</v>
      </c>
      <c r="D17" s="407">
        <v>58464</v>
      </c>
      <c r="E17" s="401">
        <v>46768</v>
      </c>
      <c r="F17" s="401">
        <f>46768+586+75+5040-1</f>
        <v>52468</v>
      </c>
      <c r="G17" s="401">
        <f>52468339+110200+289100</f>
        <v>52867639</v>
      </c>
      <c r="H17" s="401">
        <f>52867639+98600+482744+2812727-74627</f>
        <v>56187083</v>
      </c>
      <c r="I17" s="401">
        <f>52867639+98600+482744+2812727-74627+3850000</f>
        <v>60037083</v>
      </c>
    </row>
    <row r="18" spans="1:9" s="1" customFormat="1" ht="12" customHeight="1" thickBot="1" x14ac:dyDescent="0.3">
      <c r="A18" s="14" t="s">
        <v>115</v>
      </c>
      <c r="B18" s="177" t="s">
        <v>257</v>
      </c>
      <c r="C18" s="408"/>
      <c r="D18" s="408"/>
      <c r="E18" s="402"/>
      <c r="F18" s="402"/>
      <c r="G18" s="402"/>
      <c r="H18" s="402"/>
      <c r="I18" s="402"/>
    </row>
    <row r="19" spans="1:9" s="1" customFormat="1" ht="12" customHeight="1" thickBot="1" x14ac:dyDescent="0.3">
      <c r="A19" s="18" t="s">
        <v>18</v>
      </c>
      <c r="B19" s="19" t="s">
        <v>258</v>
      </c>
      <c r="C19" s="405">
        <f t="shared" ref="C19:H19" si="2">+C20+C21+C22+C23+C24</f>
        <v>54445</v>
      </c>
      <c r="D19" s="405">
        <f t="shared" si="2"/>
        <v>346908</v>
      </c>
      <c r="E19" s="399">
        <f t="shared" si="2"/>
        <v>0</v>
      </c>
      <c r="F19" s="399">
        <f t="shared" si="2"/>
        <v>0</v>
      </c>
      <c r="G19" s="399">
        <f t="shared" si="2"/>
        <v>0</v>
      </c>
      <c r="H19" s="399">
        <f t="shared" si="2"/>
        <v>0</v>
      </c>
      <c r="I19" s="399">
        <f>+I20+I21+I22+I23+I24</f>
        <v>46961784</v>
      </c>
    </row>
    <row r="20" spans="1:9" s="1" customFormat="1" ht="12" customHeight="1" x14ac:dyDescent="0.25">
      <c r="A20" s="13" t="s">
        <v>85</v>
      </c>
      <c r="B20" s="241" t="s">
        <v>259</v>
      </c>
      <c r="C20" s="406"/>
      <c r="D20" s="406">
        <v>44143</v>
      </c>
      <c r="E20" s="400"/>
      <c r="F20" s="400"/>
      <c r="G20" s="400"/>
      <c r="H20" s="400"/>
      <c r="I20" s="400">
        <v>43811784</v>
      </c>
    </row>
    <row r="21" spans="1:9" s="1" customFormat="1" ht="12" customHeight="1" x14ac:dyDescent="0.25">
      <c r="A21" s="12" t="s">
        <v>86</v>
      </c>
      <c r="B21" s="242" t="s">
        <v>260</v>
      </c>
      <c r="C21" s="407"/>
      <c r="D21" s="407"/>
      <c r="E21" s="401"/>
      <c r="F21" s="401"/>
      <c r="G21" s="401"/>
      <c r="H21" s="401"/>
      <c r="I21" s="401"/>
    </row>
    <row r="22" spans="1:9" s="1" customFormat="1" ht="12" customHeight="1" x14ac:dyDescent="0.25">
      <c r="A22" s="12" t="s">
        <v>87</v>
      </c>
      <c r="B22" s="242" t="s">
        <v>428</v>
      </c>
      <c r="C22" s="407"/>
      <c r="D22" s="407"/>
      <c r="E22" s="401"/>
      <c r="F22" s="401"/>
      <c r="G22" s="401"/>
      <c r="H22" s="401"/>
      <c r="I22" s="401"/>
    </row>
    <row r="23" spans="1:9" s="1" customFormat="1" ht="12" customHeight="1" x14ac:dyDescent="0.25">
      <c r="A23" s="12" t="s">
        <v>88</v>
      </c>
      <c r="B23" s="242" t="s">
        <v>429</v>
      </c>
      <c r="C23" s="407"/>
      <c r="D23" s="407"/>
      <c r="E23" s="401"/>
      <c r="F23" s="401"/>
      <c r="G23" s="401"/>
      <c r="H23" s="401"/>
      <c r="I23" s="401"/>
    </row>
    <row r="24" spans="1:9" s="1" customFormat="1" ht="12" customHeight="1" x14ac:dyDescent="0.25">
      <c r="A24" s="12" t="s">
        <v>165</v>
      </c>
      <c r="B24" s="242" t="s">
        <v>261</v>
      </c>
      <c r="C24" s="407">
        <v>54445</v>
      </c>
      <c r="D24" s="407">
        <v>302765</v>
      </c>
      <c r="E24" s="401"/>
      <c r="F24" s="401"/>
      <c r="G24" s="401"/>
      <c r="H24" s="401"/>
      <c r="I24" s="401">
        <v>3150000</v>
      </c>
    </row>
    <row r="25" spans="1:9" s="1" customFormat="1" ht="12" customHeight="1" thickBot="1" x14ac:dyDescent="0.3">
      <c r="A25" s="14" t="s">
        <v>166</v>
      </c>
      <c r="B25" s="243" t="s">
        <v>262</v>
      </c>
      <c r="C25" s="408"/>
      <c r="D25" s="408"/>
      <c r="E25" s="402"/>
      <c r="F25" s="402"/>
      <c r="G25" s="402"/>
      <c r="H25" s="402"/>
      <c r="I25" s="402"/>
    </row>
    <row r="26" spans="1:9" s="1" customFormat="1" ht="12" customHeight="1" thickBot="1" x14ac:dyDescent="0.3">
      <c r="A26" s="18" t="s">
        <v>167</v>
      </c>
      <c r="B26" s="19" t="s">
        <v>263</v>
      </c>
      <c r="C26" s="405">
        <f t="shared" ref="C26:H26" si="3">+C27+C31+C32+C33</f>
        <v>119382</v>
      </c>
      <c r="D26" s="405">
        <f t="shared" si="3"/>
        <v>130999</v>
      </c>
      <c r="E26" s="399">
        <f t="shared" si="3"/>
        <v>120530</v>
      </c>
      <c r="F26" s="399">
        <f t="shared" si="3"/>
        <v>120530</v>
      </c>
      <c r="G26" s="399">
        <f t="shared" si="3"/>
        <v>120530000</v>
      </c>
      <c r="H26" s="399">
        <f t="shared" si="3"/>
        <v>127965000</v>
      </c>
      <c r="I26" s="399">
        <f>+I27+I31+I32+I33</f>
        <v>133700000</v>
      </c>
    </row>
    <row r="27" spans="1:9" s="1" customFormat="1" ht="12" customHeight="1" x14ac:dyDescent="0.25">
      <c r="A27" s="13" t="s">
        <v>264</v>
      </c>
      <c r="B27" s="241" t="s">
        <v>443</v>
      </c>
      <c r="C27" s="409">
        <f>+C28+C29+C30</f>
        <v>82916</v>
      </c>
      <c r="D27" s="409">
        <f t="shared" ref="D27:I27" si="4">D28+D29+D30</f>
        <v>92686</v>
      </c>
      <c r="E27" s="403">
        <f t="shared" si="4"/>
        <v>86000</v>
      </c>
      <c r="F27" s="403">
        <f t="shared" si="4"/>
        <v>86000</v>
      </c>
      <c r="G27" s="403">
        <f t="shared" si="4"/>
        <v>86000000</v>
      </c>
      <c r="H27" s="403">
        <f t="shared" si="4"/>
        <v>90950000</v>
      </c>
      <c r="I27" s="403">
        <f t="shared" si="4"/>
        <v>95242000</v>
      </c>
    </row>
    <row r="28" spans="1:9" s="1" customFormat="1" ht="12" customHeight="1" x14ac:dyDescent="0.25">
      <c r="A28" s="12" t="s">
        <v>265</v>
      </c>
      <c r="B28" s="242" t="s">
        <v>270</v>
      </c>
      <c r="C28" s="407">
        <v>53116</v>
      </c>
      <c r="D28" s="407">
        <v>53561</v>
      </c>
      <c r="E28" s="401">
        <f>51000</f>
        <v>51000</v>
      </c>
      <c r="F28" s="401">
        <f>51000</f>
        <v>51000</v>
      </c>
      <c r="G28" s="401">
        <f>51000000</f>
        <v>51000000</v>
      </c>
      <c r="H28" s="401">
        <f>51000000+4950000</f>
        <v>55950000</v>
      </c>
      <c r="I28" s="401">
        <f>51000000+4950000+480000</f>
        <v>56430000</v>
      </c>
    </row>
    <row r="29" spans="1:9" s="1" customFormat="1" ht="12" customHeight="1" x14ac:dyDescent="0.25">
      <c r="A29" s="12" t="s">
        <v>266</v>
      </c>
      <c r="B29" s="242" t="s">
        <v>271</v>
      </c>
      <c r="C29" s="407"/>
      <c r="D29" s="407"/>
      <c r="E29" s="401"/>
      <c r="F29" s="401"/>
      <c r="G29" s="401"/>
      <c r="H29" s="401"/>
      <c r="I29" s="401"/>
    </row>
    <row r="30" spans="1:9" s="1" customFormat="1" ht="12" customHeight="1" x14ac:dyDescent="0.25">
      <c r="A30" s="12" t="s">
        <v>441</v>
      </c>
      <c r="B30" s="271" t="s">
        <v>442</v>
      </c>
      <c r="C30" s="407">
        <v>29800</v>
      </c>
      <c r="D30" s="407">
        <v>39125</v>
      </c>
      <c r="E30" s="401">
        <v>35000</v>
      </c>
      <c r="F30" s="401">
        <v>35000</v>
      </c>
      <c r="G30" s="401">
        <v>35000000</v>
      </c>
      <c r="H30" s="401">
        <v>35000000</v>
      </c>
      <c r="I30" s="401">
        <f>35000000+3812000</f>
        <v>38812000</v>
      </c>
    </row>
    <row r="31" spans="1:9" s="1" customFormat="1" ht="12" customHeight="1" x14ac:dyDescent="0.25">
      <c r="A31" s="12" t="s">
        <v>267</v>
      </c>
      <c r="B31" s="242" t="s">
        <v>272</v>
      </c>
      <c r="C31" s="407">
        <v>7791</v>
      </c>
      <c r="D31" s="407">
        <v>8030</v>
      </c>
      <c r="E31" s="401">
        <v>7400</v>
      </c>
      <c r="F31" s="401">
        <v>7400</v>
      </c>
      <c r="G31" s="401">
        <v>7400000</v>
      </c>
      <c r="H31" s="401">
        <f>7400000+910000</f>
        <v>8310000</v>
      </c>
      <c r="I31" s="401">
        <f>7400000+910000+126000</f>
        <v>8436000</v>
      </c>
    </row>
    <row r="32" spans="1:9" s="1" customFormat="1" ht="12" customHeight="1" x14ac:dyDescent="0.25">
      <c r="A32" s="12" t="s">
        <v>268</v>
      </c>
      <c r="B32" s="242" t="s">
        <v>273</v>
      </c>
      <c r="C32" s="407">
        <v>28367</v>
      </c>
      <c r="D32" s="407">
        <v>29748</v>
      </c>
      <c r="E32" s="401">
        <v>27000</v>
      </c>
      <c r="F32" s="401">
        <v>27000</v>
      </c>
      <c r="G32" s="401">
        <v>27000000</v>
      </c>
      <c r="H32" s="401">
        <f>27000000+1460000</f>
        <v>28460000</v>
      </c>
      <c r="I32" s="401">
        <f>27000000+1460000+1317000</f>
        <v>29777000</v>
      </c>
    </row>
    <row r="33" spans="1:9" s="1" customFormat="1" ht="12" customHeight="1" thickBot="1" x14ac:dyDescent="0.3">
      <c r="A33" s="14" t="s">
        <v>269</v>
      </c>
      <c r="B33" s="243" t="s">
        <v>274</v>
      </c>
      <c r="C33" s="408">
        <v>308</v>
      </c>
      <c r="D33" s="408">
        <v>535</v>
      </c>
      <c r="E33" s="402">
        <v>130</v>
      </c>
      <c r="F33" s="402">
        <v>130</v>
      </c>
      <c r="G33" s="402">
        <v>130000</v>
      </c>
      <c r="H33" s="402">
        <f>130000+115000</f>
        <v>245000</v>
      </c>
      <c r="I33" s="402">
        <f>130000+115000</f>
        <v>245000</v>
      </c>
    </row>
    <row r="34" spans="1:9" s="1" customFormat="1" ht="12" customHeight="1" thickBot="1" x14ac:dyDescent="0.3">
      <c r="A34" s="18" t="s">
        <v>20</v>
      </c>
      <c r="B34" s="19" t="s">
        <v>438</v>
      </c>
      <c r="C34" s="405">
        <f t="shared" ref="C34:H34" si="5">SUM(C35:C45)</f>
        <v>119825</v>
      </c>
      <c r="D34" s="405">
        <f t="shared" si="5"/>
        <v>137671</v>
      </c>
      <c r="E34" s="399">
        <f t="shared" si="5"/>
        <v>111028</v>
      </c>
      <c r="F34" s="399">
        <f t="shared" si="5"/>
        <v>113346</v>
      </c>
      <c r="G34" s="399">
        <f t="shared" si="5"/>
        <v>126212482</v>
      </c>
      <c r="H34" s="399">
        <f t="shared" si="5"/>
        <v>136042002</v>
      </c>
      <c r="I34" s="399">
        <f>SUM(I35:I45)</f>
        <v>138206585</v>
      </c>
    </row>
    <row r="35" spans="1:9" s="1" customFormat="1" ht="12" customHeight="1" x14ac:dyDescent="0.25">
      <c r="A35" s="13" t="s">
        <v>89</v>
      </c>
      <c r="B35" s="241" t="s">
        <v>277</v>
      </c>
      <c r="C35" s="406">
        <v>56</v>
      </c>
      <c r="D35" s="406">
        <v>264</v>
      </c>
      <c r="E35" s="400"/>
      <c r="F35" s="400"/>
      <c r="G35" s="400"/>
      <c r="H35" s="400"/>
      <c r="I35" s="400">
        <v>72900</v>
      </c>
    </row>
    <row r="36" spans="1:9" s="1" customFormat="1" ht="12" customHeight="1" x14ac:dyDescent="0.25">
      <c r="A36" s="12" t="s">
        <v>90</v>
      </c>
      <c r="B36" s="242" t="s">
        <v>278</v>
      </c>
      <c r="C36" s="407">
        <v>87275</v>
      </c>
      <c r="D36" s="407">
        <v>93476</v>
      </c>
      <c r="E36" s="401">
        <v>76644</v>
      </c>
      <c r="F36" s="401">
        <f>76644</f>
        <v>76644</v>
      </c>
      <c r="G36" s="401">
        <f>76644340+10000000+130708</f>
        <v>86775048</v>
      </c>
      <c r="H36" s="401">
        <f>86775048+100000+360000+299528+6600000</f>
        <v>94134576</v>
      </c>
      <c r="I36" s="401">
        <f>86775048+100000+360000+299528+6600000+1197000</f>
        <v>95331576</v>
      </c>
    </row>
    <row r="37" spans="1:9" s="1" customFormat="1" ht="12" customHeight="1" x14ac:dyDescent="0.25">
      <c r="A37" s="12" t="s">
        <v>91</v>
      </c>
      <c r="B37" s="242" t="s">
        <v>279</v>
      </c>
      <c r="C37" s="407">
        <v>1875</v>
      </c>
      <c r="D37" s="407">
        <v>2633</v>
      </c>
      <c r="E37" s="401">
        <v>1200</v>
      </c>
      <c r="F37" s="401">
        <f>1200+1800</f>
        <v>3000</v>
      </c>
      <c r="G37" s="401">
        <f>3000000</f>
        <v>3000000</v>
      </c>
      <c r="H37" s="401">
        <f>3000000+470000</f>
        <v>3470000</v>
      </c>
      <c r="I37" s="401">
        <f>3000000+470000+200000</f>
        <v>3670000</v>
      </c>
    </row>
    <row r="38" spans="1:9" s="1" customFormat="1" ht="12" customHeight="1" x14ac:dyDescent="0.25">
      <c r="A38" s="12" t="s">
        <v>169</v>
      </c>
      <c r="B38" s="242" t="s">
        <v>280</v>
      </c>
      <c r="C38" s="407"/>
      <c r="D38" s="407"/>
      <c r="E38" s="401"/>
      <c r="F38" s="401"/>
      <c r="G38" s="401"/>
      <c r="H38" s="401"/>
      <c r="I38" s="401"/>
    </row>
    <row r="39" spans="1:9" s="1" customFormat="1" ht="12" customHeight="1" x14ac:dyDescent="0.25">
      <c r="A39" s="12" t="s">
        <v>170</v>
      </c>
      <c r="B39" s="242" t="s">
        <v>281</v>
      </c>
      <c r="C39" s="407"/>
      <c r="D39" s="407">
        <v>11678</v>
      </c>
      <c r="E39" s="401">
        <v>10000</v>
      </c>
      <c r="F39" s="401">
        <v>10000</v>
      </c>
      <c r="G39" s="401">
        <v>10000000</v>
      </c>
      <c r="H39" s="401">
        <v>10000000</v>
      </c>
      <c r="I39" s="401">
        <v>10000000</v>
      </c>
    </row>
    <row r="40" spans="1:9" s="1" customFormat="1" ht="12" customHeight="1" x14ac:dyDescent="0.25">
      <c r="A40" s="12" t="s">
        <v>171</v>
      </c>
      <c r="B40" s="242" t="s">
        <v>282</v>
      </c>
      <c r="C40" s="407">
        <v>28729</v>
      </c>
      <c r="D40" s="407">
        <v>29383</v>
      </c>
      <c r="E40" s="401">
        <v>23134</v>
      </c>
      <c r="F40" s="401">
        <f>23134+486</f>
        <v>23620</v>
      </c>
      <c r="G40" s="401">
        <f>23620502+2700000+35292-360</f>
        <v>26355434</v>
      </c>
      <c r="H40" s="401">
        <f>26355434+27000+97200+80872+1760000</f>
        <v>28320506</v>
      </c>
      <c r="I40" s="401">
        <f>26355434+27000+97200+80872+1760000+19683+675000</f>
        <v>29015189</v>
      </c>
    </row>
    <row r="41" spans="1:9" s="1" customFormat="1" ht="12" customHeight="1" x14ac:dyDescent="0.25">
      <c r="A41" s="12" t="s">
        <v>172</v>
      </c>
      <c r="B41" s="242" t="s">
        <v>283</v>
      </c>
      <c r="C41" s="407"/>
      <c r="D41" s="407"/>
      <c r="E41" s="401"/>
      <c r="F41" s="401"/>
      <c r="G41" s="401"/>
      <c r="H41" s="401"/>
      <c r="I41" s="401"/>
    </row>
    <row r="42" spans="1:9" s="1" customFormat="1" ht="12" customHeight="1" x14ac:dyDescent="0.25">
      <c r="A42" s="12" t="s">
        <v>173</v>
      </c>
      <c r="B42" s="242" t="s">
        <v>284</v>
      </c>
      <c r="C42" s="407">
        <v>789</v>
      </c>
      <c r="D42" s="407">
        <v>32</v>
      </c>
      <c r="E42" s="401">
        <v>50</v>
      </c>
      <c r="F42" s="401">
        <v>50</v>
      </c>
      <c r="G42" s="401">
        <v>50000</v>
      </c>
      <c r="H42" s="401">
        <v>50000</v>
      </c>
      <c r="I42" s="401">
        <v>50000</v>
      </c>
    </row>
    <row r="43" spans="1:9" s="1" customFormat="1" ht="12" customHeight="1" x14ac:dyDescent="0.25">
      <c r="A43" s="12" t="s">
        <v>275</v>
      </c>
      <c r="B43" s="242" t="s">
        <v>285</v>
      </c>
      <c r="C43" s="407">
        <v>120</v>
      </c>
      <c r="D43" s="407"/>
      <c r="E43" s="401"/>
      <c r="F43" s="401"/>
      <c r="G43" s="401"/>
      <c r="H43" s="401"/>
      <c r="I43" s="401"/>
    </row>
    <row r="44" spans="1:9" s="1" customFormat="1" ht="12" customHeight="1" x14ac:dyDescent="0.25">
      <c r="A44" s="14" t="s">
        <v>276</v>
      </c>
      <c r="B44" s="243" t="s">
        <v>440</v>
      </c>
      <c r="C44" s="408">
        <v>616</v>
      </c>
      <c r="D44" s="408">
        <v>114</v>
      </c>
      <c r="E44" s="402"/>
      <c r="F44" s="402"/>
      <c r="G44" s="402"/>
      <c r="H44" s="402"/>
      <c r="I44" s="402"/>
    </row>
    <row r="45" spans="1:9" s="1" customFormat="1" ht="12" customHeight="1" thickBot="1" x14ac:dyDescent="0.3">
      <c r="A45" s="14" t="s">
        <v>439</v>
      </c>
      <c r="B45" s="177" t="s">
        <v>286</v>
      </c>
      <c r="C45" s="408">
        <v>365</v>
      </c>
      <c r="D45" s="408">
        <v>91</v>
      </c>
      <c r="E45" s="402"/>
      <c r="F45" s="402">
        <v>32</v>
      </c>
      <c r="G45" s="402">
        <v>32000</v>
      </c>
      <c r="H45" s="402">
        <f>32000+34920</f>
        <v>66920</v>
      </c>
      <c r="I45" s="402">
        <f>32000+34920</f>
        <v>66920</v>
      </c>
    </row>
    <row r="46" spans="1:9" s="1" customFormat="1" ht="12" customHeight="1" thickBot="1" x14ac:dyDescent="0.3">
      <c r="A46" s="18" t="s">
        <v>21</v>
      </c>
      <c r="B46" s="19" t="s">
        <v>287</v>
      </c>
      <c r="C46" s="405">
        <f t="shared" ref="C46:H46" si="6">SUM(C47:C51)</f>
        <v>535</v>
      </c>
      <c r="D46" s="405">
        <f t="shared" si="6"/>
        <v>200</v>
      </c>
      <c r="E46" s="399">
        <f t="shared" si="6"/>
        <v>336</v>
      </c>
      <c r="F46" s="399">
        <f t="shared" si="6"/>
        <v>336</v>
      </c>
      <c r="G46" s="399">
        <f t="shared" si="6"/>
        <v>336000</v>
      </c>
      <c r="H46" s="399">
        <f t="shared" si="6"/>
        <v>336000</v>
      </c>
      <c r="I46" s="399">
        <f>SUM(I47:I51)</f>
        <v>336000</v>
      </c>
    </row>
    <row r="47" spans="1:9" s="1" customFormat="1" ht="12" customHeight="1" x14ac:dyDescent="0.25">
      <c r="A47" s="13" t="s">
        <v>92</v>
      </c>
      <c r="B47" s="241" t="s">
        <v>291</v>
      </c>
      <c r="C47" s="406"/>
      <c r="D47" s="406"/>
      <c r="E47" s="400"/>
      <c r="F47" s="400"/>
      <c r="G47" s="400"/>
      <c r="H47" s="400"/>
      <c r="I47" s="400"/>
    </row>
    <row r="48" spans="1:9" s="1" customFormat="1" ht="12" customHeight="1" x14ac:dyDescent="0.25">
      <c r="A48" s="12" t="s">
        <v>93</v>
      </c>
      <c r="B48" s="242" t="s">
        <v>292</v>
      </c>
      <c r="C48" s="407">
        <v>535</v>
      </c>
      <c r="D48" s="407">
        <v>200</v>
      </c>
      <c r="E48" s="401">
        <v>336</v>
      </c>
      <c r="F48" s="401">
        <v>336</v>
      </c>
      <c r="G48" s="401">
        <v>336000</v>
      </c>
      <c r="H48" s="401">
        <v>336000</v>
      </c>
      <c r="I48" s="401">
        <v>336000</v>
      </c>
    </row>
    <row r="49" spans="1:9" s="1" customFormat="1" ht="12" customHeight="1" x14ac:dyDescent="0.25">
      <c r="A49" s="12" t="s">
        <v>288</v>
      </c>
      <c r="B49" s="242" t="s">
        <v>293</v>
      </c>
      <c r="C49" s="407"/>
      <c r="D49" s="407"/>
      <c r="E49" s="401"/>
      <c r="F49" s="401"/>
      <c r="G49" s="401"/>
      <c r="H49" s="401"/>
      <c r="I49" s="401"/>
    </row>
    <row r="50" spans="1:9" s="1" customFormat="1" ht="12" customHeight="1" x14ac:dyDescent="0.25">
      <c r="A50" s="12" t="s">
        <v>289</v>
      </c>
      <c r="B50" s="242" t="s">
        <v>294</v>
      </c>
      <c r="C50" s="407"/>
      <c r="D50" s="407"/>
      <c r="E50" s="401"/>
      <c r="F50" s="401"/>
      <c r="G50" s="401"/>
      <c r="H50" s="401"/>
      <c r="I50" s="401"/>
    </row>
    <row r="51" spans="1:9" s="1" customFormat="1" ht="12" customHeight="1" thickBot="1" x14ac:dyDescent="0.3">
      <c r="A51" s="14" t="s">
        <v>290</v>
      </c>
      <c r="B51" s="177" t="s">
        <v>295</v>
      </c>
      <c r="C51" s="408"/>
      <c r="D51" s="408"/>
      <c r="E51" s="402"/>
      <c r="F51" s="402"/>
      <c r="G51" s="402"/>
      <c r="H51" s="402"/>
      <c r="I51" s="402"/>
    </row>
    <row r="52" spans="1:9" s="1" customFormat="1" ht="12" customHeight="1" thickBot="1" x14ac:dyDescent="0.3">
      <c r="A52" s="18" t="s">
        <v>174</v>
      </c>
      <c r="B52" s="19" t="s">
        <v>296</v>
      </c>
      <c r="C52" s="405">
        <f t="shared" ref="C52:H52" si="7">SUM(C53:C55)</f>
        <v>7245</v>
      </c>
      <c r="D52" s="405">
        <f t="shared" si="7"/>
        <v>199</v>
      </c>
      <c r="E52" s="399">
        <f t="shared" si="7"/>
        <v>0</v>
      </c>
      <c r="F52" s="399">
        <f t="shared" si="7"/>
        <v>50</v>
      </c>
      <c r="G52" s="399">
        <f t="shared" si="7"/>
        <v>150000</v>
      </c>
      <c r="H52" s="399">
        <f t="shared" si="7"/>
        <v>150000</v>
      </c>
      <c r="I52" s="399">
        <f>SUM(I53:I55)</f>
        <v>150000</v>
      </c>
    </row>
    <row r="53" spans="1:9" s="1" customFormat="1" ht="12" customHeight="1" x14ac:dyDescent="0.25">
      <c r="A53" s="13" t="s">
        <v>94</v>
      </c>
      <c r="B53" s="241" t="s">
        <v>297</v>
      </c>
      <c r="C53" s="406"/>
      <c r="D53" s="406"/>
      <c r="E53" s="400"/>
      <c r="F53" s="400"/>
      <c r="G53" s="400"/>
      <c r="H53" s="400"/>
      <c r="I53" s="400"/>
    </row>
    <row r="54" spans="1:9" s="1" customFormat="1" ht="12" customHeight="1" x14ac:dyDescent="0.25">
      <c r="A54" s="12" t="s">
        <v>95</v>
      </c>
      <c r="B54" s="242" t="s">
        <v>430</v>
      </c>
      <c r="C54" s="407"/>
      <c r="D54" s="407"/>
      <c r="E54" s="401"/>
      <c r="F54" s="401"/>
      <c r="G54" s="401"/>
      <c r="H54" s="401"/>
      <c r="I54" s="401"/>
    </row>
    <row r="55" spans="1:9" s="1" customFormat="1" ht="12" customHeight="1" x14ac:dyDescent="0.25">
      <c r="A55" s="12" t="s">
        <v>300</v>
      </c>
      <c r="B55" s="242" t="s">
        <v>298</v>
      </c>
      <c r="C55" s="407">
        <v>7245</v>
      </c>
      <c r="D55" s="407">
        <v>199</v>
      </c>
      <c r="E55" s="401"/>
      <c r="F55" s="401">
        <v>50</v>
      </c>
      <c r="G55" s="401">
        <f>50000+100000</f>
        <v>150000</v>
      </c>
      <c r="H55" s="401">
        <f>50000+100000</f>
        <v>150000</v>
      </c>
      <c r="I55" s="401">
        <f>50000+100000</f>
        <v>150000</v>
      </c>
    </row>
    <row r="56" spans="1:9" s="1" customFormat="1" ht="12" customHeight="1" thickBot="1" x14ac:dyDescent="0.3">
      <c r="A56" s="14" t="s">
        <v>301</v>
      </c>
      <c r="B56" s="177" t="s">
        <v>299</v>
      </c>
      <c r="C56" s="408"/>
      <c r="D56" s="408"/>
      <c r="E56" s="402"/>
      <c r="F56" s="402"/>
      <c r="G56" s="402"/>
      <c r="H56" s="402"/>
      <c r="I56" s="402"/>
    </row>
    <row r="57" spans="1:9" s="1" customFormat="1" ht="12" customHeight="1" thickBot="1" x14ac:dyDescent="0.3">
      <c r="A57" s="18" t="s">
        <v>23</v>
      </c>
      <c r="B57" s="175" t="s">
        <v>302</v>
      </c>
      <c r="C57" s="405">
        <f t="shared" ref="C57:H57" si="8">SUM(C58:C60)</f>
        <v>610</v>
      </c>
      <c r="D57" s="405">
        <f t="shared" si="8"/>
        <v>7555</v>
      </c>
      <c r="E57" s="399">
        <f t="shared" si="8"/>
        <v>4761</v>
      </c>
      <c r="F57" s="399">
        <f t="shared" si="8"/>
        <v>4761</v>
      </c>
      <c r="G57" s="399">
        <f t="shared" si="8"/>
        <v>4770000</v>
      </c>
      <c r="H57" s="399">
        <f t="shared" si="8"/>
        <v>4810000</v>
      </c>
      <c r="I57" s="399">
        <f>SUM(I58:I60)</f>
        <v>4810000</v>
      </c>
    </row>
    <row r="58" spans="1:9" s="1" customFormat="1" ht="12" customHeight="1" x14ac:dyDescent="0.25">
      <c r="A58" s="13" t="s">
        <v>175</v>
      </c>
      <c r="B58" s="241" t="s">
        <v>304</v>
      </c>
      <c r="C58" s="407"/>
      <c r="D58" s="407"/>
      <c r="E58" s="401"/>
      <c r="F58" s="401"/>
      <c r="G58" s="401"/>
      <c r="H58" s="401"/>
      <c r="I58" s="401"/>
    </row>
    <row r="59" spans="1:9" s="1" customFormat="1" ht="12" customHeight="1" x14ac:dyDescent="0.25">
      <c r="A59" s="12" t="s">
        <v>176</v>
      </c>
      <c r="B59" s="242" t="s">
        <v>431</v>
      </c>
      <c r="C59" s="407">
        <v>581</v>
      </c>
      <c r="D59" s="407">
        <v>268</v>
      </c>
      <c r="E59" s="401">
        <v>61</v>
      </c>
      <c r="F59" s="401">
        <v>61</v>
      </c>
      <c r="G59" s="401">
        <f>60576+9424</f>
        <v>70000</v>
      </c>
      <c r="H59" s="401">
        <f>70000+40000</f>
        <v>110000</v>
      </c>
      <c r="I59" s="401">
        <f>70000+40000</f>
        <v>110000</v>
      </c>
    </row>
    <row r="60" spans="1:9" s="1" customFormat="1" ht="12" customHeight="1" x14ac:dyDescent="0.25">
      <c r="A60" s="12" t="s">
        <v>224</v>
      </c>
      <c r="B60" s="242" t="s">
        <v>305</v>
      </c>
      <c r="C60" s="407">
        <v>29</v>
      </c>
      <c r="D60" s="407">
        <v>7287</v>
      </c>
      <c r="E60" s="401">
        <v>4700</v>
      </c>
      <c r="F60" s="401">
        <v>4700</v>
      </c>
      <c r="G60" s="401">
        <v>4700000</v>
      </c>
      <c r="H60" s="401">
        <v>4700000</v>
      </c>
      <c r="I60" s="401">
        <v>4700000</v>
      </c>
    </row>
    <row r="61" spans="1:9" s="1" customFormat="1" ht="12" customHeight="1" thickBot="1" x14ac:dyDescent="0.3">
      <c r="A61" s="14" t="s">
        <v>303</v>
      </c>
      <c r="B61" s="177" t="s">
        <v>306</v>
      </c>
      <c r="C61" s="407"/>
      <c r="D61" s="407"/>
      <c r="E61" s="401"/>
      <c r="F61" s="401"/>
      <c r="G61" s="401"/>
      <c r="H61" s="401"/>
      <c r="I61" s="401"/>
    </row>
    <row r="62" spans="1:9" s="1" customFormat="1" ht="12" customHeight="1" thickBot="1" x14ac:dyDescent="0.3">
      <c r="A62" s="278" t="s">
        <v>483</v>
      </c>
      <c r="B62" s="19" t="s">
        <v>307</v>
      </c>
      <c r="C62" s="405">
        <f t="shared" ref="C62:H62" si="9">+C5+C12+C19+C26+C34+C46+C52+C57</f>
        <v>561895</v>
      </c>
      <c r="D62" s="405">
        <f t="shared" si="9"/>
        <v>920654</v>
      </c>
      <c r="E62" s="399">
        <f t="shared" si="9"/>
        <v>504149</v>
      </c>
      <c r="F62" s="399">
        <f t="shared" si="9"/>
        <v>514175</v>
      </c>
      <c r="G62" s="399">
        <f t="shared" si="9"/>
        <v>543779216</v>
      </c>
      <c r="H62" s="399">
        <f t="shared" si="9"/>
        <v>566610741</v>
      </c>
      <c r="I62" s="399">
        <f>+I5+I12+I19+I26+I34+I46+I52+I57</f>
        <v>626504782</v>
      </c>
    </row>
    <row r="63" spans="1:9" s="1" customFormat="1" ht="12" customHeight="1" thickBot="1" x14ac:dyDescent="0.3">
      <c r="A63" s="268" t="s">
        <v>308</v>
      </c>
      <c r="B63" s="175" t="s">
        <v>546</v>
      </c>
      <c r="C63" s="405">
        <f t="shared" ref="C63:H63" si="10">SUM(C64:C66)</f>
        <v>0</v>
      </c>
      <c r="D63" s="405">
        <f t="shared" si="10"/>
        <v>0</v>
      </c>
      <c r="E63" s="399">
        <f t="shared" si="10"/>
        <v>0</v>
      </c>
      <c r="F63" s="399">
        <f t="shared" si="10"/>
        <v>0</v>
      </c>
      <c r="G63" s="399">
        <f t="shared" si="10"/>
        <v>0</v>
      </c>
      <c r="H63" s="399">
        <f t="shared" si="10"/>
        <v>0</v>
      </c>
      <c r="I63" s="399">
        <f>SUM(I64:I66)</f>
        <v>0</v>
      </c>
    </row>
    <row r="64" spans="1:9" s="1" customFormat="1" ht="12" customHeight="1" x14ac:dyDescent="0.25">
      <c r="A64" s="13" t="s">
        <v>340</v>
      </c>
      <c r="B64" s="241" t="s">
        <v>310</v>
      </c>
      <c r="C64" s="407"/>
      <c r="D64" s="407"/>
      <c r="E64" s="401"/>
      <c r="F64" s="401"/>
      <c r="G64" s="401"/>
      <c r="H64" s="401"/>
      <c r="I64" s="401"/>
    </row>
    <row r="65" spans="1:9" s="1" customFormat="1" ht="12" customHeight="1" x14ac:dyDescent="0.25">
      <c r="A65" s="12" t="s">
        <v>349</v>
      </c>
      <c r="B65" s="242" t="s">
        <v>311</v>
      </c>
      <c r="C65" s="407"/>
      <c r="D65" s="407"/>
      <c r="E65" s="401"/>
      <c r="F65" s="401"/>
      <c r="G65" s="401"/>
      <c r="H65" s="401"/>
      <c r="I65" s="401"/>
    </row>
    <row r="66" spans="1:9" s="1" customFormat="1" ht="12" customHeight="1" thickBot="1" x14ac:dyDescent="0.3">
      <c r="A66" s="14" t="s">
        <v>350</v>
      </c>
      <c r="B66" s="272" t="s">
        <v>468</v>
      </c>
      <c r="C66" s="407"/>
      <c r="D66" s="407"/>
      <c r="E66" s="401"/>
      <c r="F66" s="401"/>
      <c r="G66" s="401"/>
      <c r="H66" s="401"/>
      <c r="I66" s="401"/>
    </row>
    <row r="67" spans="1:9" s="1" customFormat="1" ht="12" customHeight="1" thickBot="1" x14ac:dyDescent="0.3">
      <c r="A67" s="268" t="s">
        <v>313</v>
      </c>
      <c r="B67" s="175" t="s">
        <v>314</v>
      </c>
      <c r="C67" s="405">
        <f t="shared" ref="C67:H67" si="11">SUM(C68:C71)</f>
        <v>0</v>
      </c>
      <c r="D67" s="405">
        <f t="shared" si="11"/>
        <v>0</v>
      </c>
      <c r="E67" s="399">
        <f t="shared" si="11"/>
        <v>0</v>
      </c>
      <c r="F67" s="399">
        <f t="shared" si="11"/>
        <v>0</v>
      </c>
      <c r="G67" s="399">
        <f t="shared" si="11"/>
        <v>0</v>
      </c>
      <c r="H67" s="399">
        <f t="shared" si="11"/>
        <v>0</v>
      </c>
      <c r="I67" s="399">
        <f>SUM(I68:I71)</f>
        <v>0</v>
      </c>
    </row>
    <row r="68" spans="1:9" s="1" customFormat="1" ht="12" customHeight="1" x14ac:dyDescent="0.25">
      <c r="A68" s="13" t="s">
        <v>145</v>
      </c>
      <c r="B68" s="241" t="s">
        <v>315</v>
      </c>
      <c r="C68" s="407"/>
      <c r="D68" s="407"/>
      <c r="E68" s="401"/>
      <c r="F68" s="401"/>
      <c r="G68" s="401"/>
      <c r="H68" s="401"/>
      <c r="I68" s="401"/>
    </row>
    <row r="69" spans="1:9" s="1" customFormat="1" ht="17.25" customHeight="1" x14ac:dyDescent="0.25">
      <c r="A69" s="12" t="s">
        <v>146</v>
      </c>
      <c r="B69" s="242" t="s">
        <v>316</v>
      </c>
      <c r="C69" s="407"/>
      <c r="D69" s="407"/>
      <c r="E69" s="401"/>
      <c r="F69" s="401"/>
      <c r="G69" s="401"/>
      <c r="H69" s="401"/>
      <c r="I69" s="401"/>
    </row>
    <row r="70" spans="1:9" s="1" customFormat="1" ht="12" customHeight="1" x14ac:dyDescent="0.25">
      <c r="A70" s="12" t="s">
        <v>341</v>
      </c>
      <c r="B70" s="242" t="s">
        <v>317</v>
      </c>
      <c r="C70" s="407"/>
      <c r="D70" s="407"/>
      <c r="E70" s="401"/>
      <c r="F70" s="401"/>
      <c r="G70" s="401"/>
      <c r="H70" s="401"/>
      <c r="I70" s="401"/>
    </row>
    <row r="71" spans="1:9" s="1" customFormat="1" ht="12" customHeight="1" thickBot="1" x14ac:dyDescent="0.3">
      <c r="A71" s="14" t="s">
        <v>342</v>
      </c>
      <c r="B71" s="177" t="s">
        <v>318</v>
      </c>
      <c r="C71" s="407"/>
      <c r="D71" s="407"/>
      <c r="E71" s="401"/>
      <c r="F71" s="401"/>
      <c r="G71" s="401"/>
      <c r="H71" s="401"/>
      <c r="I71" s="401"/>
    </row>
    <row r="72" spans="1:9" s="1" customFormat="1" ht="12" customHeight="1" thickBot="1" x14ac:dyDescent="0.3">
      <c r="A72" s="268" t="s">
        <v>319</v>
      </c>
      <c r="B72" s="175" t="s">
        <v>320</v>
      </c>
      <c r="C72" s="405">
        <f t="shared" ref="C72:H72" si="12">SUM(C73:C74)</f>
        <v>73456</v>
      </c>
      <c r="D72" s="405">
        <f t="shared" si="12"/>
        <v>45031</v>
      </c>
      <c r="E72" s="399">
        <f t="shared" si="12"/>
        <v>159250</v>
      </c>
      <c r="F72" s="399">
        <f t="shared" si="12"/>
        <v>172129</v>
      </c>
      <c r="G72" s="399">
        <f t="shared" si="12"/>
        <v>172128534</v>
      </c>
      <c r="H72" s="399">
        <f t="shared" si="12"/>
        <v>172128534</v>
      </c>
      <c r="I72" s="399">
        <f>SUM(I73:I74)</f>
        <v>172128534</v>
      </c>
    </row>
    <row r="73" spans="1:9" s="1" customFormat="1" ht="12" customHeight="1" x14ac:dyDescent="0.25">
      <c r="A73" s="13" t="s">
        <v>343</v>
      </c>
      <c r="B73" s="241" t="s">
        <v>321</v>
      </c>
      <c r="C73" s="407">
        <v>73456</v>
      </c>
      <c r="D73" s="407">
        <v>45031</v>
      </c>
      <c r="E73" s="401">
        <v>159250</v>
      </c>
      <c r="F73" s="401">
        <f>159250+12879</f>
        <v>172129</v>
      </c>
      <c r="G73" s="401">
        <v>172128534</v>
      </c>
      <c r="H73" s="401">
        <v>172128534</v>
      </c>
      <c r="I73" s="401">
        <v>172128534</v>
      </c>
    </row>
    <row r="74" spans="1:9" s="1" customFormat="1" ht="12" customHeight="1" thickBot="1" x14ac:dyDescent="0.3">
      <c r="A74" s="14" t="s">
        <v>344</v>
      </c>
      <c r="B74" s="177" t="s">
        <v>322</v>
      </c>
      <c r="C74" s="407"/>
      <c r="D74" s="407"/>
      <c r="E74" s="401"/>
      <c r="F74" s="401"/>
      <c r="G74" s="401"/>
      <c r="H74" s="401"/>
      <c r="I74" s="401"/>
    </row>
    <row r="75" spans="1:9" s="1" customFormat="1" ht="12" customHeight="1" thickBot="1" x14ac:dyDescent="0.3">
      <c r="A75" s="268" t="s">
        <v>323</v>
      </c>
      <c r="B75" s="175" t="s">
        <v>324</v>
      </c>
      <c r="C75" s="405">
        <f t="shared" ref="C75:H75" si="13">SUM(C76:C78)</f>
        <v>7464</v>
      </c>
      <c r="D75" s="405">
        <f t="shared" si="13"/>
        <v>38111</v>
      </c>
      <c r="E75" s="399">
        <f t="shared" si="13"/>
        <v>0</v>
      </c>
      <c r="F75" s="399">
        <f t="shared" si="13"/>
        <v>0</v>
      </c>
      <c r="G75" s="399">
        <f t="shared" si="13"/>
        <v>0</v>
      </c>
      <c r="H75" s="399">
        <f t="shared" si="13"/>
        <v>0</v>
      </c>
      <c r="I75" s="399">
        <f>SUM(I76:I78)</f>
        <v>7777206</v>
      </c>
    </row>
    <row r="76" spans="1:9" s="1" customFormat="1" ht="12" customHeight="1" x14ac:dyDescent="0.25">
      <c r="A76" s="13" t="s">
        <v>345</v>
      </c>
      <c r="B76" s="241" t="s">
        <v>325</v>
      </c>
      <c r="C76" s="407">
        <v>7464</v>
      </c>
      <c r="D76" s="407">
        <v>8111</v>
      </c>
      <c r="E76" s="401"/>
      <c r="F76" s="401"/>
      <c r="G76" s="401"/>
      <c r="H76" s="401"/>
      <c r="I76" s="401">
        <v>7777206</v>
      </c>
    </row>
    <row r="77" spans="1:9" s="1" customFormat="1" ht="12" customHeight="1" x14ac:dyDescent="0.25">
      <c r="A77" s="12" t="s">
        <v>346</v>
      </c>
      <c r="B77" s="242" t="s">
        <v>326</v>
      </c>
      <c r="C77" s="407"/>
      <c r="D77" s="407"/>
      <c r="E77" s="401"/>
      <c r="F77" s="401"/>
      <c r="G77" s="401"/>
      <c r="H77" s="401"/>
      <c r="I77" s="401"/>
    </row>
    <row r="78" spans="1:9" s="1" customFormat="1" ht="12" customHeight="1" thickBot="1" x14ac:dyDescent="0.3">
      <c r="A78" s="14" t="s">
        <v>347</v>
      </c>
      <c r="B78" s="177" t="s">
        <v>327</v>
      </c>
      <c r="C78" s="407"/>
      <c r="D78" s="407">
        <v>30000</v>
      </c>
      <c r="E78" s="401"/>
      <c r="F78" s="401"/>
      <c r="G78" s="401"/>
      <c r="H78" s="401"/>
      <c r="I78" s="401"/>
    </row>
    <row r="79" spans="1:9" s="1" customFormat="1" ht="12" customHeight="1" thickBot="1" x14ac:dyDescent="0.3">
      <c r="A79" s="268" t="s">
        <v>328</v>
      </c>
      <c r="B79" s="175" t="s">
        <v>348</v>
      </c>
      <c r="C79" s="405">
        <f t="shared" ref="C79:H79" si="14">SUM(C80:C83)</f>
        <v>0</v>
      </c>
      <c r="D79" s="405">
        <f t="shared" si="14"/>
        <v>0</v>
      </c>
      <c r="E79" s="399">
        <f t="shared" si="14"/>
        <v>0</v>
      </c>
      <c r="F79" s="399">
        <f t="shared" si="14"/>
        <v>0</v>
      </c>
      <c r="G79" s="399">
        <f t="shared" si="14"/>
        <v>0</v>
      </c>
      <c r="H79" s="399">
        <f t="shared" si="14"/>
        <v>0</v>
      </c>
      <c r="I79" s="399">
        <f>SUM(I80:I83)</f>
        <v>0</v>
      </c>
    </row>
    <row r="80" spans="1:9" s="1" customFormat="1" ht="12" customHeight="1" x14ac:dyDescent="0.25">
      <c r="A80" s="245" t="s">
        <v>329</v>
      </c>
      <c r="B80" s="241" t="s">
        <v>330</v>
      </c>
      <c r="C80" s="407"/>
      <c r="D80" s="407"/>
      <c r="E80" s="401"/>
      <c r="F80" s="401"/>
      <c r="G80" s="401"/>
      <c r="H80" s="401"/>
      <c r="I80" s="401"/>
    </row>
    <row r="81" spans="1:9" s="1" customFormat="1" ht="12" customHeight="1" x14ac:dyDescent="0.25">
      <c r="A81" s="246" t="s">
        <v>331</v>
      </c>
      <c r="B81" s="242" t="s">
        <v>332</v>
      </c>
      <c r="C81" s="407"/>
      <c r="D81" s="407"/>
      <c r="E81" s="401"/>
      <c r="F81" s="401"/>
      <c r="G81" s="401"/>
      <c r="H81" s="401"/>
      <c r="I81" s="401"/>
    </row>
    <row r="82" spans="1:9" s="1" customFormat="1" ht="12" customHeight="1" x14ac:dyDescent="0.25">
      <c r="A82" s="246" t="s">
        <v>333</v>
      </c>
      <c r="B82" s="242" t="s">
        <v>334</v>
      </c>
      <c r="C82" s="407"/>
      <c r="D82" s="407"/>
      <c r="E82" s="401"/>
      <c r="F82" s="401"/>
      <c r="G82" s="401"/>
      <c r="H82" s="401"/>
      <c r="I82" s="401"/>
    </row>
    <row r="83" spans="1:9" s="1" customFormat="1" ht="12" customHeight="1" thickBot="1" x14ac:dyDescent="0.3">
      <c r="A83" s="247" t="s">
        <v>335</v>
      </c>
      <c r="B83" s="177" t="s">
        <v>336</v>
      </c>
      <c r="C83" s="407"/>
      <c r="D83" s="407"/>
      <c r="E83" s="401"/>
      <c r="F83" s="401"/>
      <c r="G83" s="401"/>
      <c r="H83" s="401"/>
      <c r="I83" s="401"/>
    </row>
    <row r="84" spans="1:9" s="1" customFormat="1" ht="12" customHeight="1" thickBot="1" x14ac:dyDescent="0.3">
      <c r="A84" s="268" t="s">
        <v>337</v>
      </c>
      <c r="B84" s="175" t="s">
        <v>482</v>
      </c>
      <c r="C84" s="410"/>
      <c r="D84" s="410"/>
      <c r="E84" s="404"/>
      <c r="F84" s="404"/>
      <c r="G84" s="404"/>
      <c r="H84" s="404"/>
      <c r="I84" s="404"/>
    </row>
    <row r="85" spans="1:9" s="1" customFormat="1" ht="12" customHeight="1" thickBot="1" x14ac:dyDescent="0.3">
      <c r="A85" s="268" t="s">
        <v>339</v>
      </c>
      <c r="B85" s="175" t="s">
        <v>338</v>
      </c>
      <c r="C85" s="410"/>
      <c r="D85" s="410"/>
      <c r="E85" s="404"/>
      <c r="F85" s="404"/>
      <c r="G85" s="404"/>
      <c r="H85" s="404"/>
      <c r="I85" s="404"/>
    </row>
    <row r="86" spans="1:9" s="1" customFormat="1" ht="12" customHeight="1" thickBot="1" x14ac:dyDescent="0.3">
      <c r="A86" s="268" t="s">
        <v>351</v>
      </c>
      <c r="B86" s="248" t="s">
        <v>485</v>
      </c>
      <c r="C86" s="405">
        <f t="shared" ref="C86:I86" si="15">+C63+C67+C72+C75+C79+C85+C84</f>
        <v>80920</v>
      </c>
      <c r="D86" s="405">
        <f t="shared" si="15"/>
        <v>83142</v>
      </c>
      <c r="E86" s="399">
        <f t="shared" si="15"/>
        <v>159250</v>
      </c>
      <c r="F86" s="399">
        <f t="shared" si="15"/>
        <v>172129</v>
      </c>
      <c r="G86" s="399">
        <f t="shared" si="15"/>
        <v>172128534</v>
      </c>
      <c r="H86" s="399">
        <f t="shared" si="15"/>
        <v>172128534</v>
      </c>
      <c r="I86" s="399">
        <f t="shared" si="15"/>
        <v>179905740</v>
      </c>
    </row>
    <row r="87" spans="1:9" s="1" customFormat="1" ht="12" customHeight="1" thickBot="1" x14ac:dyDescent="0.3">
      <c r="A87" s="263" t="s">
        <v>33</v>
      </c>
      <c r="B87" s="249" t="s">
        <v>567</v>
      </c>
      <c r="C87" s="405"/>
      <c r="D87" s="405"/>
      <c r="E87" s="399"/>
      <c r="F87" s="399"/>
      <c r="G87" s="399"/>
      <c r="H87" s="399"/>
      <c r="I87" s="399"/>
    </row>
    <row r="88" spans="1:9" s="1" customFormat="1" ht="15" customHeight="1" thickBot="1" x14ac:dyDescent="0.3">
      <c r="A88" s="263" t="s">
        <v>34</v>
      </c>
      <c r="B88" s="249" t="s">
        <v>486</v>
      </c>
      <c r="C88" s="405">
        <f t="shared" ref="C88:I88" si="16">+C62+C86+C87</f>
        <v>642815</v>
      </c>
      <c r="D88" s="405">
        <f t="shared" si="16"/>
        <v>1003796</v>
      </c>
      <c r="E88" s="405">
        <f t="shared" si="16"/>
        <v>663399</v>
      </c>
      <c r="F88" s="405">
        <f t="shared" si="16"/>
        <v>686304</v>
      </c>
      <c r="G88" s="405">
        <f t="shared" si="16"/>
        <v>715907750</v>
      </c>
      <c r="H88" s="405">
        <f t="shared" si="16"/>
        <v>738739275</v>
      </c>
      <c r="I88" s="405">
        <f t="shared" si="16"/>
        <v>806410522</v>
      </c>
    </row>
    <row r="89" spans="1:9" s="1" customFormat="1" ht="43.5" customHeight="1" thickBot="1" x14ac:dyDescent="0.3">
      <c r="A89" s="667"/>
      <c r="B89" s="668"/>
      <c r="C89" s="669"/>
      <c r="D89" s="669"/>
      <c r="E89" s="669"/>
      <c r="F89" s="670"/>
      <c r="G89" s="670"/>
      <c r="H89" s="670"/>
      <c r="I89" s="670"/>
    </row>
    <row r="90" spans="1:9" s="1" customFormat="1" ht="12" customHeight="1" x14ac:dyDescent="0.25">
      <c r="A90" s="721" t="s">
        <v>44</v>
      </c>
      <c r="B90" s="721"/>
      <c r="C90" s="721"/>
      <c r="D90" s="721"/>
      <c r="E90" s="721"/>
    </row>
    <row r="91" spans="1:9" s="1" customFormat="1" ht="12" customHeight="1" thickBot="1" x14ac:dyDescent="0.3">
      <c r="A91" s="676" t="s">
        <v>148</v>
      </c>
      <c r="B91" s="676"/>
      <c r="C91" s="217"/>
      <c r="D91" s="69"/>
      <c r="E91" s="190" t="s">
        <v>606</v>
      </c>
      <c r="F91" s="190" t="s">
        <v>606</v>
      </c>
      <c r="G91" s="190" t="s">
        <v>615</v>
      </c>
      <c r="H91" s="190" t="s">
        <v>615</v>
      </c>
      <c r="I91" s="190" t="s">
        <v>615</v>
      </c>
    </row>
    <row r="92" spans="1:9" s="1" customFormat="1" ht="36" customHeight="1" thickBot="1" x14ac:dyDescent="0.3">
      <c r="A92" s="21" t="s">
        <v>14</v>
      </c>
      <c r="B92" s="22" t="s">
        <v>45</v>
      </c>
      <c r="C92" s="22" t="str">
        <f t="shared" ref="C92:H92" si="17">+C3</f>
        <v>2014. évi tény</v>
      </c>
      <c r="D92" s="22" t="str">
        <f t="shared" si="17"/>
        <v>2015. évi várható</v>
      </c>
      <c r="E92" s="86" t="str">
        <f t="shared" si="17"/>
        <v>Eredeti előirányzat (2016.01)</v>
      </c>
      <c r="F92" s="86" t="str">
        <f t="shared" si="17"/>
        <v>Módosított előirányzat (2016.05)</v>
      </c>
      <c r="G92" s="86" t="str">
        <f t="shared" si="17"/>
        <v>Módosított előirányzat (2016.09)</v>
      </c>
      <c r="H92" s="86" t="str">
        <f t="shared" si="17"/>
        <v>Módosított előirányzat (2016.11)</v>
      </c>
      <c r="I92" s="86" t="str">
        <f>+I3</f>
        <v>Módosított előirányzat (2016.12)</v>
      </c>
    </row>
    <row r="93" spans="1:9" s="1" customFormat="1" ht="12" customHeight="1" thickBot="1" x14ac:dyDescent="0.3">
      <c r="A93" s="25" t="s">
        <v>494</v>
      </c>
      <c r="B93" s="26" t="s">
        <v>495</v>
      </c>
      <c r="C93" s="26" t="s">
        <v>496</v>
      </c>
      <c r="D93" s="26" t="s">
        <v>498</v>
      </c>
      <c r="E93" s="265" t="s">
        <v>497</v>
      </c>
      <c r="F93" s="265" t="s">
        <v>497</v>
      </c>
      <c r="G93" s="265" t="s">
        <v>497</v>
      </c>
      <c r="H93" s="265" t="s">
        <v>497</v>
      </c>
      <c r="I93" s="265" t="s">
        <v>497</v>
      </c>
    </row>
    <row r="94" spans="1:9" s="1" customFormat="1" ht="15" customHeight="1" thickBot="1" x14ac:dyDescent="0.3">
      <c r="A94" s="20" t="s">
        <v>16</v>
      </c>
      <c r="B94" s="24" t="s">
        <v>444</v>
      </c>
      <c r="C94" s="224">
        <f t="shared" ref="C94:H94" si="18">C95+C96+C97+C98+C99+C112</f>
        <v>343806</v>
      </c>
      <c r="D94" s="224">
        <f t="shared" si="18"/>
        <v>407878</v>
      </c>
      <c r="E94" s="179">
        <f t="shared" si="18"/>
        <v>415482</v>
      </c>
      <c r="F94" s="179">
        <f t="shared" si="18"/>
        <v>431203</v>
      </c>
      <c r="G94" s="179">
        <f t="shared" si="18"/>
        <v>454431843</v>
      </c>
      <c r="H94" s="179">
        <f t="shared" si="18"/>
        <v>473217868</v>
      </c>
      <c r="I94" s="179">
        <f>I95+I96+I97+I98+I99+I112</f>
        <v>496645620</v>
      </c>
    </row>
    <row r="95" spans="1:9" s="1" customFormat="1" ht="12.9" customHeight="1" x14ac:dyDescent="0.25">
      <c r="A95" s="15" t="s">
        <v>96</v>
      </c>
      <c r="B95" s="8" t="s">
        <v>46</v>
      </c>
      <c r="C95" s="281">
        <v>68637</v>
      </c>
      <c r="D95" s="281">
        <v>68430</v>
      </c>
      <c r="E95" s="181">
        <v>73044</v>
      </c>
      <c r="F95" s="181">
        <f>73044+4468+476+22-7-1</f>
        <v>78002</v>
      </c>
      <c r="G95" s="181">
        <f>78002488+384300+227638+40112+85275+640500+26000-3000+2198950-173700-26000</f>
        <v>81402563</v>
      </c>
      <c r="H95" s="181">
        <f>81402563+471000+70650+224350+200000</f>
        <v>82368563</v>
      </c>
      <c r="I95" s="181">
        <f>81402563+471000+70650+224350+200000+237795</f>
        <v>82606358</v>
      </c>
    </row>
    <row r="96" spans="1:9" ht="16.5" customHeight="1" x14ac:dyDescent="0.3">
      <c r="A96" s="12" t="s">
        <v>97</v>
      </c>
      <c r="B96" s="6" t="s">
        <v>177</v>
      </c>
      <c r="C96" s="226">
        <v>18672</v>
      </c>
      <c r="D96" s="226">
        <v>16871</v>
      </c>
      <c r="E96" s="182">
        <v>23620</v>
      </c>
      <c r="F96" s="182">
        <f>23620+572+129-22</f>
        <v>24299</v>
      </c>
      <c r="G96" s="182">
        <f>24299233+103761+61462+10832+23025+172935+7020+20000+2002+593726-46895-7020</f>
        <v>25240081</v>
      </c>
      <c r="H96" s="182">
        <f>25240081+127170+19076+60575+102340</f>
        <v>25549242</v>
      </c>
      <c r="I96" s="182">
        <f>25240081+127170+19076+60575+102340+64205</f>
        <v>25613447</v>
      </c>
    </row>
    <row r="97" spans="1:9" x14ac:dyDescent="0.3">
      <c r="A97" s="12" t="s">
        <v>98</v>
      </c>
      <c r="B97" s="6" t="s">
        <v>135</v>
      </c>
      <c r="C97" s="228">
        <v>151480</v>
      </c>
      <c r="D97" s="228">
        <v>214692</v>
      </c>
      <c r="E97" s="184">
        <f>175156+1436</f>
        <v>176592</v>
      </c>
      <c r="F97" s="184">
        <f>176592-1210+281-2+179+2286</f>
        <v>178126</v>
      </c>
      <c r="G97" s="184">
        <f>178126582-280889-1435608+2286000+718947+228600-80000-20000-1000</f>
        <v>179542632</v>
      </c>
      <c r="H97" s="184">
        <f>179542632+457200-302340+380400+150000+762000</f>
        <v>180989892</v>
      </c>
      <c r="I97" s="184">
        <f>179542632+457200-302340+380400+150000+762000+3548000</f>
        <v>184537892</v>
      </c>
    </row>
    <row r="98" spans="1:9" s="31" customFormat="1" ht="12" customHeight="1" x14ac:dyDescent="0.2">
      <c r="A98" s="12" t="s">
        <v>99</v>
      </c>
      <c r="B98" s="9" t="s">
        <v>178</v>
      </c>
      <c r="C98" s="228">
        <v>8843</v>
      </c>
      <c r="D98" s="228">
        <v>5636</v>
      </c>
      <c r="E98" s="184">
        <v>6014</v>
      </c>
      <c r="F98" s="184">
        <f>6014+7</f>
        <v>6021</v>
      </c>
      <c r="G98" s="184">
        <f>6021600+110200+1020+284480+2050000</f>
        <v>8467300</v>
      </c>
      <c r="H98" s="184">
        <f>8467300+98600+3307500+1055000</f>
        <v>12928400</v>
      </c>
      <c r="I98" s="184">
        <f>8467300+98600+3307500+1055000+1277500</f>
        <v>14205900</v>
      </c>
    </row>
    <row r="99" spans="1:9" ht="12" customHeight="1" x14ac:dyDescent="0.3">
      <c r="A99" s="12" t="s">
        <v>110</v>
      </c>
      <c r="B99" s="17" t="s">
        <v>179</v>
      </c>
      <c r="C99" s="228">
        <v>96174</v>
      </c>
      <c r="D99" s="184">
        <f t="shared" ref="D99:I99" si="19">D100+D101+D102+D103+D104+D105+D106+D107+D108+D109+D110+D111</f>
        <v>102249</v>
      </c>
      <c r="E99" s="184">
        <f t="shared" si="19"/>
        <v>110372</v>
      </c>
      <c r="F99" s="184">
        <f t="shared" si="19"/>
        <v>109716</v>
      </c>
      <c r="G99" s="184">
        <f t="shared" si="19"/>
        <v>126984619</v>
      </c>
      <c r="H99" s="184">
        <f t="shared" si="19"/>
        <v>132687817</v>
      </c>
      <c r="I99" s="184">
        <f t="shared" si="19"/>
        <v>131787789</v>
      </c>
    </row>
    <row r="100" spans="1:9" ht="12" customHeight="1" x14ac:dyDescent="0.3">
      <c r="A100" s="12" t="s">
        <v>100</v>
      </c>
      <c r="B100" s="6" t="s">
        <v>449</v>
      </c>
      <c r="C100" s="228"/>
      <c r="D100" s="228"/>
      <c r="E100" s="184"/>
      <c r="F100" s="184"/>
      <c r="G100" s="184"/>
      <c r="H100" s="184"/>
      <c r="I100" s="184"/>
    </row>
    <row r="101" spans="1:9" ht="12" customHeight="1" x14ac:dyDescent="0.3">
      <c r="A101" s="12" t="s">
        <v>101</v>
      </c>
      <c r="B101" s="72" t="s">
        <v>448</v>
      </c>
      <c r="C101" s="228"/>
      <c r="D101" s="228"/>
      <c r="E101" s="184"/>
      <c r="F101" s="184"/>
      <c r="G101" s="184"/>
      <c r="H101" s="184"/>
      <c r="I101" s="184"/>
    </row>
    <row r="102" spans="1:9" ht="12" customHeight="1" x14ac:dyDescent="0.3">
      <c r="A102" s="12" t="s">
        <v>111</v>
      </c>
      <c r="B102" s="72" t="s">
        <v>447</v>
      </c>
      <c r="C102" s="228"/>
      <c r="D102" s="228">
        <v>1671</v>
      </c>
      <c r="E102" s="184"/>
      <c r="F102" s="184">
        <f>1316+2701</f>
        <v>4017</v>
      </c>
      <c r="G102" s="184">
        <f>4016843+280889</f>
        <v>4297732</v>
      </c>
      <c r="H102" s="184">
        <f>4297732+3198</f>
        <v>4300930</v>
      </c>
      <c r="I102" s="184">
        <f>4297732+3198</f>
        <v>4300930</v>
      </c>
    </row>
    <row r="103" spans="1:9" ht="12" customHeight="1" x14ac:dyDescent="0.3">
      <c r="A103" s="12" t="s">
        <v>112</v>
      </c>
      <c r="B103" s="70" t="s">
        <v>354</v>
      </c>
      <c r="C103" s="228"/>
      <c r="D103" s="228"/>
      <c r="E103" s="184"/>
      <c r="F103" s="184"/>
      <c r="G103" s="184"/>
      <c r="H103" s="184"/>
      <c r="I103" s="184"/>
    </row>
    <row r="104" spans="1:9" ht="12" customHeight="1" x14ac:dyDescent="0.3">
      <c r="A104" s="12" t="s">
        <v>113</v>
      </c>
      <c r="B104" s="71" t="s">
        <v>355</v>
      </c>
      <c r="C104" s="228"/>
      <c r="D104" s="228"/>
      <c r="E104" s="184"/>
      <c r="F104" s="184"/>
      <c r="G104" s="184"/>
      <c r="H104" s="184"/>
      <c r="I104" s="184"/>
    </row>
    <row r="105" spans="1:9" ht="12" customHeight="1" x14ac:dyDescent="0.3">
      <c r="A105" s="12" t="s">
        <v>114</v>
      </c>
      <c r="B105" s="71" t="s">
        <v>356</v>
      </c>
      <c r="C105" s="228"/>
      <c r="D105" s="228"/>
      <c r="E105" s="184"/>
      <c r="F105" s="184"/>
      <c r="G105" s="184"/>
      <c r="H105" s="184"/>
      <c r="I105" s="184"/>
    </row>
    <row r="106" spans="1:9" ht="12" customHeight="1" x14ac:dyDescent="0.3">
      <c r="A106" s="12" t="s">
        <v>116</v>
      </c>
      <c r="B106" s="70" t="s">
        <v>357</v>
      </c>
      <c r="C106" s="228"/>
      <c r="D106" s="228">
        <v>65043</v>
      </c>
      <c r="E106" s="184">
        <v>78616</v>
      </c>
      <c r="F106" s="184">
        <f>78616+4487+314-3590+2+180</f>
        <v>80009</v>
      </c>
      <c r="G106" s="184">
        <f>80008831+152781+80000+254635-137+707187+72390</f>
        <v>81275687</v>
      </c>
      <c r="H106" s="184">
        <f>81275687+100000</f>
        <v>81375687</v>
      </c>
      <c r="I106" s="184">
        <f>81275687+100000-28</f>
        <v>81375659</v>
      </c>
    </row>
    <row r="107" spans="1:9" ht="12" customHeight="1" x14ac:dyDescent="0.3">
      <c r="A107" s="12" t="s">
        <v>180</v>
      </c>
      <c r="B107" s="70" t="s">
        <v>358</v>
      </c>
      <c r="C107" s="228"/>
      <c r="D107" s="228"/>
      <c r="E107" s="184"/>
      <c r="F107" s="184"/>
      <c r="G107" s="184"/>
      <c r="H107" s="184"/>
      <c r="I107" s="184"/>
    </row>
    <row r="108" spans="1:9" ht="12" customHeight="1" x14ac:dyDescent="0.3">
      <c r="A108" s="12" t="s">
        <v>352</v>
      </c>
      <c r="B108" s="71" t="s">
        <v>359</v>
      </c>
      <c r="C108" s="228"/>
      <c r="D108" s="228"/>
      <c r="E108" s="184"/>
      <c r="F108" s="184"/>
      <c r="G108" s="184"/>
      <c r="H108" s="184"/>
      <c r="I108" s="184"/>
    </row>
    <row r="109" spans="1:9" ht="12" customHeight="1" x14ac:dyDescent="0.3">
      <c r="A109" s="11" t="s">
        <v>353</v>
      </c>
      <c r="B109" s="72" t="s">
        <v>360</v>
      </c>
      <c r="C109" s="228"/>
      <c r="D109" s="228"/>
      <c r="E109" s="184"/>
      <c r="F109" s="184"/>
      <c r="G109" s="184"/>
      <c r="H109" s="184"/>
      <c r="I109" s="184"/>
    </row>
    <row r="110" spans="1:9" ht="12" customHeight="1" x14ac:dyDescent="0.3">
      <c r="A110" s="12" t="s">
        <v>445</v>
      </c>
      <c r="B110" s="72" t="s">
        <v>361</v>
      </c>
      <c r="C110" s="228"/>
      <c r="D110" s="228"/>
      <c r="E110" s="184"/>
      <c r="F110" s="184"/>
      <c r="G110" s="184"/>
      <c r="H110" s="184"/>
      <c r="I110" s="184"/>
    </row>
    <row r="111" spans="1:9" ht="12" customHeight="1" x14ac:dyDescent="0.3">
      <c r="A111" s="14" t="s">
        <v>446</v>
      </c>
      <c r="B111" s="72" t="s">
        <v>362</v>
      </c>
      <c r="C111" s="228"/>
      <c r="D111" s="228">
        <v>35535</v>
      </c>
      <c r="E111" s="184">
        <v>31756</v>
      </c>
      <c r="F111" s="184">
        <f>31756+15+10-5516-650+75</f>
        <v>25690</v>
      </c>
      <c r="G111" s="184">
        <f>25690000+15721200</f>
        <v>41411200</v>
      </c>
      <c r="H111" s="184">
        <f>41411200+5600000</f>
        <v>47011200</v>
      </c>
      <c r="I111" s="184">
        <f>41411200+5600000-900000</f>
        <v>46111200</v>
      </c>
    </row>
    <row r="112" spans="1:9" ht="12" customHeight="1" x14ac:dyDescent="0.3">
      <c r="A112" s="12" t="s">
        <v>450</v>
      </c>
      <c r="B112" s="9" t="s">
        <v>47</v>
      </c>
      <c r="C112" s="226"/>
      <c r="D112" s="226"/>
      <c r="E112" s="182">
        <f>E113+E114</f>
        <v>25840</v>
      </c>
      <c r="F112" s="182">
        <f>F113+F114</f>
        <v>35039</v>
      </c>
      <c r="G112" s="182">
        <f>G113+G114</f>
        <v>32794648</v>
      </c>
      <c r="H112" s="182">
        <f>H113+H114</f>
        <v>38693954</v>
      </c>
      <c r="I112" s="182">
        <f>I113+I114</f>
        <v>57894234</v>
      </c>
    </row>
    <row r="113" spans="1:9" ht="12" customHeight="1" x14ac:dyDescent="0.3">
      <c r="A113" s="12" t="s">
        <v>451</v>
      </c>
      <c r="B113" s="6" t="s">
        <v>453</v>
      </c>
      <c r="C113" s="226"/>
      <c r="D113" s="226"/>
      <c r="E113" s="182">
        <f>25488+352</f>
        <v>25840</v>
      </c>
      <c r="F113" s="182">
        <f>25840+12878+586-4487-314+3590+477-1316+690+342-2701-281+75-15-10+321-270-179+82-75+2-180-16</f>
        <v>35039</v>
      </c>
      <c r="G113" s="182">
        <f>35037848+342000-914933-2814772+342000+12700000-2286000-718947-228600-1020+100000-50944+166000-108300-254635-14605-125673-4315355-813435-33020+9424-360+2186-707187-284480-2792676+2428907+220595-2050000-72390+33020</f>
        <v>32794648</v>
      </c>
      <c r="H113" s="182">
        <f>32794648+127000-100000-598170-89726-284925-3198+64140+482744+114000-5600000-495500-3307500-3150000+1373593+2812727-74627-1055000-400000+655828+16339920-150000-762000</f>
        <v>38693954</v>
      </c>
      <c r="I113" s="182">
        <f>32794648+127000-100000-598170-89726-284925-3198+64140+482744+114000-5600000-495500-3307500-3150000+1373593+2812727-74627-1055000-400000+655828+16339920-150000-762000+19200280</f>
        <v>57894234</v>
      </c>
    </row>
    <row r="114" spans="1:9" ht="12" customHeight="1" thickBot="1" x14ac:dyDescent="0.35">
      <c r="A114" s="16" t="s">
        <v>452</v>
      </c>
      <c r="B114" s="276" t="s">
        <v>454</v>
      </c>
      <c r="C114" s="282"/>
      <c r="D114" s="282"/>
      <c r="E114" s="188"/>
      <c r="F114" s="188"/>
      <c r="G114" s="188"/>
      <c r="H114" s="188"/>
      <c r="I114" s="188"/>
    </row>
    <row r="115" spans="1:9" ht="12" customHeight="1" thickBot="1" x14ac:dyDescent="0.35">
      <c r="A115" s="273" t="s">
        <v>17</v>
      </c>
      <c r="B115" s="274" t="s">
        <v>363</v>
      </c>
      <c r="C115" s="283">
        <f t="shared" ref="C115:H115" si="20">+C116+C118+C120</f>
        <v>133754</v>
      </c>
      <c r="D115" s="283">
        <f t="shared" si="20"/>
        <v>270000</v>
      </c>
      <c r="E115" s="275">
        <f t="shared" si="20"/>
        <v>86914</v>
      </c>
      <c r="F115" s="275">
        <f t="shared" si="20"/>
        <v>94559</v>
      </c>
      <c r="G115" s="275">
        <f t="shared" si="20"/>
        <v>98808872</v>
      </c>
      <c r="H115" s="275">
        <f t="shared" si="20"/>
        <v>102854372</v>
      </c>
      <c r="I115" s="275">
        <f>+I116+I118+I120</f>
        <v>147146156</v>
      </c>
    </row>
    <row r="116" spans="1:9" ht="12" customHeight="1" x14ac:dyDescent="0.3">
      <c r="A116" s="13" t="s">
        <v>102</v>
      </c>
      <c r="B116" s="6" t="s">
        <v>222</v>
      </c>
      <c r="C116" s="227">
        <v>108441</v>
      </c>
      <c r="D116" s="227">
        <v>265506</v>
      </c>
      <c r="E116" s="183">
        <f>64633+300+4700</f>
        <v>69633</v>
      </c>
      <c r="F116" s="183">
        <f>69633+1210+8522+270-1</f>
        <v>79634</v>
      </c>
      <c r="G116" s="183">
        <f>79634032+1435608+2814772+1</f>
        <v>83884413</v>
      </c>
      <c r="H116" s="183">
        <f>83884413+495500+3150000</f>
        <v>87529913</v>
      </c>
      <c r="I116" s="183">
        <f>83884413+495500+3150000+480000</f>
        <v>88009913</v>
      </c>
    </row>
    <row r="117" spans="1:9" x14ac:dyDescent="0.3">
      <c r="A117" s="13" t="s">
        <v>103</v>
      </c>
      <c r="B117" s="10" t="s">
        <v>367</v>
      </c>
      <c r="C117" s="227"/>
      <c r="D117" s="227"/>
      <c r="E117" s="183"/>
      <c r="F117" s="183"/>
      <c r="G117" s="183"/>
      <c r="H117" s="183"/>
      <c r="I117" s="183"/>
    </row>
    <row r="118" spans="1:9" ht="12" customHeight="1" x14ac:dyDescent="0.3">
      <c r="A118" s="13" t="s">
        <v>104</v>
      </c>
      <c r="B118" s="10" t="s">
        <v>181</v>
      </c>
      <c r="C118" s="226">
        <v>25313</v>
      </c>
      <c r="D118" s="226">
        <v>3278</v>
      </c>
      <c r="E118" s="182">
        <f>19881-5000</f>
        <v>14881</v>
      </c>
      <c r="F118" s="182">
        <f>19881-5000-8522</f>
        <v>6359</v>
      </c>
      <c r="G118" s="182">
        <v>6358626</v>
      </c>
      <c r="H118" s="182">
        <v>6358626</v>
      </c>
      <c r="I118" s="182">
        <f>6358626+43811784</f>
        <v>50170410</v>
      </c>
    </row>
    <row r="119" spans="1:9" ht="12" customHeight="1" x14ac:dyDescent="0.3">
      <c r="A119" s="13" t="s">
        <v>105</v>
      </c>
      <c r="B119" s="10" t="s">
        <v>368</v>
      </c>
      <c r="C119" s="226"/>
      <c r="D119" s="226"/>
      <c r="E119" s="172"/>
      <c r="F119" s="172"/>
      <c r="G119" s="172"/>
      <c r="H119" s="172"/>
      <c r="I119" s="172"/>
    </row>
    <row r="120" spans="1:9" ht="12" customHeight="1" x14ac:dyDescent="0.3">
      <c r="A120" s="13" t="s">
        <v>106</v>
      </c>
      <c r="B120" s="177" t="s">
        <v>225</v>
      </c>
      <c r="C120" s="226"/>
      <c r="D120" s="172">
        <f t="shared" ref="D120:I120" si="21">D121+D122+D123+D124+D125+D126+D127+D128</f>
        <v>1216</v>
      </c>
      <c r="E120" s="172">
        <f t="shared" si="21"/>
        <v>2400</v>
      </c>
      <c r="F120" s="172">
        <f t="shared" si="21"/>
        <v>8566</v>
      </c>
      <c r="G120" s="172">
        <f t="shared" si="21"/>
        <v>8565833</v>
      </c>
      <c r="H120" s="172">
        <f t="shared" si="21"/>
        <v>8965833</v>
      </c>
      <c r="I120" s="172">
        <f t="shared" si="21"/>
        <v>8965833</v>
      </c>
    </row>
    <row r="121" spans="1:9" ht="12" customHeight="1" x14ac:dyDescent="0.3">
      <c r="A121" s="13" t="s">
        <v>115</v>
      </c>
      <c r="B121" s="176" t="s">
        <v>432</v>
      </c>
      <c r="C121" s="226"/>
      <c r="D121" s="226"/>
      <c r="E121" s="172"/>
      <c r="F121" s="172"/>
      <c r="G121" s="172"/>
      <c r="H121" s="172"/>
      <c r="I121" s="172"/>
    </row>
    <row r="122" spans="1:9" ht="12" customHeight="1" x14ac:dyDescent="0.3">
      <c r="A122" s="13" t="s">
        <v>117</v>
      </c>
      <c r="B122" s="238" t="s">
        <v>373</v>
      </c>
      <c r="C122" s="226"/>
      <c r="D122" s="226"/>
      <c r="E122" s="172"/>
      <c r="F122" s="172"/>
      <c r="G122" s="172"/>
      <c r="H122" s="172"/>
      <c r="I122" s="172"/>
    </row>
    <row r="123" spans="1:9" ht="12" customHeight="1" x14ac:dyDescent="0.3">
      <c r="A123" s="13" t="s">
        <v>182</v>
      </c>
      <c r="B123" s="71" t="s">
        <v>356</v>
      </c>
      <c r="C123" s="226"/>
      <c r="D123" s="226"/>
      <c r="E123" s="172"/>
      <c r="F123" s="172"/>
      <c r="G123" s="172"/>
      <c r="H123" s="172"/>
      <c r="I123" s="172"/>
    </row>
    <row r="124" spans="1:9" ht="12" customHeight="1" x14ac:dyDescent="0.3">
      <c r="A124" s="13" t="s">
        <v>183</v>
      </c>
      <c r="B124" s="71" t="s">
        <v>372</v>
      </c>
      <c r="C124" s="226"/>
      <c r="D124" s="226"/>
      <c r="E124" s="172"/>
      <c r="F124" s="172"/>
      <c r="G124" s="172"/>
      <c r="H124" s="172"/>
      <c r="I124" s="172"/>
    </row>
    <row r="125" spans="1:9" ht="12" customHeight="1" x14ac:dyDescent="0.3">
      <c r="A125" s="13" t="s">
        <v>184</v>
      </c>
      <c r="B125" s="71" t="s">
        <v>371</v>
      </c>
      <c r="C125" s="226"/>
      <c r="D125" s="226"/>
      <c r="E125" s="172"/>
      <c r="F125" s="172"/>
      <c r="G125" s="172"/>
      <c r="H125" s="172"/>
      <c r="I125" s="172"/>
    </row>
    <row r="126" spans="1:9" ht="12" customHeight="1" x14ac:dyDescent="0.3">
      <c r="A126" s="13" t="s">
        <v>364</v>
      </c>
      <c r="B126" s="71" t="s">
        <v>359</v>
      </c>
      <c r="C126" s="226"/>
      <c r="D126" s="226"/>
      <c r="E126" s="172"/>
      <c r="F126" s="172"/>
      <c r="G126" s="172"/>
      <c r="H126" s="172"/>
      <c r="I126" s="172"/>
    </row>
    <row r="127" spans="1:9" ht="12" customHeight="1" x14ac:dyDescent="0.3">
      <c r="A127" s="13" t="s">
        <v>365</v>
      </c>
      <c r="B127" s="71" t="s">
        <v>370</v>
      </c>
      <c r="C127" s="226"/>
      <c r="D127" s="226"/>
      <c r="E127" s="172">
        <v>400</v>
      </c>
      <c r="F127" s="172">
        <v>400</v>
      </c>
      <c r="G127" s="172">
        <v>400000</v>
      </c>
      <c r="H127" s="172">
        <f>400000+400000</f>
        <v>800000</v>
      </c>
      <c r="I127" s="172">
        <f>400000+400000</f>
        <v>800000</v>
      </c>
    </row>
    <row r="128" spans="1:9" ht="12" customHeight="1" thickBot="1" x14ac:dyDescent="0.35">
      <c r="A128" s="11" t="s">
        <v>366</v>
      </c>
      <c r="B128" s="71" t="s">
        <v>369</v>
      </c>
      <c r="C128" s="228"/>
      <c r="D128" s="228">
        <v>1216</v>
      </c>
      <c r="E128" s="173">
        <v>2000</v>
      </c>
      <c r="F128" s="173">
        <f>2000+5516+650</f>
        <v>8166</v>
      </c>
      <c r="G128" s="173">
        <v>8165833</v>
      </c>
      <c r="H128" s="173">
        <v>8165833</v>
      </c>
      <c r="I128" s="173">
        <v>8165833</v>
      </c>
    </row>
    <row r="129" spans="1:9" ht="12" customHeight="1" thickBot="1" x14ac:dyDescent="0.35">
      <c r="A129" s="18" t="s">
        <v>18</v>
      </c>
      <c r="B129" s="63" t="s">
        <v>455</v>
      </c>
      <c r="C129" s="225">
        <f t="shared" ref="C129:H129" si="22">+C94+C115</f>
        <v>477560</v>
      </c>
      <c r="D129" s="225">
        <f t="shared" si="22"/>
        <v>677878</v>
      </c>
      <c r="E129" s="180">
        <f t="shared" si="22"/>
        <v>502396</v>
      </c>
      <c r="F129" s="180">
        <f t="shared" si="22"/>
        <v>525762</v>
      </c>
      <c r="G129" s="180">
        <f t="shared" si="22"/>
        <v>553240715</v>
      </c>
      <c r="H129" s="180">
        <f t="shared" si="22"/>
        <v>576072240</v>
      </c>
      <c r="I129" s="180">
        <f>+I94+I115</f>
        <v>643791776</v>
      </c>
    </row>
    <row r="130" spans="1:9" ht="12" customHeight="1" thickBot="1" x14ac:dyDescent="0.35">
      <c r="A130" s="18" t="s">
        <v>19</v>
      </c>
      <c r="B130" s="63" t="s">
        <v>456</v>
      </c>
      <c r="C130" s="225">
        <f t="shared" ref="C130:H130" si="23">+C131+C132+C133</f>
        <v>0</v>
      </c>
      <c r="D130" s="225">
        <f t="shared" si="23"/>
        <v>0</v>
      </c>
      <c r="E130" s="180">
        <f t="shared" si="23"/>
        <v>0</v>
      </c>
      <c r="F130" s="180">
        <f t="shared" si="23"/>
        <v>0</v>
      </c>
      <c r="G130" s="180">
        <f t="shared" si="23"/>
        <v>0</v>
      </c>
      <c r="H130" s="180">
        <f t="shared" si="23"/>
        <v>0</v>
      </c>
      <c r="I130" s="180">
        <f>+I131+I132+I133</f>
        <v>0</v>
      </c>
    </row>
    <row r="131" spans="1:9" ht="12" customHeight="1" x14ac:dyDescent="0.3">
      <c r="A131" s="13" t="s">
        <v>264</v>
      </c>
      <c r="B131" s="10" t="s">
        <v>463</v>
      </c>
      <c r="C131" s="226"/>
      <c r="D131" s="226"/>
      <c r="E131" s="172"/>
      <c r="F131" s="172"/>
      <c r="G131" s="172"/>
      <c r="H131" s="172"/>
      <c r="I131" s="172"/>
    </row>
    <row r="132" spans="1:9" ht="12" customHeight="1" x14ac:dyDescent="0.3">
      <c r="A132" s="13" t="s">
        <v>267</v>
      </c>
      <c r="B132" s="10" t="s">
        <v>464</v>
      </c>
      <c r="C132" s="226"/>
      <c r="D132" s="226"/>
      <c r="E132" s="172"/>
      <c r="F132" s="172"/>
      <c r="G132" s="172"/>
      <c r="H132" s="172"/>
      <c r="I132" s="172"/>
    </row>
    <row r="133" spans="1:9" ht="12" customHeight="1" thickBot="1" x14ac:dyDescent="0.35">
      <c r="A133" s="11" t="s">
        <v>268</v>
      </c>
      <c r="B133" s="10" t="s">
        <v>465</v>
      </c>
      <c r="C133" s="226"/>
      <c r="D133" s="226"/>
      <c r="E133" s="172"/>
      <c r="F133" s="172"/>
      <c r="G133" s="172"/>
      <c r="H133" s="172"/>
      <c r="I133" s="172"/>
    </row>
    <row r="134" spans="1:9" ht="12" customHeight="1" thickBot="1" x14ac:dyDescent="0.35">
      <c r="A134" s="18" t="s">
        <v>20</v>
      </c>
      <c r="B134" s="63" t="s">
        <v>457</v>
      </c>
      <c r="C134" s="225">
        <f t="shared" ref="C134:H134" si="24">SUM(C135:C140)</f>
        <v>0</v>
      </c>
      <c r="D134" s="225">
        <f t="shared" si="24"/>
        <v>0</v>
      </c>
      <c r="E134" s="180">
        <f t="shared" si="24"/>
        <v>0</v>
      </c>
      <c r="F134" s="180">
        <f t="shared" si="24"/>
        <v>0</v>
      </c>
      <c r="G134" s="180">
        <f t="shared" si="24"/>
        <v>0</v>
      </c>
      <c r="H134" s="180">
        <f t="shared" si="24"/>
        <v>0</v>
      </c>
      <c r="I134" s="180">
        <f>SUM(I135:I140)</f>
        <v>0</v>
      </c>
    </row>
    <row r="135" spans="1:9" ht="12" customHeight="1" x14ac:dyDescent="0.3">
      <c r="A135" s="13" t="s">
        <v>89</v>
      </c>
      <c r="B135" s="7" t="s">
        <v>466</v>
      </c>
      <c r="C135" s="226"/>
      <c r="D135" s="226"/>
      <c r="E135" s="172"/>
      <c r="F135" s="172"/>
      <c r="G135" s="172"/>
      <c r="H135" s="172"/>
      <c r="I135" s="172"/>
    </row>
    <row r="136" spans="1:9" ht="12" customHeight="1" x14ac:dyDescent="0.3">
      <c r="A136" s="13" t="s">
        <v>90</v>
      </c>
      <c r="B136" s="7" t="s">
        <v>458</v>
      </c>
      <c r="C136" s="226"/>
      <c r="D136" s="226"/>
      <c r="E136" s="172"/>
      <c r="F136" s="172"/>
      <c r="G136" s="172"/>
      <c r="H136" s="172"/>
      <c r="I136" s="172"/>
    </row>
    <row r="137" spans="1:9" ht="12" customHeight="1" x14ac:dyDescent="0.3">
      <c r="A137" s="13" t="s">
        <v>91</v>
      </c>
      <c r="B137" s="7" t="s">
        <v>459</v>
      </c>
      <c r="C137" s="226"/>
      <c r="D137" s="226"/>
      <c r="E137" s="172"/>
      <c r="F137" s="172"/>
      <c r="G137" s="172"/>
      <c r="H137" s="172"/>
      <c r="I137" s="172"/>
    </row>
    <row r="138" spans="1:9" ht="12" customHeight="1" x14ac:dyDescent="0.3">
      <c r="A138" s="13" t="s">
        <v>169</v>
      </c>
      <c r="B138" s="7" t="s">
        <v>460</v>
      </c>
      <c r="C138" s="226"/>
      <c r="D138" s="226"/>
      <c r="E138" s="172"/>
      <c r="F138" s="172"/>
      <c r="G138" s="172"/>
      <c r="H138" s="172"/>
      <c r="I138" s="172"/>
    </row>
    <row r="139" spans="1:9" ht="12" customHeight="1" x14ac:dyDescent="0.3">
      <c r="A139" s="13" t="s">
        <v>170</v>
      </c>
      <c r="B139" s="7" t="s">
        <v>461</v>
      </c>
      <c r="C139" s="226"/>
      <c r="D139" s="226"/>
      <c r="E139" s="172"/>
      <c r="F139" s="172"/>
      <c r="G139" s="172"/>
      <c r="H139" s="172"/>
      <c r="I139" s="172"/>
    </row>
    <row r="140" spans="1:9" ht="12" customHeight="1" thickBot="1" x14ac:dyDescent="0.35">
      <c r="A140" s="11" t="s">
        <v>171</v>
      </c>
      <c r="B140" s="7" t="s">
        <v>462</v>
      </c>
      <c r="C140" s="226"/>
      <c r="D140" s="226"/>
      <c r="E140" s="172"/>
      <c r="F140" s="172"/>
      <c r="G140" s="172"/>
      <c r="H140" s="172"/>
      <c r="I140" s="172"/>
    </row>
    <row r="141" spans="1:9" ht="12" customHeight="1" thickBot="1" x14ac:dyDescent="0.35">
      <c r="A141" s="18" t="s">
        <v>21</v>
      </c>
      <c r="B141" s="63" t="s">
        <v>470</v>
      </c>
      <c r="C141" s="230">
        <f t="shared" ref="C141:H141" si="25">+C142+C143+C144+C145</f>
        <v>0</v>
      </c>
      <c r="D141" s="230">
        <f t="shared" si="25"/>
        <v>37464</v>
      </c>
      <c r="E141" s="186">
        <f t="shared" si="25"/>
        <v>8111</v>
      </c>
      <c r="F141" s="186">
        <f t="shared" si="25"/>
        <v>8111</v>
      </c>
      <c r="G141" s="186">
        <f t="shared" si="25"/>
        <v>8111444</v>
      </c>
      <c r="H141" s="186">
        <f t="shared" si="25"/>
        <v>8111444</v>
      </c>
      <c r="I141" s="186">
        <f>+I142+I143+I144+I145</f>
        <v>8111444</v>
      </c>
    </row>
    <row r="142" spans="1:9" ht="12" customHeight="1" x14ac:dyDescent="0.3">
      <c r="A142" s="13" t="s">
        <v>92</v>
      </c>
      <c r="B142" s="7" t="s">
        <v>374</v>
      </c>
      <c r="C142" s="226"/>
      <c r="D142" s="226"/>
      <c r="E142" s="172"/>
      <c r="F142" s="172"/>
      <c r="G142" s="172"/>
      <c r="H142" s="172"/>
      <c r="I142" s="172"/>
    </row>
    <row r="143" spans="1:9" ht="12" customHeight="1" x14ac:dyDescent="0.3">
      <c r="A143" s="13" t="s">
        <v>93</v>
      </c>
      <c r="B143" s="7" t="s">
        <v>375</v>
      </c>
      <c r="C143" s="226"/>
      <c r="D143" s="226">
        <v>7464</v>
      </c>
      <c r="E143" s="172">
        <v>8111</v>
      </c>
      <c r="F143" s="172">
        <v>8111</v>
      </c>
      <c r="G143" s="172">
        <v>8111444</v>
      </c>
      <c r="H143" s="172">
        <v>8111444</v>
      </c>
      <c r="I143" s="172">
        <v>8111444</v>
      </c>
    </row>
    <row r="144" spans="1:9" ht="12" customHeight="1" x14ac:dyDescent="0.3">
      <c r="A144" s="13" t="s">
        <v>288</v>
      </c>
      <c r="B144" s="7" t="s">
        <v>471</v>
      </c>
      <c r="C144" s="226"/>
      <c r="D144" s="226">
        <v>30000</v>
      </c>
      <c r="E144" s="172"/>
      <c r="F144" s="172"/>
      <c r="G144" s="172"/>
      <c r="H144" s="172"/>
      <c r="I144" s="172"/>
    </row>
    <row r="145" spans="1:9" ht="12" customHeight="1" thickBot="1" x14ac:dyDescent="0.35">
      <c r="A145" s="11" t="s">
        <v>289</v>
      </c>
      <c r="B145" s="5" t="s">
        <v>394</v>
      </c>
      <c r="C145" s="226"/>
      <c r="D145" s="226"/>
      <c r="E145" s="172"/>
      <c r="F145" s="172"/>
      <c r="G145" s="172"/>
      <c r="H145" s="172"/>
      <c r="I145" s="172"/>
    </row>
    <row r="146" spans="1:9" ht="12" customHeight="1" thickBot="1" x14ac:dyDescent="0.35">
      <c r="A146" s="18" t="s">
        <v>22</v>
      </c>
      <c r="B146" s="63" t="s">
        <v>472</v>
      </c>
      <c r="C146" s="284">
        <f t="shared" ref="C146:H146" si="26">SUM(C147:C151)</f>
        <v>0</v>
      </c>
      <c r="D146" s="284">
        <f t="shared" si="26"/>
        <v>0</v>
      </c>
      <c r="E146" s="189">
        <f t="shared" si="26"/>
        <v>0</v>
      </c>
      <c r="F146" s="189">
        <f t="shared" si="26"/>
        <v>0</v>
      </c>
      <c r="G146" s="189">
        <f t="shared" si="26"/>
        <v>0</v>
      </c>
      <c r="H146" s="189">
        <f t="shared" si="26"/>
        <v>0</v>
      </c>
      <c r="I146" s="189">
        <f>SUM(I147:I151)</f>
        <v>0</v>
      </c>
    </row>
    <row r="147" spans="1:9" ht="12" customHeight="1" x14ac:dyDescent="0.3">
      <c r="A147" s="13" t="s">
        <v>94</v>
      </c>
      <c r="B147" s="7" t="s">
        <v>467</v>
      </c>
      <c r="C147" s="226"/>
      <c r="D147" s="226"/>
      <c r="E147" s="172"/>
      <c r="F147" s="172"/>
      <c r="G147" s="172"/>
      <c r="H147" s="172"/>
      <c r="I147" s="172"/>
    </row>
    <row r="148" spans="1:9" ht="12" customHeight="1" x14ac:dyDescent="0.3">
      <c r="A148" s="13" t="s">
        <v>95</v>
      </c>
      <c r="B148" s="7" t="s">
        <v>474</v>
      </c>
      <c r="C148" s="226"/>
      <c r="D148" s="226"/>
      <c r="E148" s="172"/>
      <c r="F148" s="172"/>
      <c r="G148" s="172"/>
      <c r="H148" s="172"/>
      <c r="I148" s="172"/>
    </row>
    <row r="149" spans="1:9" ht="12" customHeight="1" x14ac:dyDescent="0.3">
      <c r="A149" s="13" t="s">
        <v>300</v>
      </c>
      <c r="B149" s="7" t="s">
        <v>469</v>
      </c>
      <c r="C149" s="226"/>
      <c r="D149" s="226"/>
      <c r="E149" s="172"/>
      <c r="F149" s="172"/>
      <c r="G149" s="172"/>
      <c r="H149" s="172"/>
      <c r="I149" s="172"/>
    </row>
    <row r="150" spans="1:9" ht="12" customHeight="1" x14ac:dyDescent="0.3">
      <c r="A150" s="13" t="s">
        <v>301</v>
      </c>
      <c r="B150" s="7" t="s">
        <v>475</v>
      </c>
      <c r="C150" s="226"/>
      <c r="D150" s="226"/>
      <c r="E150" s="172"/>
      <c r="F150" s="172"/>
      <c r="G150" s="172"/>
      <c r="H150" s="172"/>
      <c r="I150" s="172"/>
    </row>
    <row r="151" spans="1:9" ht="12" customHeight="1" thickBot="1" x14ac:dyDescent="0.35">
      <c r="A151" s="13" t="s">
        <v>473</v>
      </c>
      <c r="B151" s="7" t="s">
        <v>476</v>
      </c>
      <c r="C151" s="226"/>
      <c r="D151" s="226"/>
      <c r="E151" s="172"/>
      <c r="F151" s="172"/>
      <c r="G151" s="172"/>
      <c r="H151" s="172"/>
      <c r="I151" s="172"/>
    </row>
    <row r="152" spans="1:9" ht="12" customHeight="1" thickBot="1" x14ac:dyDescent="0.35">
      <c r="A152" s="18" t="s">
        <v>23</v>
      </c>
      <c r="B152" s="63" t="s">
        <v>477</v>
      </c>
      <c r="C152" s="285"/>
      <c r="D152" s="285"/>
      <c r="E152" s="277"/>
      <c r="F152" s="277"/>
      <c r="G152" s="277"/>
      <c r="H152" s="277"/>
      <c r="I152" s="277"/>
    </row>
    <row r="153" spans="1:9" ht="12" customHeight="1" thickBot="1" x14ac:dyDescent="0.35">
      <c r="A153" s="18" t="s">
        <v>24</v>
      </c>
      <c r="B153" s="63" t="s">
        <v>592</v>
      </c>
      <c r="C153" s="285">
        <v>120224</v>
      </c>
      <c r="D153" s="285">
        <v>116331</v>
      </c>
      <c r="E153" s="277">
        <v>152892</v>
      </c>
      <c r="F153" s="277">
        <f>152892-461</f>
        <v>152431</v>
      </c>
      <c r="G153" s="277">
        <f>152431000+8763+89154+14605+125673+4315355-52-2428907</f>
        <v>154555591</v>
      </c>
      <c r="H153" s="277">
        <f>152431000+8763+89154+14605+125673+4315355-52-2428907</f>
        <v>154555591</v>
      </c>
      <c r="I153" s="277">
        <f>152431000+8763+89154+14605+125673+4315355-52-2428907-48289</f>
        <v>154507302</v>
      </c>
    </row>
    <row r="154" spans="1:9" ht="15" customHeight="1" thickBot="1" x14ac:dyDescent="0.35">
      <c r="A154" s="18" t="s">
        <v>25</v>
      </c>
      <c r="B154" s="63" t="s">
        <v>480</v>
      </c>
      <c r="C154" s="286">
        <f t="shared" ref="C154:I154" si="27">+C130+C134+C141+C146+C152+C153</f>
        <v>120224</v>
      </c>
      <c r="D154" s="286">
        <f t="shared" si="27"/>
        <v>153795</v>
      </c>
      <c r="E154" s="250">
        <f t="shared" si="27"/>
        <v>161003</v>
      </c>
      <c r="F154" s="250">
        <f t="shared" si="27"/>
        <v>160542</v>
      </c>
      <c r="G154" s="250">
        <f t="shared" si="27"/>
        <v>162667035</v>
      </c>
      <c r="H154" s="250">
        <f t="shared" si="27"/>
        <v>162667035</v>
      </c>
      <c r="I154" s="250">
        <f t="shared" si="27"/>
        <v>162618746</v>
      </c>
    </row>
    <row r="155" spans="1:9" ht="15" customHeight="1" thickBot="1" x14ac:dyDescent="0.35">
      <c r="A155" s="273" t="s">
        <v>26</v>
      </c>
      <c r="B155" s="295" t="s">
        <v>568</v>
      </c>
      <c r="C155" s="286"/>
      <c r="D155" s="286"/>
      <c r="E155" s="250"/>
      <c r="F155" s="250"/>
      <c r="G155" s="250"/>
      <c r="H155" s="250"/>
      <c r="I155" s="250"/>
    </row>
    <row r="156" spans="1:9" s="1" customFormat="1" ht="12.9" customHeight="1" thickBot="1" x14ac:dyDescent="0.3">
      <c r="A156" s="178" t="s">
        <v>27</v>
      </c>
      <c r="B156" s="213" t="s">
        <v>479</v>
      </c>
      <c r="C156" s="286">
        <f t="shared" ref="C156:I156" si="28">+C129+C154+C155</f>
        <v>597784</v>
      </c>
      <c r="D156" s="286">
        <f t="shared" si="28"/>
        <v>831673</v>
      </c>
      <c r="E156" s="286">
        <f t="shared" si="28"/>
        <v>663399</v>
      </c>
      <c r="F156" s="286">
        <f t="shared" si="28"/>
        <v>686304</v>
      </c>
      <c r="G156" s="286">
        <f t="shared" si="28"/>
        <v>715907750</v>
      </c>
      <c r="H156" s="286">
        <f t="shared" si="28"/>
        <v>738739275</v>
      </c>
      <c r="I156" s="286">
        <f t="shared" si="28"/>
        <v>806410522</v>
      </c>
    </row>
    <row r="157" spans="1:9" x14ac:dyDescent="0.3">
      <c r="C157" s="216"/>
    </row>
    <row r="158" spans="1:9" x14ac:dyDescent="0.3">
      <c r="C158" s="216"/>
    </row>
    <row r="159" spans="1:9" x14ac:dyDescent="0.3">
      <c r="C159" s="216"/>
    </row>
    <row r="160" spans="1:9" ht="16.5" customHeight="1" x14ac:dyDescent="0.3">
      <c r="C160" s="216"/>
    </row>
    <row r="161" spans="3:3" x14ac:dyDescent="0.3">
      <c r="C161" s="216"/>
    </row>
    <row r="162" spans="3:3" x14ac:dyDescent="0.3">
      <c r="C162" s="216"/>
    </row>
    <row r="163" spans="3:3" x14ac:dyDescent="0.3">
      <c r="C163" s="216"/>
    </row>
    <row r="164" spans="3:3" x14ac:dyDescent="0.3">
      <c r="C164" s="216"/>
    </row>
    <row r="165" spans="3:3" x14ac:dyDescent="0.3">
      <c r="C165" s="216"/>
    </row>
    <row r="166" spans="3:3" x14ac:dyDescent="0.3">
      <c r="C166" s="216"/>
    </row>
    <row r="167" spans="3:3" x14ac:dyDescent="0.3">
      <c r="C167" s="216"/>
    </row>
    <row r="168" spans="3:3" x14ac:dyDescent="0.3">
      <c r="C168" s="216"/>
    </row>
    <row r="169" spans="3:3" x14ac:dyDescent="0.3">
      <c r="C169" s="216"/>
    </row>
  </sheetData>
  <mergeCells count="4">
    <mergeCell ref="A1:E1"/>
    <mergeCell ref="A90:E90"/>
    <mergeCell ref="A91:B91"/>
    <mergeCell ref="A2:B2"/>
  </mergeCells>
  <phoneticPr fontId="2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Width="3" fitToHeight="2" orientation="landscape" r:id="rId1"/>
  <headerFooter alignWithMargins="0">
    <oddHeader>&amp;C&amp;"Times New Roman CE,Félkövér"&amp;12&amp;UTájékoztató kimutatások, mérlegek&amp;U
Vonyarcvashegy Nagyközség Önkormányzata
2016. ÉVI KÖLTSÉGVETÉSÉNEK MÉRLEGE&amp;R&amp;"Times New Roman CE,Félkövér dőlt"&amp;11 1. számú tájékoztató tábla</oddHeader>
    <oddFooter>&amp;P. oldal, összesen: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I18"/>
  <sheetViews>
    <sheetView zoomScaleNormal="100" workbookViewId="0">
      <selection activeCell="L7" sqref="L7"/>
    </sheetView>
  </sheetViews>
  <sheetFormatPr defaultColWidth="9.33203125" defaultRowHeight="13.2" x14ac:dyDescent="0.25"/>
  <cols>
    <col min="1" max="1" width="6.77734375" style="576" customWidth="1"/>
    <col min="2" max="2" width="49.6640625" style="575" customWidth="1"/>
    <col min="3" max="8" width="12.77734375" style="575" customWidth="1"/>
    <col min="9" max="9" width="14.33203125" style="575" customWidth="1"/>
    <col min="10" max="16384" width="9.33203125" style="575"/>
  </cols>
  <sheetData>
    <row r="1" spans="1:9" ht="27.75" customHeight="1" x14ac:dyDescent="0.25">
      <c r="A1" s="722" t="s">
        <v>4</v>
      </c>
      <c r="B1" s="722"/>
      <c r="C1" s="722"/>
      <c r="D1" s="722"/>
      <c r="E1" s="722"/>
      <c r="F1" s="722"/>
      <c r="G1" s="722"/>
      <c r="H1" s="722"/>
      <c r="I1" s="722"/>
    </row>
    <row r="2" spans="1:9" ht="20.25" customHeight="1" thickBot="1" x14ac:dyDescent="0.35">
      <c r="I2" s="364" t="s">
        <v>606</v>
      </c>
    </row>
    <row r="3" spans="1:9" s="365" customFormat="1" ht="26.25" customHeight="1" x14ac:dyDescent="0.25">
      <c r="A3" s="677" t="s">
        <v>67</v>
      </c>
      <c r="B3" s="725" t="s">
        <v>83</v>
      </c>
      <c r="C3" s="677" t="s">
        <v>84</v>
      </c>
      <c r="D3" s="677" t="e">
        <f>+CONCATENATE(LEFT(#REF!,4)," előtti kifizetés")</f>
        <v>#REF!</v>
      </c>
      <c r="E3" s="727" t="s">
        <v>66</v>
      </c>
      <c r="F3" s="728"/>
      <c r="G3" s="728"/>
      <c r="H3" s="729"/>
      <c r="I3" s="725" t="s">
        <v>48</v>
      </c>
    </row>
    <row r="4" spans="1:9" s="368" customFormat="1" ht="32.25" customHeight="1" thickBot="1" x14ac:dyDescent="0.3">
      <c r="A4" s="678"/>
      <c r="B4" s="726"/>
      <c r="C4" s="726"/>
      <c r="D4" s="678"/>
      <c r="E4" s="366" t="e">
        <f>+CONCATENATE(LEFT(#REF!,4),".")</f>
        <v>#REF!</v>
      </c>
      <c r="F4" s="366" t="e">
        <f>+CONCATENATE(LEFT(#REF!,4)+1,".")</f>
        <v>#REF!</v>
      </c>
      <c r="G4" s="366" t="e">
        <f>+CONCATENATE(LEFT(#REF!,4)+2,".")</f>
        <v>#REF!</v>
      </c>
      <c r="H4" s="367" t="e">
        <f>+CONCATENATE(LEFT(#REF!,4)+2,".",CHAR(10)," után")</f>
        <v>#REF!</v>
      </c>
      <c r="I4" s="726"/>
    </row>
    <row r="5" spans="1:9" s="372" customFormat="1" ht="12.9" customHeight="1" thickBot="1" x14ac:dyDescent="0.3">
      <c r="A5" s="369" t="s">
        <v>494</v>
      </c>
      <c r="B5" s="193" t="s">
        <v>495</v>
      </c>
      <c r="C5" s="370" t="s">
        <v>496</v>
      </c>
      <c r="D5" s="193" t="s">
        <v>498</v>
      </c>
      <c r="E5" s="369" t="s">
        <v>497</v>
      </c>
      <c r="F5" s="370" t="s">
        <v>499</v>
      </c>
      <c r="G5" s="370" t="s">
        <v>501</v>
      </c>
      <c r="H5" s="195" t="s">
        <v>502</v>
      </c>
      <c r="I5" s="371" t="s">
        <v>503</v>
      </c>
    </row>
    <row r="6" spans="1:9" ht="24.75" customHeight="1" thickBot="1" x14ac:dyDescent="0.3">
      <c r="A6" s="194" t="s">
        <v>16</v>
      </c>
      <c r="B6" s="174" t="s">
        <v>5</v>
      </c>
      <c r="C6" s="373"/>
      <c r="D6" s="374">
        <f>+D7+D8</f>
        <v>0</v>
      </c>
      <c r="E6" s="375">
        <f>+E7+E8</f>
        <v>0</v>
      </c>
      <c r="F6" s="376">
        <f>+F7+F8</f>
        <v>0</v>
      </c>
      <c r="G6" s="376">
        <f>+G7+G8</f>
        <v>0</v>
      </c>
      <c r="H6" s="377">
        <f>+H7+H8</f>
        <v>0</v>
      </c>
      <c r="I6" s="374">
        <f t="shared" ref="I6:I17" si="0">SUM(D6:H6)</f>
        <v>0</v>
      </c>
    </row>
    <row r="7" spans="1:9" ht="20.100000000000001" customHeight="1" x14ac:dyDescent="0.25">
      <c r="A7" s="378" t="s">
        <v>17</v>
      </c>
      <c r="B7" s="379" t="s">
        <v>68</v>
      </c>
      <c r="C7" s="577"/>
      <c r="D7" s="380"/>
      <c r="E7" s="381"/>
      <c r="F7" s="382"/>
      <c r="G7" s="382"/>
      <c r="H7" s="383"/>
      <c r="I7" s="384">
        <f t="shared" si="0"/>
        <v>0</v>
      </c>
    </row>
    <row r="8" spans="1:9" ht="20.100000000000001" customHeight="1" thickBot="1" x14ac:dyDescent="0.3">
      <c r="A8" s="378" t="s">
        <v>18</v>
      </c>
      <c r="B8" s="379" t="s">
        <v>68</v>
      </c>
      <c r="C8" s="577"/>
      <c r="D8" s="380"/>
      <c r="E8" s="381"/>
      <c r="F8" s="382"/>
      <c r="G8" s="382"/>
      <c r="H8" s="383"/>
      <c r="I8" s="384">
        <f t="shared" si="0"/>
        <v>0</v>
      </c>
    </row>
    <row r="9" spans="1:9" ht="26.1" customHeight="1" thickBot="1" x14ac:dyDescent="0.3">
      <c r="A9" s="194" t="s">
        <v>19</v>
      </c>
      <c r="B9" s="174" t="s">
        <v>6</v>
      </c>
      <c r="C9" s="578"/>
      <c r="D9" s="374">
        <f>+D10+D11</f>
        <v>0</v>
      </c>
      <c r="E9" s="375">
        <f>+E10+E11</f>
        <v>0</v>
      </c>
      <c r="F9" s="376">
        <f>+F10+F11</f>
        <v>0</v>
      </c>
      <c r="G9" s="376">
        <f>+G10+G11</f>
        <v>0</v>
      </c>
      <c r="H9" s="377">
        <f>+H10+H11</f>
        <v>0</v>
      </c>
      <c r="I9" s="374">
        <f t="shared" si="0"/>
        <v>0</v>
      </c>
    </row>
    <row r="10" spans="1:9" ht="20.100000000000001" customHeight="1" x14ac:dyDescent="0.25">
      <c r="A10" s="378" t="s">
        <v>20</v>
      </c>
      <c r="B10" s="379" t="s">
        <v>68</v>
      </c>
      <c r="C10" s="577"/>
      <c r="D10" s="380"/>
      <c r="E10" s="381"/>
      <c r="F10" s="382"/>
      <c r="G10" s="382"/>
      <c r="H10" s="383"/>
      <c r="I10" s="384">
        <f t="shared" si="0"/>
        <v>0</v>
      </c>
    </row>
    <row r="11" spans="1:9" ht="20.100000000000001" customHeight="1" thickBot="1" x14ac:dyDescent="0.3">
      <c r="A11" s="378" t="s">
        <v>21</v>
      </c>
      <c r="B11" s="379" t="s">
        <v>68</v>
      </c>
      <c r="C11" s="577"/>
      <c r="D11" s="380"/>
      <c r="E11" s="381"/>
      <c r="F11" s="382"/>
      <c r="G11" s="382"/>
      <c r="H11" s="383"/>
      <c r="I11" s="384">
        <f t="shared" si="0"/>
        <v>0</v>
      </c>
    </row>
    <row r="12" spans="1:9" ht="20.100000000000001" customHeight="1" thickBot="1" x14ac:dyDescent="0.3">
      <c r="A12" s="194" t="s">
        <v>22</v>
      </c>
      <c r="B12" s="174" t="s">
        <v>200</v>
      </c>
      <c r="C12" s="578"/>
      <c r="D12" s="374">
        <f>+D13</f>
        <v>0</v>
      </c>
      <c r="E12" s="375">
        <f>+E13</f>
        <v>0</v>
      </c>
      <c r="F12" s="376">
        <f>+F13</f>
        <v>0</v>
      </c>
      <c r="G12" s="376">
        <f>+G13</f>
        <v>0</v>
      </c>
      <c r="H12" s="377">
        <f>+H13</f>
        <v>0</v>
      </c>
      <c r="I12" s="374">
        <f t="shared" si="0"/>
        <v>0</v>
      </c>
    </row>
    <row r="13" spans="1:9" ht="20.100000000000001" customHeight="1" thickBot="1" x14ac:dyDescent="0.3">
      <c r="A13" s="378" t="s">
        <v>23</v>
      </c>
      <c r="B13" s="379" t="s">
        <v>68</v>
      </c>
      <c r="C13" s="577"/>
      <c r="D13" s="380"/>
      <c r="E13" s="381"/>
      <c r="F13" s="382"/>
      <c r="G13" s="382"/>
      <c r="H13" s="383"/>
      <c r="I13" s="384">
        <f t="shared" si="0"/>
        <v>0</v>
      </c>
    </row>
    <row r="14" spans="1:9" ht="20.100000000000001" customHeight="1" thickBot="1" x14ac:dyDescent="0.3">
      <c r="A14" s="194" t="s">
        <v>24</v>
      </c>
      <c r="B14" s="174" t="s">
        <v>201</v>
      </c>
      <c r="C14" s="578"/>
      <c r="D14" s="374">
        <f>+D15</f>
        <v>0</v>
      </c>
      <c r="E14" s="375">
        <f>+E15</f>
        <v>0</v>
      </c>
      <c r="F14" s="376">
        <f>+F15</f>
        <v>0</v>
      </c>
      <c r="G14" s="376">
        <f>+G15</f>
        <v>0</v>
      </c>
      <c r="H14" s="377">
        <f>+H15</f>
        <v>0</v>
      </c>
      <c r="I14" s="374">
        <f t="shared" si="0"/>
        <v>0</v>
      </c>
    </row>
    <row r="15" spans="1:9" ht="20.100000000000001" customHeight="1" thickBot="1" x14ac:dyDescent="0.3">
      <c r="A15" s="385" t="s">
        <v>25</v>
      </c>
      <c r="B15" s="386" t="s">
        <v>68</v>
      </c>
      <c r="C15" s="579"/>
      <c r="D15" s="387"/>
      <c r="E15" s="388"/>
      <c r="F15" s="389"/>
      <c r="G15" s="389"/>
      <c r="H15" s="390"/>
      <c r="I15" s="391">
        <f t="shared" si="0"/>
        <v>0</v>
      </c>
    </row>
    <row r="16" spans="1:9" ht="20.100000000000001" customHeight="1" thickBot="1" x14ac:dyDescent="0.3">
      <c r="A16" s="194" t="s">
        <v>26</v>
      </c>
      <c r="B16" s="174" t="s">
        <v>202</v>
      </c>
      <c r="C16" s="578"/>
      <c r="D16" s="374">
        <f>+D17</f>
        <v>0</v>
      </c>
      <c r="E16" s="375">
        <f>+E17</f>
        <v>0</v>
      </c>
      <c r="F16" s="376">
        <f>+F17</f>
        <v>0</v>
      </c>
      <c r="G16" s="376">
        <f>+G17</f>
        <v>0</v>
      </c>
      <c r="H16" s="377">
        <f>+H17</f>
        <v>0</v>
      </c>
      <c r="I16" s="374">
        <f t="shared" si="0"/>
        <v>0</v>
      </c>
    </row>
    <row r="17" spans="1:9" ht="20.100000000000001" customHeight="1" thickBot="1" x14ac:dyDescent="0.3">
      <c r="A17" s="392" t="s">
        <v>27</v>
      </c>
      <c r="B17" s="393" t="s">
        <v>68</v>
      </c>
      <c r="C17" s="580"/>
      <c r="D17" s="394"/>
      <c r="E17" s="395"/>
      <c r="F17" s="396"/>
      <c r="G17" s="396"/>
      <c r="H17" s="397"/>
      <c r="I17" s="398">
        <f t="shared" si="0"/>
        <v>0</v>
      </c>
    </row>
    <row r="18" spans="1:9" ht="20.100000000000001" customHeight="1" thickBot="1" x14ac:dyDescent="0.3">
      <c r="A18" s="723" t="s">
        <v>141</v>
      </c>
      <c r="B18" s="724"/>
      <c r="C18" s="581"/>
      <c r="D18" s="374">
        <f t="shared" ref="D18:I18" si="1">+D6+D9+D12+D14+D16</f>
        <v>0</v>
      </c>
      <c r="E18" s="375">
        <f t="shared" si="1"/>
        <v>0</v>
      </c>
      <c r="F18" s="376">
        <f t="shared" si="1"/>
        <v>0</v>
      </c>
      <c r="G18" s="376">
        <f t="shared" si="1"/>
        <v>0</v>
      </c>
      <c r="H18" s="377">
        <f t="shared" si="1"/>
        <v>0</v>
      </c>
      <c r="I18" s="374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&amp;CVonyarcvashegy Nagyközség Önkormányzata
&amp;R 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G154"/>
  <sheetViews>
    <sheetView zoomScaleNormal="100" zoomScaleSheetLayoutView="100" workbookViewId="0">
      <selection activeCell="G15" sqref="G15"/>
    </sheetView>
  </sheetViews>
  <sheetFormatPr defaultColWidth="9.33203125" defaultRowHeight="13.2" x14ac:dyDescent="0.25"/>
  <cols>
    <col min="1" max="1" width="7.109375" style="221" bestFit="1" customWidth="1"/>
    <col min="2" max="2" width="67.109375" style="222" bestFit="1" customWidth="1"/>
    <col min="3" max="7" width="21.33203125" style="223" bestFit="1" customWidth="1"/>
    <col min="8" max="16384" width="9.33203125" style="363"/>
  </cols>
  <sheetData>
    <row r="1" spans="1:7" s="214" customFormat="1" ht="15.6" x14ac:dyDescent="0.3">
      <c r="A1" s="672" t="s">
        <v>600</v>
      </c>
      <c r="B1" s="672"/>
    </row>
    <row r="2" spans="1:7" s="214" customFormat="1" ht="16.2" thickBot="1" x14ac:dyDescent="0.35">
      <c r="A2" s="675" t="s">
        <v>147</v>
      </c>
      <c r="B2" s="675"/>
      <c r="C2" s="520" t="s">
        <v>606</v>
      </c>
      <c r="D2" s="520" t="s">
        <v>606</v>
      </c>
      <c r="E2" s="520" t="s">
        <v>615</v>
      </c>
      <c r="F2" s="520" t="s">
        <v>615</v>
      </c>
      <c r="G2" s="520" t="s">
        <v>615</v>
      </c>
    </row>
    <row r="3" spans="1:7" s="214" customFormat="1" ht="23.4" thickBot="1" x14ac:dyDescent="0.35">
      <c r="A3" s="21" t="s">
        <v>67</v>
      </c>
      <c r="B3" s="22" t="s">
        <v>15</v>
      </c>
      <c r="C3" s="30" t="s">
        <v>638</v>
      </c>
      <c r="D3" s="30" t="s">
        <v>681</v>
      </c>
      <c r="E3" s="30" t="s">
        <v>699</v>
      </c>
      <c r="F3" s="30" t="s">
        <v>710</v>
      </c>
      <c r="G3" s="30" t="s">
        <v>723</v>
      </c>
    </row>
    <row r="4" spans="1:7" s="239" customFormat="1" ht="10.8" thickBot="1" x14ac:dyDescent="0.25">
      <c r="A4" s="234" t="s">
        <v>494</v>
      </c>
      <c r="B4" s="235" t="s">
        <v>495</v>
      </c>
      <c r="C4" s="236" t="s">
        <v>496</v>
      </c>
      <c r="D4" s="236" t="s">
        <v>496</v>
      </c>
      <c r="E4" s="236" t="s">
        <v>496</v>
      </c>
      <c r="F4" s="236" t="s">
        <v>496</v>
      </c>
      <c r="G4" s="236" t="s">
        <v>496</v>
      </c>
    </row>
    <row r="5" spans="1:7" s="240" customFormat="1" ht="13.8" thickBot="1" x14ac:dyDescent="0.3">
      <c r="A5" s="18" t="s">
        <v>16</v>
      </c>
      <c r="B5" s="19" t="s">
        <v>248</v>
      </c>
      <c r="C5" s="180">
        <f>+C6+C7+C8+C9+C10+C11</f>
        <v>0</v>
      </c>
      <c r="D5" s="180">
        <f>+D6+D7+D8+D9+D10+D11</f>
        <v>0</v>
      </c>
      <c r="E5" s="180">
        <f>+E6+E7+E8+E9+E10+E11</f>
        <v>0</v>
      </c>
      <c r="F5" s="180">
        <f>+F6+F7+F8+F9+F10+F11</f>
        <v>0</v>
      </c>
      <c r="G5" s="180">
        <f>+G6+G7+G8+G9+G10+G11</f>
        <v>0</v>
      </c>
    </row>
    <row r="6" spans="1:7" s="240" customFormat="1" x14ac:dyDescent="0.25">
      <c r="A6" s="13" t="s">
        <v>96</v>
      </c>
      <c r="B6" s="241" t="s">
        <v>249</v>
      </c>
      <c r="C6" s="183"/>
      <c r="D6" s="183"/>
      <c r="E6" s="183"/>
      <c r="F6" s="183"/>
      <c r="G6" s="183"/>
    </row>
    <row r="7" spans="1:7" s="240" customFormat="1" x14ac:dyDescent="0.25">
      <c r="A7" s="12" t="s">
        <v>97</v>
      </c>
      <c r="B7" s="242" t="s">
        <v>250</v>
      </c>
      <c r="C7" s="182"/>
      <c r="D7" s="182"/>
      <c r="E7" s="182"/>
      <c r="F7" s="182"/>
      <c r="G7" s="182"/>
    </row>
    <row r="8" spans="1:7" s="240" customFormat="1" x14ac:dyDescent="0.25">
      <c r="A8" s="12" t="s">
        <v>98</v>
      </c>
      <c r="B8" s="242" t="s">
        <v>251</v>
      </c>
      <c r="C8" s="182"/>
      <c r="D8" s="182"/>
      <c r="E8" s="182"/>
      <c r="F8" s="182"/>
      <c r="G8" s="182"/>
    </row>
    <row r="9" spans="1:7" s="240" customFormat="1" x14ac:dyDescent="0.25">
      <c r="A9" s="12" t="s">
        <v>99</v>
      </c>
      <c r="B9" s="242" t="s">
        <v>252</v>
      </c>
      <c r="C9" s="182"/>
      <c r="D9" s="182"/>
      <c r="E9" s="182"/>
      <c r="F9" s="182"/>
      <c r="G9" s="182"/>
    </row>
    <row r="10" spans="1:7" s="240" customFormat="1" x14ac:dyDescent="0.25">
      <c r="A10" s="12" t="s">
        <v>144</v>
      </c>
      <c r="B10" s="176" t="s">
        <v>436</v>
      </c>
      <c r="C10" s="182"/>
      <c r="D10" s="182"/>
      <c r="E10" s="182"/>
      <c r="F10" s="182"/>
      <c r="G10" s="182"/>
    </row>
    <row r="11" spans="1:7" s="240" customFormat="1" ht="13.8" thickBot="1" x14ac:dyDescent="0.3">
      <c r="A11" s="14" t="s">
        <v>100</v>
      </c>
      <c r="B11" s="177" t="s">
        <v>437</v>
      </c>
      <c r="C11" s="182"/>
      <c r="D11" s="182"/>
      <c r="E11" s="182"/>
      <c r="F11" s="182"/>
      <c r="G11" s="182"/>
    </row>
    <row r="12" spans="1:7" s="240" customFormat="1" ht="13.8" thickBot="1" x14ac:dyDescent="0.3">
      <c r="A12" s="18" t="s">
        <v>17</v>
      </c>
      <c r="B12" s="175" t="s">
        <v>253</v>
      </c>
      <c r="C12" s="180">
        <f>+C13+C14+C15+C16+C17</f>
        <v>1246</v>
      </c>
      <c r="D12" s="180">
        <f>+D13+D14+D15+D16+D17</f>
        <v>1246</v>
      </c>
      <c r="E12" s="180">
        <f>+E13+E14+E15+E16+E17</f>
        <v>1245840</v>
      </c>
      <c r="F12" s="180">
        <f>+F13+F14+F15+F16+F17</f>
        <v>1728584</v>
      </c>
      <c r="G12" s="180">
        <f>+G13+G14+G15+G16+G17</f>
        <v>1728584</v>
      </c>
    </row>
    <row r="13" spans="1:7" s="240" customFormat="1" x14ac:dyDescent="0.25">
      <c r="A13" s="13" t="s">
        <v>102</v>
      </c>
      <c r="B13" s="241" t="s">
        <v>254</v>
      </c>
      <c r="C13" s="183"/>
      <c r="D13" s="183"/>
      <c r="E13" s="183"/>
      <c r="F13" s="183"/>
      <c r="G13" s="183"/>
    </row>
    <row r="14" spans="1:7" s="240" customFormat="1" x14ac:dyDescent="0.25">
      <c r="A14" s="12" t="s">
        <v>103</v>
      </c>
      <c r="B14" s="242" t="s">
        <v>255</v>
      </c>
      <c r="C14" s="182"/>
      <c r="D14" s="182"/>
      <c r="E14" s="182"/>
      <c r="F14" s="182"/>
      <c r="G14" s="182"/>
    </row>
    <row r="15" spans="1:7" s="240" customFormat="1" x14ac:dyDescent="0.25">
      <c r="A15" s="12" t="s">
        <v>104</v>
      </c>
      <c r="B15" s="242" t="s">
        <v>426</v>
      </c>
      <c r="C15" s="182"/>
      <c r="D15" s="182"/>
      <c r="E15" s="182"/>
      <c r="F15" s="182"/>
      <c r="G15" s="182"/>
    </row>
    <row r="16" spans="1:7" s="240" customFormat="1" x14ac:dyDescent="0.25">
      <c r="A16" s="12" t="s">
        <v>105</v>
      </c>
      <c r="B16" s="242" t="s">
        <v>427</v>
      </c>
      <c r="C16" s="182"/>
      <c r="D16" s="182"/>
      <c r="E16" s="182"/>
      <c r="F16" s="182"/>
      <c r="G16" s="182"/>
    </row>
    <row r="17" spans="1:7" s="240" customFormat="1" x14ac:dyDescent="0.25">
      <c r="A17" s="12" t="s">
        <v>106</v>
      </c>
      <c r="B17" s="242" t="s">
        <v>256</v>
      </c>
      <c r="C17" s="182">
        <v>1246</v>
      </c>
      <c r="D17" s="182">
        <v>1246</v>
      </c>
      <c r="E17" s="182">
        <f>835200+410640</f>
        <v>1245840</v>
      </c>
      <c r="F17" s="182">
        <f>1728584</f>
        <v>1728584</v>
      </c>
      <c r="G17" s="182">
        <f>835200+410640+482744</f>
        <v>1728584</v>
      </c>
    </row>
    <row r="18" spans="1:7" s="240" customFormat="1" ht="13.8" thickBot="1" x14ac:dyDescent="0.3">
      <c r="A18" s="14" t="s">
        <v>115</v>
      </c>
      <c r="B18" s="177" t="s">
        <v>257</v>
      </c>
      <c r="C18" s="184"/>
      <c r="D18" s="184"/>
      <c r="E18" s="184"/>
      <c r="F18" s="184"/>
      <c r="G18" s="184"/>
    </row>
    <row r="19" spans="1:7" s="240" customFormat="1" ht="13.8" thickBot="1" x14ac:dyDescent="0.3">
      <c r="A19" s="18" t="s">
        <v>18</v>
      </c>
      <c r="B19" s="19" t="s">
        <v>258</v>
      </c>
      <c r="C19" s="180">
        <f>+C20+C21+C22+C23+C24</f>
        <v>0</v>
      </c>
      <c r="D19" s="180">
        <f>+D20+D21+D22+D23+D24</f>
        <v>0</v>
      </c>
      <c r="E19" s="180">
        <f>+E20+E21+E22+E23+E24</f>
        <v>0</v>
      </c>
      <c r="F19" s="180">
        <f>+F20+F21+F22+F23+F24</f>
        <v>0</v>
      </c>
      <c r="G19" s="180">
        <f>+G20+G21+G22+G23+G24</f>
        <v>0</v>
      </c>
    </row>
    <row r="20" spans="1:7" s="240" customFormat="1" x14ac:dyDescent="0.25">
      <c r="A20" s="13" t="s">
        <v>85</v>
      </c>
      <c r="B20" s="241" t="s">
        <v>259</v>
      </c>
      <c r="C20" s="183"/>
      <c r="D20" s="183"/>
      <c r="E20" s="183"/>
      <c r="F20" s="183"/>
      <c r="G20" s="183"/>
    </row>
    <row r="21" spans="1:7" s="240" customFormat="1" x14ac:dyDescent="0.25">
      <c r="A21" s="12" t="s">
        <v>86</v>
      </c>
      <c r="B21" s="242" t="s">
        <v>260</v>
      </c>
      <c r="C21" s="182"/>
      <c r="D21" s="182"/>
      <c r="E21" s="182"/>
      <c r="F21" s="182"/>
      <c r="G21" s="182"/>
    </row>
    <row r="22" spans="1:7" s="240" customFormat="1" x14ac:dyDescent="0.25">
      <c r="A22" s="12" t="s">
        <v>87</v>
      </c>
      <c r="B22" s="242" t="s">
        <v>428</v>
      </c>
      <c r="C22" s="182"/>
      <c r="D22" s="182"/>
      <c r="E22" s="182"/>
      <c r="F22" s="182"/>
      <c r="G22" s="182"/>
    </row>
    <row r="23" spans="1:7" s="240" customFormat="1" x14ac:dyDescent="0.25">
      <c r="A23" s="12" t="s">
        <v>88</v>
      </c>
      <c r="B23" s="242" t="s">
        <v>429</v>
      </c>
      <c r="C23" s="182"/>
      <c r="D23" s="182"/>
      <c r="E23" s="182"/>
      <c r="F23" s="182"/>
      <c r="G23" s="182"/>
    </row>
    <row r="24" spans="1:7" s="240" customFormat="1" x14ac:dyDescent="0.25">
      <c r="A24" s="12" t="s">
        <v>165</v>
      </c>
      <c r="B24" s="242" t="s">
        <v>261</v>
      </c>
      <c r="C24" s="182"/>
      <c r="D24" s="182"/>
      <c r="E24" s="182"/>
      <c r="F24" s="182"/>
      <c r="G24" s="182"/>
    </row>
    <row r="25" spans="1:7" s="240" customFormat="1" ht="13.8" thickBot="1" x14ac:dyDescent="0.3">
      <c r="A25" s="14" t="s">
        <v>166</v>
      </c>
      <c r="B25" s="243" t="s">
        <v>262</v>
      </c>
      <c r="C25" s="184"/>
      <c r="D25" s="184"/>
      <c r="E25" s="184"/>
      <c r="F25" s="184"/>
      <c r="G25" s="184"/>
    </row>
    <row r="26" spans="1:7" s="240" customFormat="1" ht="13.8" thickBot="1" x14ac:dyDescent="0.3">
      <c r="A26" s="18" t="s">
        <v>167</v>
      </c>
      <c r="B26" s="19" t="s">
        <v>263</v>
      </c>
      <c r="C26" s="186">
        <f>+C27+C31+C32+C33</f>
        <v>87856</v>
      </c>
      <c r="D26" s="186">
        <f>+D27+D31+D32+D33</f>
        <v>97072</v>
      </c>
      <c r="E26" s="186">
        <f>+E27+E31+E32+E33</f>
        <v>86042816</v>
      </c>
      <c r="F26" s="186">
        <f>+F27+F31+F32+F33</f>
        <v>89632458</v>
      </c>
      <c r="G26" s="186">
        <f>+G27+G31+G32+G33</f>
        <v>106668155</v>
      </c>
    </row>
    <row r="27" spans="1:7" s="240" customFormat="1" x14ac:dyDescent="0.25">
      <c r="A27" s="13" t="s">
        <v>264</v>
      </c>
      <c r="B27" s="241" t="s">
        <v>443</v>
      </c>
      <c r="C27" s="237">
        <f>82504+5000+352</f>
        <v>87856</v>
      </c>
      <c r="D27" s="237">
        <f>97268-196</f>
        <v>97072</v>
      </c>
      <c r="E27" s="237">
        <f>97072000-342000-914933-2814772-342000-718947-228600-1020-108300-254635-813435-3087633-27000000-717759-707187-284480+2428907-2050000-72390</f>
        <v>59042816</v>
      </c>
      <c r="F27" s="237">
        <v>60147458</v>
      </c>
      <c r="G27" s="237">
        <f>59042816-100000-598170-89726-284925-3198+64140+114000-495500-3307500-3150000+1373593+2812727-74627+655828+4950000-762000+3812000+480000-7899583+19200280</f>
        <v>75740155</v>
      </c>
    </row>
    <row r="28" spans="1:7" s="240" customFormat="1" x14ac:dyDescent="0.25">
      <c r="A28" s="12" t="s">
        <v>265</v>
      </c>
      <c r="B28" s="242" t="s">
        <v>270</v>
      </c>
      <c r="C28" s="182"/>
      <c r="D28" s="182"/>
      <c r="E28" s="182"/>
      <c r="F28" s="182"/>
      <c r="G28" s="182"/>
    </row>
    <row r="29" spans="1:7" s="240" customFormat="1" x14ac:dyDescent="0.25">
      <c r="A29" s="12" t="s">
        <v>266</v>
      </c>
      <c r="B29" s="242" t="s">
        <v>271</v>
      </c>
      <c r="C29" s="182"/>
      <c r="D29" s="182"/>
      <c r="E29" s="182"/>
      <c r="F29" s="182"/>
      <c r="G29" s="182"/>
    </row>
    <row r="30" spans="1:7" s="240" customFormat="1" x14ac:dyDescent="0.25">
      <c r="A30" s="12" t="s">
        <v>441</v>
      </c>
      <c r="B30" s="271" t="s">
        <v>442</v>
      </c>
      <c r="C30" s="182"/>
      <c r="D30" s="182"/>
      <c r="E30" s="182"/>
      <c r="F30" s="182"/>
      <c r="G30" s="182"/>
    </row>
    <row r="31" spans="1:7" s="240" customFormat="1" x14ac:dyDescent="0.25">
      <c r="A31" s="12" t="s">
        <v>267</v>
      </c>
      <c r="B31" s="242" t="s">
        <v>272</v>
      </c>
      <c r="C31" s="182"/>
      <c r="D31" s="182"/>
      <c r="E31" s="182"/>
      <c r="F31" s="182">
        <v>910000</v>
      </c>
      <c r="G31" s="182">
        <f>910000+126000</f>
        <v>1036000</v>
      </c>
    </row>
    <row r="32" spans="1:7" s="240" customFormat="1" x14ac:dyDescent="0.25">
      <c r="A32" s="12" t="s">
        <v>268</v>
      </c>
      <c r="B32" s="242" t="s">
        <v>273</v>
      </c>
      <c r="C32" s="182"/>
      <c r="D32" s="182"/>
      <c r="E32" s="182">
        <v>27000000</v>
      </c>
      <c r="F32" s="182">
        <v>28460000</v>
      </c>
      <c r="G32" s="182">
        <f>27000000+1460000+1317000</f>
        <v>29777000</v>
      </c>
    </row>
    <row r="33" spans="1:7" s="240" customFormat="1" ht="13.8" thickBot="1" x14ac:dyDescent="0.3">
      <c r="A33" s="14" t="s">
        <v>269</v>
      </c>
      <c r="B33" s="243" t="s">
        <v>274</v>
      </c>
      <c r="C33" s="184"/>
      <c r="D33" s="184"/>
      <c r="E33" s="184"/>
      <c r="F33" s="184">
        <v>115000</v>
      </c>
      <c r="G33" s="184">
        <v>115000</v>
      </c>
    </row>
    <row r="34" spans="1:7" s="240" customFormat="1" ht="13.8" thickBot="1" x14ac:dyDescent="0.3">
      <c r="A34" s="18" t="s">
        <v>20</v>
      </c>
      <c r="B34" s="19" t="s">
        <v>438</v>
      </c>
      <c r="C34" s="180">
        <f>SUM(C35:C45)</f>
        <v>98328</v>
      </c>
      <c r="D34" s="180">
        <f>SUM(D35:D45)</f>
        <v>100646</v>
      </c>
      <c r="E34" s="180">
        <f>SUM(E35:E45)</f>
        <v>113512482</v>
      </c>
      <c r="F34" s="180">
        <f>SUM(F35:F45)</f>
        <v>123342002</v>
      </c>
      <c r="G34" s="180">
        <f>SUM(G35:G45)</f>
        <v>125506585</v>
      </c>
    </row>
    <row r="35" spans="1:7" s="240" customFormat="1" x14ac:dyDescent="0.25">
      <c r="A35" s="13" t="s">
        <v>89</v>
      </c>
      <c r="B35" s="241" t="s">
        <v>277</v>
      </c>
      <c r="C35" s="183"/>
      <c r="D35" s="183"/>
      <c r="E35" s="183"/>
      <c r="F35" s="183"/>
      <c r="G35" s="183">
        <v>72900</v>
      </c>
    </row>
    <row r="36" spans="1:7" s="240" customFormat="1" x14ac:dyDescent="0.25">
      <c r="A36" s="12" t="s">
        <v>90</v>
      </c>
      <c r="B36" s="242" t="s">
        <v>278</v>
      </c>
      <c r="C36" s="182">
        <v>76644</v>
      </c>
      <c r="D36" s="182">
        <v>76644</v>
      </c>
      <c r="E36" s="182">
        <f>76644340+10000000+130708</f>
        <v>86775048</v>
      </c>
      <c r="F36" s="182">
        <v>94134576</v>
      </c>
      <c r="G36" s="182">
        <f>86775048+100000+360000+299528+6600000+1197000</f>
        <v>95331576</v>
      </c>
    </row>
    <row r="37" spans="1:7" s="240" customFormat="1" x14ac:dyDescent="0.25">
      <c r="A37" s="12" t="s">
        <v>91</v>
      </c>
      <c r="B37" s="242" t="s">
        <v>279</v>
      </c>
      <c r="C37" s="182">
        <v>1200</v>
      </c>
      <c r="D37" s="182">
        <f>1200+1800</f>
        <v>3000</v>
      </c>
      <c r="E37" s="182">
        <f>3000000</f>
        <v>3000000</v>
      </c>
      <c r="F37" s="182">
        <v>3470000</v>
      </c>
      <c r="G37" s="182">
        <f>3000000+470000+200000</f>
        <v>3670000</v>
      </c>
    </row>
    <row r="38" spans="1:7" s="240" customFormat="1" x14ac:dyDescent="0.25">
      <c r="A38" s="12" t="s">
        <v>169</v>
      </c>
      <c r="B38" s="242" t="s">
        <v>280</v>
      </c>
      <c r="C38" s="182"/>
      <c r="D38" s="182"/>
      <c r="E38" s="182"/>
      <c r="F38" s="182"/>
      <c r="G38" s="182"/>
    </row>
    <row r="39" spans="1:7" s="240" customFormat="1" x14ac:dyDescent="0.25">
      <c r="A39" s="12" t="s">
        <v>170</v>
      </c>
      <c r="B39" s="242" t="s">
        <v>281</v>
      </c>
      <c r="C39" s="182"/>
      <c r="D39" s="182"/>
      <c r="E39" s="182"/>
      <c r="F39" s="182"/>
      <c r="G39" s="182"/>
    </row>
    <row r="40" spans="1:7" s="240" customFormat="1" x14ac:dyDescent="0.25">
      <c r="A40" s="12" t="s">
        <v>171</v>
      </c>
      <c r="B40" s="242" t="s">
        <v>282</v>
      </c>
      <c r="C40" s="182">
        <v>20434</v>
      </c>
      <c r="D40" s="182">
        <v>20920</v>
      </c>
      <c r="E40" s="182">
        <f>20920502+2700000+35292-360</f>
        <v>23655434</v>
      </c>
      <c r="F40" s="182">
        <v>25620506</v>
      </c>
      <c r="G40" s="182">
        <f>23655434+27000+97200+80872+1760000+19683+675000</f>
        <v>26315189</v>
      </c>
    </row>
    <row r="41" spans="1:7" s="240" customFormat="1" x14ac:dyDescent="0.25">
      <c r="A41" s="12" t="s">
        <v>172</v>
      </c>
      <c r="B41" s="242" t="s">
        <v>283</v>
      </c>
      <c r="C41" s="182"/>
      <c r="D41" s="182"/>
      <c r="E41" s="182"/>
      <c r="F41" s="182"/>
      <c r="G41" s="182"/>
    </row>
    <row r="42" spans="1:7" s="240" customFormat="1" x14ac:dyDescent="0.25">
      <c r="A42" s="12" t="s">
        <v>173</v>
      </c>
      <c r="B42" s="242" t="s">
        <v>284</v>
      </c>
      <c r="C42" s="182">
        <v>50</v>
      </c>
      <c r="D42" s="182">
        <v>50</v>
      </c>
      <c r="E42" s="182">
        <v>50000</v>
      </c>
      <c r="F42" s="182">
        <v>50000</v>
      </c>
      <c r="G42" s="182">
        <f>50000</f>
        <v>50000</v>
      </c>
    </row>
    <row r="43" spans="1:7" s="240" customFormat="1" x14ac:dyDescent="0.25">
      <c r="A43" s="12" t="s">
        <v>275</v>
      </c>
      <c r="B43" s="242" t="s">
        <v>285</v>
      </c>
      <c r="C43" s="185"/>
      <c r="D43" s="185"/>
      <c r="E43" s="185"/>
      <c r="F43" s="185"/>
      <c r="G43" s="185"/>
    </row>
    <row r="44" spans="1:7" s="240" customFormat="1" x14ac:dyDescent="0.25">
      <c r="A44" s="14" t="s">
        <v>276</v>
      </c>
      <c r="B44" s="243" t="s">
        <v>440</v>
      </c>
      <c r="C44" s="229"/>
      <c r="D44" s="229"/>
      <c r="E44" s="229"/>
      <c r="F44" s="229"/>
      <c r="G44" s="229"/>
    </row>
    <row r="45" spans="1:7" s="240" customFormat="1" ht="13.8" thickBot="1" x14ac:dyDescent="0.3">
      <c r="A45" s="14" t="s">
        <v>439</v>
      </c>
      <c r="B45" s="177" t="s">
        <v>286</v>
      </c>
      <c r="C45" s="229"/>
      <c r="D45" s="229">
        <v>32</v>
      </c>
      <c r="E45" s="229">
        <v>32000</v>
      </c>
      <c r="F45" s="229">
        <v>66920</v>
      </c>
      <c r="G45" s="229">
        <f>32000+34920</f>
        <v>66920</v>
      </c>
    </row>
    <row r="46" spans="1:7" s="240" customFormat="1" ht="13.8" thickBot="1" x14ac:dyDescent="0.3">
      <c r="A46" s="18" t="s">
        <v>21</v>
      </c>
      <c r="B46" s="19" t="s">
        <v>287</v>
      </c>
      <c r="C46" s="180">
        <f>SUM(C47:C51)</f>
        <v>336</v>
      </c>
      <c r="D46" s="180">
        <f>SUM(D47:D51)</f>
        <v>336</v>
      </c>
      <c r="E46" s="180">
        <f>SUM(E47:E51)</f>
        <v>336000</v>
      </c>
      <c r="F46" s="180">
        <f>SUM(F47:F51)</f>
        <v>336000</v>
      </c>
      <c r="G46" s="180">
        <f>SUM(G47:G51)</f>
        <v>336000</v>
      </c>
    </row>
    <row r="47" spans="1:7" s="240" customFormat="1" x14ac:dyDescent="0.25">
      <c r="A47" s="13" t="s">
        <v>92</v>
      </c>
      <c r="B47" s="241" t="s">
        <v>291</v>
      </c>
      <c r="C47" s="266"/>
      <c r="D47" s="266"/>
      <c r="E47" s="266"/>
      <c r="F47" s="266"/>
      <c r="G47" s="266"/>
    </row>
    <row r="48" spans="1:7" s="240" customFormat="1" x14ac:dyDescent="0.25">
      <c r="A48" s="12" t="s">
        <v>93</v>
      </c>
      <c r="B48" s="242" t="s">
        <v>292</v>
      </c>
      <c r="C48" s="185">
        <v>336</v>
      </c>
      <c r="D48" s="185">
        <v>336</v>
      </c>
      <c r="E48" s="185">
        <v>336000</v>
      </c>
      <c r="F48" s="185">
        <v>336000</v>
      </c>
      <c r="G48" s="185">
        <v>336000</v>
      </c>
    </row>
    <row r="49" spans="1:7" s="240" customFormat="1" x14ac:dyDescent="0.25">
      <c r="A49" s="12" t="s">
        <v>288</v>
      </c>
      <c r="B49" s="242" t="s">
        <v>293</v>
      </c>
      <c r="C49" s="185"/>
      <c r="D49" s="185"/>
      <c r="E49" s="185"/>
      <c r="F49" s="185"/>
      <c r="G49" s="185"/>
    </row>
    <row r="50" spans="1:7" s="240" customFormat="1" x14ac:dyDescent="0.25">
      <c r="A50" s="12" t="s">
        <v>289</v>
      </c>
      <c r="B50" s="242" t="s">
        <v>294</v>
      </c>
      <c r="C50" s="185"/>
      <c r="D50" s="185"/>
      <c r="E50" s="185"/>
      <c r="F50" s="185"/>
      <c r="G50" s="185"/>
    </row>
    <row r="51" spans="1:7" s="240" customFormat="1" ht="13.8" thickBot="1" x14ac:dyDescent="0.3">
      <c r="A51" s="14" t="s">
        <v>290</v>
      </c>
      <c r="B51" s="177" t="s">
        <v>295</v>
      </c>
      <c r="C51" s="229"/>
      <c r="D51" s="229"/>
      <c r="E51" s="229"/>
      <c r="F51" s="229"/>
      <c r="G51" s="229"/>
    </row>
    <row r="52" spans="1:7" s="240" customFormat="1" ht="13.8" thickBot="1" x14ac:dyDescent="0.3">
      <c r="A52" s="18" t="s">
        <v>174</v>
      </c>
      <c r="B52" s="19" t="s">
        <v>296</v>
      </c>
      <c r="C52" s="180">
        <f>SUM(C53:C55)</f>
        <v>61</v>
      </c>
      <c r="D52" s="180">
        <f>SUM(D53:D55)</f>
        <v>50</v>
      </c>
      <c r="E52" s="180">
        <f>SUM(E53:E55)</f>
        <v>150000</v>
      </c>
      <c r="F52" s="180">
        <f>SUM(F53:F55)</f>
        <v>150000</v>
      </c>
      <c r="G52" s="180">
        <f>SUM(G53:G55)</f>
        <v>150000</v>
      </c>
    </row>
    <row r="53" spans="1:7" s="240" customFormat="1" x14ac:dyDescent="0.25">
      <c r="A53" s="13" t="s">
        <v>94</v>
      </c>
      <c r="B53" s="241" t="s">
        <v>297</v>
      </c>
      <c r="C53" s="183"/>
      <c r="D53" s="183"/>
      <c r="E53" s="183"/>
      <c r="F53" s="183"/>
      <c r="G53" s="183"/>
    </row>
    <row r="54" spans="1:7" s="240" customFormat="1" x14ac:dyDescent="0.25">
      <c r="A54" s="12" t="s">
        <v>95</v>
      </c>
      <c r="B54" s="242" t="s">
        <v>430</v>
      </c>
      <c r="C54" s="182">
        <v>61</v>
      </c>
      <c r="D54" s="182"/>
      <c r="E54" s="182"/>
      <c r="F54" s="182"/>
      <c r="G54" s="182"/>
    </row>
    <row r="55" spans="1:7" s="240" customFormat="1" x14ac:dyDescent="0.25">
      <c r="A55" s="12" t="s">
        <v>300</v>
      </c>
      <c r="B55" s="242" t="s">
        <v>298</v>
      </c>
      <c r="C55" s="182"/>
      <c r="D55" s="182">
        <v>50</v>
      </c>
      <c r="E55" s="182">
        <f>50000+100000</f>
        <v>150000</v>
      </c>
      <c r="F55" s="182">
        <f>50000+100000</f>
        <v>150000</v>
      </c>
      <c r="G55" s="182">
        <f>50000+100000</f>
        <v>150000</v>
      </c>
    </row>
    <row r="56" spans="1:7" s="240" customFormat="1" ht="13.8" thickBot="1" x14ac:dyDescent="0.3">
      <c r="A56" s="14" t="s">
        <v>301</v>
      </c>
      <c r="B56" s="177" t="s">
        <v>299</v>
      </c>
      <c r="C56" s="184"/>
      <c r="D56" s="184"/>
      <c r="E56" s="184"/>
      <c r="F56" s="184"/>
      <c r="G56" s="184"/>
    </row>
    <row r="57" spans="1:7" s="240" customFormat="1" ht="13.8" thickBot="1" x14ac:dyDescent="0.3">
      <c r="A57" s="18" t="s">
        <v>23</v>
      </c>
      <c r="B57" s="175" t="s">
        <v>302</v>
      </c>
      <c r="C57" s="180">
        <f>SUM(C58:C60)</f>
        <v>0</v>
      </c>
      <c r="D57" s="180">
        <f>SUM(D58:D60)</f>
        <v>61</v>
      </c>
      <c r="E57" s="180">
        <f>SUM(E58:E60)</f>
        <v>70000</v>
      </c>
      <c r="F57" s="180">
        <f>SUM(F58:F60)</f>
        <v>110000</v>
      </c>
      <c r="G57" s="180">
        <f>SUM(G58:G60)</f>
        <v>110000</v>
      </c>
    </row>
    <row r="58" spans="1:7" s="240" customFormat="1" x14ac:dyDescent="0.25">
      <c r="A58" s="13" t="s">
        <v>175</v>
      </c>
      <c r="B58" s="241" t="s">
        <v>304</v>
      </c>
      <c r="C58" s="185"/>
      <c r="D58" s="185"/>
      <c r="E58" s="185"/>
      <c r="F58" s="185"/>
      <c r="G58" s="185"/>
    </row>
    <row r="59" spans="1:7" s="240" customFormat="1" x14ac:dyDescent="0.25">
      <c r="A59" s="12" t="s">
        <v>176</v>
      </c>
      <c r="B59" s="242" t="s">
        <v>431</v>
      </c>
      <c r="C59" s="185"/>
      <c r="D59" s="185">
        <v>61</v>
      </c>
      <c r="E59" s="185">
        <f>60576+9424</f>
        <v>70000</v>
      </c>
      <c r="F59" s="185">
        <v>110000</v>
      </c>
      <c r="G59" s="185">
        <f>70000+40000</f>
        <v>110000</v>
      </c>
    </row>
    <row r="60" spans="1:7" s="240" customFormat="1" x14ac:dyDescent="0.25">
      <c r="A60" s="12" t="s">
        <v>224</v>
      </c>
      <c r="B60" s="242" t="s">
        <v>305</v>
      </c>
      <c r="C60" s="185"/>
      <c r="D60" s="185"/>
      <c r="E60" s="185"/>
      <c r="F60" s="185"/>
      <c r="G60" s="185"/>
    </row>
    <row r="61" spans="1:7" s="240" customFormat="1" ht="13.8" thickBot="1" x14ac:dyDescent="0.3">
      <c r="A61" s="14" t="s">
        <v>303</v>
      </c>
      <c r="B61" s="177" t="s">
        <v>306</v>
      </c>
      <c r="C61" s="185"/>
      <c r="D61" s="185"/>
      <c r="E61" s="185"/>
      <c r="F61" s="185"/>
      <c r="G61" s="185"/>
    </row>
    <row r="62" spans="1:7" s="240" customFormat="1" ht="13.8" thickBot="1" x14ac:dyDescent="0.3">
      <c r="A62" s="278" t="s">
        <v>483</v>
      </c>
      <c r="B62" s="19" t="s">
        <v>307</v>
      </c>
      <c r="C62" s="186">
        <f>+C5+C12+C19+C26+C34+C46+C52+C57</f>
        <v>187827</v>
      </c>
      <c r="D62" s="186">
        <f>+D5+D12+D19+D26+D34+D46+D52+D57</f>
        <v>199411</v>
      </c>
      <c r="E62" s="186">
        <f>+E5+E12+E19+E26+E34+E46+E52+E57</f>
        <v>201357138</v>
      </c>
      <c r="F62" s="186">
        <f>+F5+F12+F19+F26+F34+F46+F52+F57</f>
        <v>215299044</v>
      </c>
      <c r="G62" s="186">
        <f>+G5+G12+G19+G26+G34+G46+G52+G57</f>
        <v>234499324</v>
      </c>
    </row>
    <row r="63" spans="1:7" s="240" customFormat="1" ht="13.8" thickBot="1" x14ac:dyDescent="0.3">
      <c r="A63" s="268" t="s">
        <v>308</v>
      </c>
      <c r="B63" s="175" t="s">
        <v>309</v>
      </c>
      <c r="C63" s="180">
        <f>SUM(C64:C66)</f>
        <v>0</v>
      </c>
      <c r="D63" s="180">
        <f>SUM(D64:D66)</f>
        <v>0</v>
      </c>
      <c r="E63" s="180">
        <f>SUM(E64:E66)</f>
        <v>0</v>
      </c>
      <c r="F63" s="180">
        <f>SUM(F64:F66)</f>
        <v>0</v>
      </c>
      <c r="G63" s="180">
        <f>SUM(G64:G66)</f>
        <v>0</v>
      </c>
    </row>
    <row r="64" spans="1:7" s="240" customFormat="1" x14ac:dyDescent="0.25">
      <c r="A64" s="13" t="s">
        <v>340</v>
      </c>
      <c r="B64" s="241" t="s">
        <v>310</v>
      </c>
      <c r="C64" s="185"/>
      <c r="D64" s="185"/>
      <c r="E64" s="185"/>
      <c r="F64" s="185"/>
      <c r="G64" s="185"/>
    </row>
    <row r="65" spans="1:7" s="240" customFormat="1" x14ac:dyDescent="0.25">
      <c r="A65" s="12" t="s">
        <v>349</v>
      </c>
      <c r="B65" s="242" t="s">
        <v>311</v>
      </c>
      <c r="C65" s="185"/>
      <c r="D65" s="185"/>
      <c r="E65" s="185"/>
      <c r="F65" s="185"/>
      <c r="G65" s="185"/>
    </row>
    <row r="66" spans="1:7" s="240" customFormat="1" ht="13.8" thickBot="1" x14ac:dyDescent="0.3">
      <c r="A66" s="14" t="s">
        <v>350</v>
      </c>
      <c r="B66" s="272" t="s">
        <v>468</v>
      </c>
      <c r="C66" s="185"/>
      <c r="D66" s="185"/>
      <c r="E66" s="185"/>
      <c r="F66" s="185"/>
      <c r="G66" s="185"/>
    </row>
    <row r="67" spans="1:7" s="240" customFormat="1" ht="13.8" thickBot="1" x14ac:dyDescent="0.3">
      <c r="A67" s="268" t="s">
        <v>313</v>
      </c>
      <c r="B67" s="175" t="s">
        <v>314</v>
      </c>
      <c r="C67" s="180">
        <f>SUM(C68:C71)</f>
        <v>0</v>
      </c>
      <c r="D67" s="180">
        <f>SUM(D68:D71)</f>
        <v>0</v>
      </c>
      <c r="E67" s="180">
        <f>SUM(E68:E71)</f>
        <v>0</v>
      </c>
      <c r="F67" s="180">
        <f>SUM(F68:F71)</f>
        <v>0</v>
      </c>
      <c r="G67" s="180">
        <f>SUM(G68:G71)</f>
        <v>0</v>
      </c>
    </row>
    <row r="68" spans="1:7" s="240" customFormat="1" x14ac:dyDescent="0.25">
      <c r="A68" s="13" t="s">
        <v>145</v>
      </c>
      <c r="B68" s="241" t="s">
        <v>315</v>
      </c>
      <c r="C68" s="185"/>
      <c r="D68" s="185"/>
      <c r="E68" s="185"/>
      <c r="F68" s="185"/>
      <c r="G68" s="185"/>
    </row>
    <row r="69" spans="1:7" s="240" customFormat="1" x14ac:dyDescent="0.25">
      <c r="A69" s="12" t="s">
        <v>146</v>
      </c>
      <c r="B69" s="242" t="s">
        <v>316</v>
      </c>
      <c r="C69" s="185"/>
      <c r="D69" s="185"/>
      <c r="E69" s="185"/>
      <c r="F69" s="185"/>
      <c r="G69" s="185"/>
    </row>
    <row r="70" spans="1:7" s="240" customFormat="1" x14ac:dyDescent="0.25">
      <c r="A70" s="12" t="s">
        <v>341</v>
      </c>
      <c r="B70" s="242" t="s">
        <v>317</v>
      </c>
      <c r="C70" s="185"/>
      <c r="D70" s="185"/>
      <c r="E70" s="185"/>
      <c r="F70" s="185"/>
      <c r="G70" s="185"/>
    </row>
    <row r="71" spans="1:7" s="240" customFormat="1" ht="13.8" thickBot="1" x14ac:dyDescent="0.3">
      <c r="A71" s="14" t="s">
        <v>342</v>
      </c>
      <c r="B71" s="177" t="s">
        <v>318</v>
      </c>
      <c r="C71" s="185"/>
      <c r="D71" s="185"/>
      <c r="E71" s="185"/>
      <c r="F71" s="185"/>
      <c r="G71" s="185"/>
    </row>
    <row r="72" spans="1:7" s="240" customFormat="1" ht="13.8" thickBot="1" x14ac:dyDescent="0.3">
      <c r="A72" s="268" t="s">
        <v>319</v>
      </c>
      <c r="B72" s="175" t="s">
        <v>320</v>
      </c>
      <c r="C72" s="180">
        <f>SUM(C73:C74)</f>
        <v>0</v>
      </c>
      <c r="D72" s="180">
        <f>SUM(D73:D74)</f>
        <v>0</v>
      </c>
      <c r="E72" s="180">
        <f>SUM(E73:E74)</f>
        <v>0</v>
      </c>
      <c r="F72" s="180">
        <f>SUM(F73:F74)</f>
        <v>0</v>
      </c>
      <c r="G72" s="180">
        <f>SUM(G73:G74)</f>
        <v>0</v>
      </c>
    </row>
    <row r="73" spans="1:7" s="240" customFormat="1" x14ac:dyDescent="0.25">
      <c r="A73" s="13" t="s">
        <v>343</v>
      </c>
      <c r="B73" s="241" t="s">
        <v>321</v>
      </c>
      <c r="C73" s="185"/>
      <c r="D73" s="185"/>
      <c r="E73" s="185"/>
      <c r="F73" s="185"/>
      <c r="G73" s="185"/>
    </row>
    <row r="74" spans="1:7" s="240" customFormat="1" ht="13.8" thickBot="1" x14ac:dyDescent="0.3">
      <c r="A74" s="14" t="s">
        <v>344</v>
      </c>
      <c r="B74" s="177" t="s">
        <v>322</v>
      </c>
      <c r="C74" s="185"/>
      <c r="D74" s="185"/>
      <c r="E74" s="185"/>
      <c r="F74" s="185"/>
      <c r="G74" s="185"/>
    </row>
    <row r="75" spans="1:7" s="240" customFormat="1" ht="13.8" thickBot="1" x14ac:dyDescent="0.3">
      <c r="A75" s="268" t="s">
        <v>323</v>
      </c>
      <c r="B75" s="175" t="s">
        <v>324</v>
      </c>
      <c r="C75" s="180">
        <f>SUM(C76:C78)</f>
        <v>0</v>
      </c>
      <c r="D75" s="180">
        <f>SUM(D76:D78)</f>
        <v>0</v>
      </c>
      <c r="E75" s="180">
        <f>SUM(E76:E78)</f>
        <v>0</v>
      </c>
      <c r="F75" s="180">
        <f>SUM(F76:F78)</f>
        <v>0</v>
      </c>
      <c r="G75" s="180">
        <f>SUM(G76:G78)</f>
        <v>0</v>
      </c>
    </row>
    <row r="76" spans="1:7" s="240" customFormat="1" x14ac:dyDescent="0.25">
      <c r="A76" s="13" t="s">
        <v>345</v>
      </c>
      <c r="B76" s="241" t="s">
        <v>325</v>
      </c>
      <c r="C76" s="185"/>
      <c r="D76" s="185"/>
      <c r="E76" s="185"/>
      <c r="F76" s="185"/>
      <c r="G76" s="185"/>
    </row>
    <row r="77" spans="1:7" s="240" customFormat="1" x14ac:dyDescent="0.25">
      <c r="A77" s="12" t="s">
        <v>346</v>
      </c>
      <c r="B77" s="242" t="s">
        <v>326</v>
      </c>
      <c r="C77" s="185"/>
      <c r="D77" s="185"/>
      <c r="E77" s="185"/>
      <c r="F77" s="185"/>
      <c r="G77" s="185"/>
    </row>
    <row r="78" spans="1:7" s="240" customFormat="1" ht="13.8" thickBot="1" x14ac:dyDescent="0.3">
      <c r="A78" s="14" t="s">
        <v>347</v>
      </c>
      <c r="B78" s="177" t="s">
        <v>327</v>
      </c>
      <c r="C78" s="185"/>
      <c r="D78" s="185"/>
      <c r="E78" s="185"/>
      <c r="F78" s="185"/>
      <c r="G78" s="185"/>
    </row>
    <row r="79" spans="1:7" s="240" customFormat="1" ht="13.8" thickBot="1" x14ac:dyDescent="0.3">
      <c r="A79" s="268" t="s">
        <v>328</v>
      </c>
      <c r="B79" s="175" t="s">
        <v>348</v>
      </c>
      <c r="C79" s="180">
        <f>SUM(C80:C83)</f>
        <v>0</v>
      </c>
      <c r="D79" s="180">
        <f>SUM(D80:D83)</f>
        <v>0</v>
      </c>
      <c r="E79" s="180">
        <f>SUM(E80:E83)</f>
        <v>0</v>
      </c>
      <c r="F79" s="180">
        <f>SUM(F80:F83)</f>
        <v>0</v>
      </c>
      <c r="G79" s="180">
        <f>SUM(G80:G83)</f>
        <v>0</v>
      </c>
    </row>
    <row r="80" spans="1:7" s="240" customFormat="1" x14ac:dyDescent="0.25">
      <c r="A80" s="245" t="s">
        <v>329</v>
      </c>
      <c r="B80" s="241" t="s">
        <v>330</v>
      </c>
      <c r="C80" s="185"/>
      <c r="D80" s="185"/>
      <c r="E80" s="185"/>
      <c r="F80" s="185"/>
      <c r="G80" s="185"/>
    </row>
    <row r="81" spans="1:7" s="240" customFormat="1" x14ac:dyDescent="0.25">
      <c r="A81" s="246" t="s">
        <v>331</v>
      </c>
      <c r="B81" s="242" t="s">
        <v>332</v>
      </c>
      <c r="C81" s="185"/>
      <c r="D81" s="185"/>
      <c r="E81" s="185"/>
      <c r="F81" s="185"/>
      <c r="G81" s="185"/>
    </row>
    <row r="82" spans="1:7" s="240" customFormat="1" x14ac:dyDescent="0.25">
      <c r="A82" s="246" t="s">
        <v>333</v>
      </c>
      <c r="B82" s="242" t="s">
        <v>334</v>
      </c>
      <c r="C82" s="185"/>
      <c r="D82" s="185"/>
      <c r="E82" s="185"/>
      <c r="F82" s="185"/>
      <c r="G82" s="185"/>
    </row>
    <row r="83" spans="1:7" s="240" customFormat="1" ht="13.8" thickBot="1" x14ac:dyDescent="0.3">
      <c r="A83" s="247" t="s">
        <v>335</v>
      </c>
      <c r="B83" s="177" t="s">
        <v>336</v>
      </c>
      <c r="C83" s="185"/>
      <c r="D83" s="185"/>
      <c r="E83" s="185"/>
      <c r="F83" s="185"/>
      <c r="G83" s="185"/>
    </row>
    <row r="84" spans="1:7" s="240" customFormat="1" ht="13.8" thickBot="1" x14ac:dyDescent="0.3">
      <c r="A84" s="268" t="s">
        <v>337</v>
      </c>
      <c r="B84" s="175" t="s">
        <v>482</v>
      </c>
      <c r="C84" s="267"/>
      <c r="D84" s="267"/>
      <c r="E84" s="267"/>
      <c r="F84" s="267"/>
      <c r="G84" s="267"/>
    </row>
    <row r="85" spans="1:7" s="240" customFormat="1" ht="13.8" thickBot="1" x14ac:dyDescent="0.3">
      <c r="A85" s="268" t="s">
        <v>339</v>
      </c>
      <c r="B85" s="175" t="s">
        <v>338</v>
      </c>
      <c r="C85" s="267"/>
      <c r="D85" s="267"/>
      <c r="E85" s="267"/>
      <c r="F85" s="267"/>
      <c r="G85" s="267"/>
    </row>
    <row r="86" spans="1:7" s="240" customFormat="1" ht="13.8" thickBot="1" x14ac:dyDescent="0.3">
      <c r="A86" s="268" t="s">
        <v>351</v>
      </c>
      <c r="B86" s="248" t="s">
        <v>485</v>
      </c>
      <c r="C86" s="186">
        <f>+C63+C67+C72+C75+C79+C85+C84</f>
        <v>0</v>
      </c>
      <c r="D86" s="186">
        <f>+D63+D67+D72+D75+D79+D85+D84</f>
        <v>0</v>
      </c>
      <c r="E86" s="186">
        <f>+E63+E67+E72+E75+E79+E85+E84</f>
        <v>0</v>
      </c>
      <c r="F86" s="186">
        <f>+F63+F67+F72+F75+F79+F85+F84</f>
        <v>0</v>
      </c>
      <c r="G86" s="186">
        <f>+G63+G67+G72+G75+G79+G85+G84</f>
        <v>0</v>
      </c>
    </row>
    <row r="87" spans="1:7" s="240" customFormat="1" ht="13.8" thickBot="1" x14ac:dyDescent="0.3">
      <c r="A87" s="269" t="s">
        <v>484</v>
      </c>
      <c r="B87" s="249" t="s">
        <v>486</v>
      </c>
      <c r="C87" s="186">
        <f>+C62+C86</f>
        <v>187827</v>
      </c>
      <c r="D87" s="186">
        <f>+D62+D86</f>
        <v>199411</v>
      </c>
      <c r="E87" s="186">
        <f>+E62+E86</f>
        <v>201357138</v>
      </c>
      <c r="F87" s="186">
        <f>+F62+F86</f>
        <v>215299044</v>
      </c>
      <c r="G87" s="186">
        <f>+G62+G86</f>
        <v>234499324</v>
      </c>
    </row>
    <row r="88" spans="1:7" s="240" customFormat="1" ht="15.6" x14ac:dyDescent="0.25">
      <c r="A88" s="3"/>
      <c r="B88" s="4"/>
      <c r="C88" s="187"/>
      <c r="D88" s="187"/>
      <c r="E88" s="187"/>
      <c r="F88" s="187"/>
      <c r="G88" s="187"/>
    </row>
    <row r="89" spans="1:7" s="214" customFormat="1" ht="15.6" x14ac:dyDescent="0.3">
      <c r="A89" s="672" t="s">
        <v>44</v>
      </c>
      <c r="B89" s="672"/>
    </row>
    <row r="90" spans="1:7" s="417" customFormat="1" ht="16.2" thickBot="1" x14ac:dyDescent="0.35">
      <c r="A90" s="676" t="s">
        <v>148</v>
      </c>
      <c r="B90" s="676"/>
      <c r="C90" s="68"/>
      <c r="D90" s="68"/>
      <c r="E90" s="68"/>
      <c r="F90" s="68"/>
      <c r="G90" s="68"/>
    </row>
    <row r="91" spans="1:7" s="214" customFormat="1" ht="23.4" thickBot="1" x14ac:dyDescent="0.35">
      <c r="A91" s="21" t="s">
        <v>67</v>
      </c>
      <c r="B91" s="22" t="s">
        <v>45</v>
      </c>
      <c r="C91" s="30" t="str">
        <f>+C3</f>
        <v>Eredeti előirányzat (2016.01)</v>
      </c>
      <c r="D91" s="30" t="str">
        <f>+D3</f>
        <v>Módosított előirányzat (2016.05)</v>
      </c>
      <c r="E91" s="30" t="str">
        <f>+E3</f>
        <v>Módosított előirányzat (2016.09)</v>
      </c>
      <c r="F91" s="30" t="str">
        <f>+F3</f>
        <v>Módosított előirányzat (2016.11)</v>
      </c>
      <c r="G91" s="30" t="str">
        <f>+G3</f>
        <v>Módosított előirányzat (2016.12)</v>
      </c>
    </row>
    <row r="92" spans="1:7" s="239" customFormat="1" ht="10.8" thickBot="1" x14ac:dyDescent="0.25">
      <c r="A92" s="25" t="s">
        <v>494</v>
      </c>
      <c r="B92" s="26" t="s">
        <v>495</v>
      </c>
      <c r="C92" s="27" t="s">
        <v>496</v>
      </c>
      <c r="D92" s="27" t="s">
        <v>496</v>
      </c>
      <c r="E92" s="27" t="s">
        <v>496</v>
      </c>
      <c r="F92" s="27" t="s">
        <v>496</v>
      </c>
      <c r="G92" s="27" t="s">
        <v>496</v>
      </c>
    </row>
    <row r="93" spans="1:7" s="214" customFormat="1" ht="16.2" thickBot="1" x14ac:dyDescent="0.35">
      <c r="A93" s="20" t="s">
        <v>16</v>
      </c>
      <c r="B93" s="24" t="s">
        <v>444</v>
      </c>
      <c r="C93" s="179">
        <f>C94+C95+C96+C97+C98+C111</f>
        <v>181377</v>
      </c>
      <c r="D93" s="179">
        <f>D94+D95+D96+D97+D98+D111</f>
        <v>186795</v>
      </c>
      <c r="E93" s="179">
        <f>E94+E95+E96+E97+E98+E111</f>
        <v>188741305</v>
      </c>
      <c r="F93" s="179">
        <f>F94+F95+F96+F97+F98+F111</f>
        <v>202283211</v>
      </c>
      <c r="G93" s="179">
        <f>G94+G95+G96+G97+G98+G111</f>
        <v>221483491</v>
      </c>
    </row>
    <row r="94" spans="1:7" s="214" customFormat="1" ht="15.6" x14ac:dyDescent="0.3">
      <c r="A94" s="15" t="s">
        <v>96</v>
      </c>
      <c r="B94" s="8" t="s">
        <v>46</v>
      </c>
      <c r="C94" s="181">
        <v>35704</v>
      </c>
      <c r="D94" s="181">
        <v>35703</v>
      </c>
      <c r="E94" s="181">
        <f>35703000+40112+26000-3000+2198950-173700-26000</f>
        <v>37765362</v>
      </c>
      <c r="F94" s="181">
        <v>37965362</v>
      </c>
      <c r="G94" s="181">
        <f>37765362+200000</f>
        <v>37965362</v>
      </c>
    </row>
    <row r="95" spans="1:7" s="214" customFormat="1" ht="15.6" x14ac:dyDescent="0.3">
      <c r="A95" s="12" t="s">
        <v>97</v>
      </c>
      <c r="B95" s="6" t="s">
        <v>177</v>
      </c>
      <c r="C95" s="182">
        <v>10072</v>
      </c>
      <c r="D95" s="182">
        <v>10072</v>
      </c>
      <c r="E95" s="182">
        <f>10072000+10832+7020-716945+593726-46895-7020</f>
        <v>9912718</v>
      </c>
      <c r="F95" s="182">
        <v>10015058</v>
      </c>
      <c r="G95" s="182">
        <f>9912718+102340</f>
        <v>10015058</v>
      </c>
    </row>
    <row r="96" spans="1:7" s="214" customFormat="1" ht="15.6" x14ac:dyDescent="0.3">
      <c r="A96" s="12" t="s">
        <v>98</v>
      </c>
      <c r="B96" s="6" t="s">
        <v>135</v>
      </c>
      <c r="C96" s="184">
        <v>77331</v>
      </c>
      <c r="D96" s="184">
        <v>79617</v>
      </c>
      <c r="E96" s="184">
        <f>79617000+1057+2286000</f>
        <v>81904057</v>
      </c>
      <c r="F96" s="184">
        <v>82589317</v>
      </c>
      <c r="G96" s="184">
        <f>81904057+457200-302340+380400+150000</f>
        <v>82589317</v>
      </c>
    </row>
    <row r="97" spans="1:7" s="214" customFormat="1" ht="15.6" x14ac:dyDescent="0.3">
      <c r="A97" s="12" t="s">
        <v>99</v>
      </c>
      <c r="B97" s="9" t="s">
        <v>178</v>
      </c>
      <c r="C97" s="184">
        <v>2364</v>
      </c>
      <c r="D97" s="184">
        <v>2364</v>
      </c>
      <c r="E97" s="184">
        <v>2364520</v>
      </c>
      <c r="F97" s="184">
        <v>3419520</v>
      </c>
      <c r="G97" s="184">
        <f>2364520+1055000</f>
        <v>3419520</v>
      </c>
    </row>
    <row r="98" spans="1:7" s="214" customFormat="1" ht="15.6" x14ac:dyDescent="0.3">
      <c r="A98" s="12" t="s">
        <v>110</v>
      </c>
      <c r="B98" s="17" t="s">
        <v>179</v>
      </c>
      <c r="C98" s="184">
        <f>C99+C100+C101+C102+C103+C105+C106+C107+C108+C109+C110</f>
        <v>30066</v>
      </c>
      <c r="D98" s="184">
        <f>D99+D100+D101+D102+D103+D105+D106+D107+D108+D109+D110</f>
        <v>24000</v>
      </c>
      <c r="E98" s="184">
        <f>E99+E100+E101+E102+E103+E105+E106+E107+E108+E109+E110</f>
        <v>24000000</v>
      </c>
      <c r="F98" s="184">
        <f>F99+F100+F101+F102+F103+F105+F106+F107+F108+F109+F110</f>
        <v>29600000</v>
      </c>
      <c r="G98" s="184">
        <f>G99+G100+G101+G102+G103+G105+G106+G107+G108+G109+G110</f>
        <v>29600000</v>
      </c>
    </row>
    <row r="99" spans="1:7" s="214" customFormat="1" ht="15.6" x14ac:dyDescent="0.3">
      <c r="A99" s="12" t="s">
        <v>100</v>
      </c>
      <c r="B99" s="6" t="s">
        <v>449</v>
      </c>
      <c r="C99" s="184"/>
      <c r="D99" s="184"/>
      <c r="E99" s="184"/>
      <c r="F99" s="184"/>
      <c r="G99" s="184"/>
    </row>
    <row r="100" spans="1:7" s="214" customFormat="1" ht="15.6" x14ac:dyDescent="0.3">
      <c r="A100" s="12" t="s">
        <v>101</v>
      </c>
      <c r="B100" s="72" t="s">
        <v>448</v>
      </c>
      <c r="C100" s="184"/>
      <c r="D100" s="184"/>
      <c r="E100" s="184"/>
      <c r="F100" s="184"/>
      <c r="G100" s="184"/>
    </row>
    <row r="101" spans="1:7" s="214" customFormat="1" ht="15.6" x14ac:dyDescent="0.3">
      <c r="A101" s="12" t="s">
        <v>111</v>
      </c>
      <c r="B101" s="72" t="s">
        <v>447</v>
      </c>
      <c r="C101" s="184"/>
      <c r="D101" s="184"/>
      <c r="E101" s="184"/>
      <c r="F101" s="184"/>
      <c r="G101" s="184"/>
    </row>
    <row r="102" spans="1:7" s="214" customFormat="1" ht="15.6" x14ac:dyDescent="0.3">
      <c r="A102" s="12" t="s">
        <v>112</v>
      </c>
      <c r="B102" s="70" t="s">
        <v>354</v>
      </c>
      <c r="C102" s="184"/>
      <c r="D102" s="184"/>
      <c r="E102" s="184"/>
      <c r="F102" s="184"/>
      <c r="G102" s="184"/>
    </row>
    <row r="103" spans="1:7" s="214" customFormat="1" ht="15.6" x14ac:dyDescent="0.3">
      <c r="A103" s="12" t="s">
        <v>113</v>
      </c>
      <c r="B103" s="71" t="s">
        <v>355</v>
      </c>
      <c r="C103" s="184"/>
      <c r="D103" s="184"/>
      <c r="E103" s="184"/>
      <c r="F103" s="184"/>
      <c r="G103" s="184"/>
    </row>
    <row r="104" spans="1:7" s="214" customFormat="1" ht="15.6" x14ac:dyDescent="0.3">
      <c r="A104" s="12" t="s">
        <v>114</v>
      </c>
      <c r="B104" s="71" t="s">
        <v>356</v>
      </c>
      <c r="C104" s="184"/>
      <c r="D104" s="184"/>
      <c r="E104" s="184"/>
      <c r="F104" s="184"/>
      <c r="G104" s="184"/>
    </row>
    <row r="105" spans="1:7" s="214" customFormat="1" ht="15.6" x14ac:dyDescent="0.3">
      <c r="A105" s="12" t="s">
        <v>116</v>
      </c>
      <c r="B105" s="70" t="s">
        <v>357</v>
      </c>
      <c r="C105" s="184">
        <v>800</v>
      </c>
      <c r="D105" s="184"/>
      <c r="E105" s="184"/>
      <c r="F105" s="184"/>
      <c r="G105" s="184"/>
    </row>
    <row r="106" spans="1:7" s="214" customFormat="1" ht="15.6" x14ac:dyDescent="0.3">
      <c r="A106" s="12" t="s">
        <v>180</v>
      </c>
      <c r="B106" s="70" t="s">
        <v>358</v>
      </c>
      <c r="C106" s="184"/>
      <c r="D106" s="184"/>
      <c r="E106" s="184"/>
      <c r="F106" s="184"/>
      <c r="G106" s="184"/>
    </row>
    <row r="107" spans="1:7" s="214" customFormat="1" ht="15.6" x14ac:dyDescent="0.3">
      <c r="A107" s="12" t="s">
        <v>352</v>
      </c>
      <c r="B107" s="71" t="s">
        <v>359</v>
      </c>
      <c r="C107" s="184"/>
      <c r="D107" s="184"/>
      <c r="E107" s="184"/>
      <c r="F107" s="184"/>
      <c r="G107" s="184"/>
    </row>
    <row r="108" spans="1:7" s="214" customFormat="1" ht="15.6" x14ac:dyDescent="0.3">
      <c r="A108" s="11" t="s">
        <v>353</v>
      </c>
      <c r="B108" s="72" t="s">
        <v>360</v>
      </c>
      <c r="C108" s="184"/>
      <c r="D108" s="184"/>
      <c r="E108" s="184"/>
      <c r="F108" s="184"/>
      <c r="G108" s="184"/>
    </row>
    <row r="109" spans="1:7" s="214" customFormat="1" ht="15.6" x14ac:dyDescent="0.3">
      <c r="A109" s="12" t="s">
        <v>445</v>
      </c>
      <c r="B109" s="72" t="s">
        <v>361</v>
      </c>
      <c r="C109" s="184"/>
      <c r="D109" s="184"/>
      <c r="E109" s="184"/>
      <c r="F109" s="184"/>
      <c r="G109" s="184"/>
    </row>
    <row r="110" spans="1:7" s="214" customFormat="1" ht="15.6" x14ac:dyDescent="0.3">
      <c r="A110" s="14" t="s">
        <v>446</v>
      </c>
      <c r="B110" s="72" t="s">
        <v>362</v>
      </c>
      <c r="C110" s="184">
        <v>29266</v>
      </c>
      <c r="D110" s="184">
        <v>24000</v>
      </c>
      <c r="E110" s="184">
        <v>24000000</v>
      </c>
      <c r="F110" s="184">
        <v>29600000</v>
      </c>
      <c r="G110" s="184">
        <f>24000000+5600000</f>
        <v>29600000</v>
      </c>
    </row>
    <row r="111" spans="1:7" s="214" customFormat="1" ht="15.6" x14ac:dyDescent="0.3">
      <c r="A111" s="12" t="s">
        <v>450</v>
      </c>
      <c r="B111" s="9" t="s">
        <v>47</v>
      </c>
      <c r="C111" s="182">
        <f>C112+C113</f>
        <v>25840</v>
      </c>
      <c r="D111" s="182">
        <f>D112+D113</f>
        <v>35039</v>
      </c>
      <c r="E111" s="182">
        <f>E112+E113</f>
        <v>32794648</v>
      </c>
      <c r="F111" s="182">
        <f>F112+F113</f>
        <v>38693954</v>
      </c>
      <c r="G111" s="182">
        <f>G112+G113</f>
        <v>57894234</v>
      </c>
    </row>
    <row r="112" spans="1:7" s="214" customFormat="1" ht="15.6" x14ac:dyDescent="0.3">
      <c r="A112" s="12" t="s">
        <v>451</v>
      </c>
      <c r="B112" s="6" t="s">
        <v>453</v>
      </c>
      <c r="C112" s="182">
        <f>25488+352</f>
        <v>25840</v>
      </c>
      <c r="D112" s="182">
        <f>35235-180-16</f>
        <v>35039</v>
      </c>
      <c r="E112" s="182">
        <f>35037848+342000-914933-2814772+342000+12700000-2286000-718947-228600-1020+100000-50944+166000-108300-254635-14605-125673-4315355-813435-33020+9424+1826-707187-284480-2792676+2428907+220595-2050000-72390+33020</f>
        <v>32794648</v>
      </c>
      <c r="F112" s="182">
        <v>38693954</v>
      </c>
      <c r="G112" s="182">
        <f>32794648+127000-100000-598170-89726-284925-3198+64140+482744+114000-5600000-495500-3307500-3150000+1373593+2812727-74627-1055000-400000+655828+16339920-150000-762000+19200280</f>
        <v>57894234</v>
      </c>
    </row>
    <row r="113" spans="1:7" s="214" customFormat="1" ht="15.6" x14ac:dyDescent="0.3">
      <c r="A113" s="12" t="s">
        <v>452</v>
      </c>
      <c r="B113" s="478" t="s">
        <v>454</v>
      </c>
      <c r="C113" s="182"/>
      <c r="D113" s="182"/>
      <c r="E113" s="182"/>
      <c r="F113" s="182"/>
      <c r="G113" s="182"/>
    </row>
    <row r="114" spans="1:7" s="214" customFormat="1" ht="16.2" thickBot="1" x14ac:dyDescent="0.35">
      <c r="A114" s="273" t="s">
        <v>17</v>
      </c>
      <c r="B114" s="274" t="s">
        <v>363</v>
      </c>
      <c r="C114" s="275">
        <f>+C115+C117+C119</f>
        <v>6450</v>
      </c>
      <c r="D114" s="275">
        <f>+D115+D117+D119</f>
        <v>12616</v>
      </c>
      <c r="E114" s="275">
        <f>+E115+E117+E119</f>
        <v>12615833</v>
      </c>
      <c r="F114" s="275">
        <f>+F115+F117+F119</f>
        <v>13015833</v>
      </c>
      <c r="G114" s="275">
        <f>+G115+G117+G119</f>
        <v>13015833</v>
      </c>
    </row>
    <row r="115" spans="1:7" s="214" customFormat="1" ht="15.6" x14ac:dyDescent="0.3">
      <c r="A115" s="13" t="s">
        <v>102</v>
      </c>
      <c r="B115" s="6" t="s">
        <v>222</v>
      </c>
      <c r="C115" s="183">
        <v>6050</v>
      </c>
      <c r="D115" s="183">
        <v>6050</v>
      </c>
      <c r="E115" s="183">
        <v>6050000</v>
      </c>
      <c r="F115" s="183">
        <v>6050000</v>
      </c>
      <c r="G115" s="183">
        <v>6050000</v>
      </c>
    </row>
    <row r="116" spans="1:7" s="214" customFormat="1" ht="15.6" x14ac:dyDescent="0.3">
      <c r="A116" s="13" t="s">
        <v>103</v>
      </c>
      <c r="B116" s="10" t="s">
        <v>367</v>
      </c>
      <c r="C116" s="183"/>
      <c r="D116" s="183"/>
      <c r="E116" s="183"/>
      <c r="F116" s="183"/>
      <c r="G116" s="183"/>
    </row>
    <row r="117" spans="1:7" s="214" customFormat="1" ht="15.6" x14ac:dyDescent="0.3">
      <c r="A117" s="13" t="s">
        <v>104</v>
      </c>
      <c r="B117" s="10" t="s">
        <v>181</v>
      </c>
      <c r="C117" s="182"/>
      <c r="D117" s="182"/>
      <c r="E117" s="182"/>
      <c r="F117" s="182"/>
      <c r="G117" s="182"/>
    </row>
    <row r="118" spans="1:7" s="214" customFormat="1" ht="15.6" x14ac:dyDescent="0.3">
      <c r="A118" s="13" t="s">
        <v>105</v>
      </c>
      <c r="B118" s="10" t="s">
        <v>368</v>
      </c>
      <c r="C118" s="172"/>
      <c r="D118" s="172"/>
      <c r="E118" s="172"/>
      <c r="F118" s="172"/>
      <c r="G118" s="172"/>
    </row>
    <row r="119" spans="1:7" s="214" customFormat="1" ht="15.6" x14ac:dyDescent="0.3">
      <c r="A119" s="13" t="s">
        <v>106</v>
      </c>
      <c r="B119" s="177" t="s">
        <v>225</v>
      </c>
      <c r="C119" s="172">
        <f>C120+C121+C122+C123+C124+C125+C126+C127</f>
        <v>400</v>
      </c>
      <c r="D119" s="172">
        <f>D120+D121+D122+D123+D124+D125+D126+D127</f>
        <v>6566</v>
      </c>
      <c r="E119" s="172">
        <f>E120+E121+E122+E123+E124+E125+E126+E127</f>
        <v>6565833</v>
      </c>
      <c r="F119" s="172">
        <f>F120+F121+F122+F123+F124+F125+F126+F127</f>
        <v>6965833</v>
      </c>
      <c r="G119" s="172">
        <f>G120+G121+G122+G123+G124+G125+G126+G127</f>
        <v>6965833</v>
      </c>
    </row>
    <row r="120" spans="1:7" s="214" customFormat="1" ht="15.6" x14ac:dyDescent="0.3">
      <c r="A120" s="13" t="s">
        <v>115</v>
      </c>
      <c r="B120" s="176" t="s">
        <v>432</v>
      </c>
      <c r="C120" s="172"/>
      <c r="D120" s="172"/>
      <c r="E120" s="172"/>
      <c r="F120" s="172"/>
      <c r="G120" s="172"/>
    </row>
    <row r="121" spans="1:7" s="214" customFormat="1" ht="15.6" x14ac:dyDescent="0.3">
      <c r="A121" s="13" t="s">
        <v>117</v>
      </c>
      <c r="B121" s="238" t="s">
        <v>373</v>
      </c>
      <c r="C121" s="172"/>
      <c r="D121" s="172"/>
      <c r="E121" s="172"/>
      <c r="F121" s="172"/>
      <c r="G121" s="172"/>
    </row>
    <row r="122" spans="1:7" s="214" customFormat="1" ht="15.6" x14ac:dyDescent="0.3">
      <c r="A122" s="13" t="s">
        <v>182</v>
      </c>
      <c r="B122" s="71" t="s">
        <v>356</v>
      </c>
      <c r="C122" s="172"/>
      <c r="D122" s="172"/>
      <c r="E122" s="172"/>
      <c r="F122" s="172"/>
      <c r="G122" s="172"/>
    </row>
    <row r="123" spans="1:7" s="214" customFormat="1" ht="15.6" x14ac:dyDescent="0.3">
      <c r="A123" s="13" t="s">
        <v>183</v>
      </c>
      <c r="B123" s="71" t="s">
        <v>372</v>
      </c>
      <c r="C123" s="172"/>
      <c r="D123" s="172"/>
      <c r="E123" s="172"/>
      <c r="F123" s="172"/>
      <c r="G123" s="172"/>
    </row>
    <row r="124" spans="1:7" s="214" customFormat="1" ht="15.6" x14ac:dyDescent="0.3">
      <c r="A124" s="13" t="s">
        <v>184</v>
      </c>
      <c r="B124" s="71" t="s">
        <v>371</v>
      </c>
      <c r="C124" s="172"/>
      <c r="D124" s="172"/>
      <c r="E124" s="172"/>
      <c r="F124" s="172"/>
      <c r="G124" s="172"/>
    </row>
    <row r="125" spans="1:7" s="214" customFormat="1" ht="15.6" x14ac:dyDescent="0.3">
      <c r="A125" s="13" t="s">
        <v>364</v>
      </c>
      <c r="B125" s="71" t="s">
        <v>359</v>
      </c>
      <c r="C125" s="172"/>
      <c r="D125" s="172"/>
      <c r="E125" s="172"/>
      <c r="F125" s="172"/>
      <c r="G125" s="172"/>
    </row>
    <row r="126" spans="1:7" s="214" customFormat="1" ht="15.6" x14ac:dyDescent="0.3">
      <c r="A126" s="13" t="s">
        <v>365</v>
      </c>
      <c r="B126" s="71" t="s">
        <v>370</v>
      </c>
      <c r="C126" s="172">
        <v>400</v>
      </c>
      <c r="D126" s="172">
        <v>400</v>
      </c>
      <c r="E126" s="172">
        <v>400000</v>
      </c>
      <c r="F126" s="172">
        <v>800000</v>
      </c>
      <c r="G126" s="172">
        <f>400000+400000</f>
        <v>800000</v>
      </c>
    </row>
    <row r="127" spans="1:7" s="214" customFormat="1" ht="16.2" thickBot="1" x14ac:dyDescent="0.35">
      <c r="A127" s="11" t="s">
        <v>366</v>
      </c>
      <c r="B127" s="71" t="s">
        <v>369</v>
      </c>
      <c r="C127" s="173"/>
      <c r="D127" s="173">
        <v>6166</v>
      </c>
      <c r="E127" s="173">
        <v>6165833</v>
      </c>
      <c r="F127" s="173">
        <v>6165833</v>
      </c>
      <c r="G127" s="173">
        <v>6165833</v>
      </c>
    </row>
    <row r="128" spans="1:7" s="214" customFormat="1" ht="16.2" thickBot="1" x14ac:dyDescent="0.35">
      <c r="A128" s="18" t="s">
        <v>18</v>
      </c>
      <c r="B128" s="63" t="s">
        <v>455</v>
      </c>
      <c r="C128" s="180">
        <f>+C93+C114</f>
        <v>187827</v>
      </c>
      <c r="D128" s="180">
        <f>+D93+D114</f>
        <v>199411</v>
      </c>
      <c r="E128" s="180">
        <f>+E93+E114</f>
        <v>201357138</v>
      </c>
      <c r="F128" s="180">
        <f>+F93+F114</f>
        <v>215299044</v>
      </c>
      <c r="G128" s="180">
        <f>+G93+G114</f>
        <v>234499324</v>
      </c>
    </row>
    <row r="129" spans="1:7" s="214" customFormat="1" ht="16.2" thickBot="1" x14ac:dyDescent="0.35">
      <c r="A129" s="18" t="s">
        <v>19</v>
      </c>
      <c r="B129" s="63" t="s">
        <v>456</v>
      </c>
      <c r="C129" s="180">
        <f>+C130+C131+C132</f>
        <v>0</v>
      </c>
      <c r="D129" s="180">
        <f>+D130+D131+D132</f>
        <v>0</v>
      </c>
      <c r="E129" s="180">
        <f>+E130+E131+E132</f>
        <v>0</v>
      </c>
      <c r="F129" s="180">
        <f>+F130+F131+F132</f>
        <v>0</v>
      </c>
      <c r="G129" s="180">
        <f>+G130+G131+G132</f>
        <v>0</v>
      </c>
    </row>
    <row r="130" spans="1:7" s="214" customFormat="1" ht="15.6" x14ac:dyDescent="0.3">
      <c r="A130" s="13" t="s">
        <v>264</v>
      </c>
      <c r="B130" s="10" t="s">
        <v>463</v>
      </c>
      <c r="C130" s="172"/>
      <c r="D130" s="172"/>
      <c r="E130" s="172"/>
      <c r="F130" s="172"/>
      <c r="G130" s="172"/>
    </row>
    <row r="131" spans="1:7" s="214" customFormat="1" ht="15.6" x14ac:dyDescent="0.3">
      <c r="A131" s="13" t="s">
        <v>267</v>
      </c>
      <c r="B131" s="10" t="s">
        <v>464</v>
      </c>
      <c r="C131" s="172"/>
      <c r="D131" s="172"/>
      <c r="E131" s="172"/>
      <c r="F131" s="172"/>
      <c r="G131" s="172"/>
    </row>
    <row r="132" spans="1:7" s="214" customFormat="1" ht="16.2" thickBot="1" x14ac:dyDescent="0.35">
      <c r="A132" s="11" t="s">
        <v>268</v>
      </c>
      <c r="B132" s="10" t="s">
        <v>465</v>
      </c>
      <c r="C132" s="172"/>
      <c r="D132" s="172"/>
      <c r="E132" s="172"/>
      <c r="F132" s="172"/>
      <c r="G132" s="172"/>
    </row>
    <row r="133" spans="1:7" s="214" customFormat="1" ht="16.2" thickBot="1" x14ac:dyDescent="0.35">
      <c r="A133" s="18" t="s">
        <v>20</v>
      </c>
      <c r="B133" s="63" t="s">
        <v>457</v>
      </c>
      <c r="C133" s="180">
        <f>SUM(C134:C139)</f>
        <v>0</v>
      </c>
      <c r="D133" s="180">
        <f>SUM(D134:D139)</f>
        <v>0</v>
      </c>
      <c r="E133" s="180">
        <f>SUM(E134:E139)</f>
        <v>0</v>
      </c>
      <c r="F133" s="180">
        <f>SUM(F134:F139)</f>
        <v>0</v>
      </c>
      <c r="G133" s="180">
        <f>SUM(G134:G139)</f>
        <v>0</v>
      </c>
    </row>
    <row r="134" spans="1:7" s="214" customFormat="1" ht="15.6" x14ac:dyDescent="0.3">
      <c r="A134" s="13" t="s">
        <v>89</v>
      </c>
      <c r="B134" s="7" t="s">
        <v>466</v>
      </c>
      <c r="C134" s="172"/>
      <c r="D134" s="172"/>
      <c r="E134" s="172"/>
      <c r="F134" s="172"/>
      <c r="G134" s="172"/>
    </row>
    <row r="135" spans="1:7" s="214" customFormat="1" ht="15.6" x14ac:dyDescent="0.3">
      <c r="A135" s="13" t="s">
        <v>90</v>
      </c>
      <c r="B135" s="7" t="s">
        <v>458</v>
      </c>
      <c r="C135" s="172"/>
      <c r="D135" s="172"/>
      <c r="E135" s="172"/>
      <c r="F135" s="172"/>
      <c r="G135" s="172"/>
    </row>
    <row r="136" spans="1:7" s="214" customFormat="1" ht="15.6" x14ac:dyDescent="0.3">
      <c r="A136" s="13" t="s">
        <v>91</v>
      </c>
      <c r="B136" s="7" t="s">
        <v>459</v>
      </c>
      <c r="C136" s="172"/>
      <c r="D136" s="172"/>
      <c r="E136" s="172"/>
      <c r="F136" s="172"/>
      <c r="G136" s="172"/>
    </row>
    <row r="137" spans="1:7" s="214" customFormat="1" ht="15.6" x14ac:dyDescent="0.3">
      <c r="A137" s="13" t="s">
        <v>169</v>
      </c>
      <c r="B137" s="7" t="s">
        <v>460</v>
      </c>
      <c r="C137" s="172"/>
      <c r="D137" s="172"/>
      <c r="E137" s="172"/>
      <c r="F137" s="172"/>
      <c r="G137" s="172"/>
    </row>
    <row r="138" spans="1:7" s="214" customFormat="1" ht="15.6" x14ac:dyDescent="0.3">
      <c r="A138" s="13" t="s">
        <v>170</v>
      </c>
      <c r="B138" s="7" t="s">
        <v>461</v>
      </c>
      <c r="C138" s="172"/>
      <c r="D138" s="172"/>
      <c r="E138" s="172"/>
      <c r="F138" s="172"/>
      <c r="G138" s="172"/>
    </row>
    <row r="139" spans="1:7" s="214" customFormat="1" ht="16.2" thickBot="1" x14ac:dyDescent="0.35">
      <c r="A139" s="11" t="s">
        <v>171</v>
      </c>
      <c r="B139" s="7" t="s">
        <v>462</v>
      </c>
      <c r="C139" s="172"/>
      <c r="D139" s="172"/>
      <c r="E139" s="172"/>
      <c r="F139" s="172"/>
      <c r="G139" s="172"/>
    </row>
    <row r="140" spans="1:7" s="214" customFormat="1" ht="16.2" thickBot="1" x14ac:dyDescent="0.35">
      <c r="A140" s="18" t="s">
        <v>21</v>
      </c>
      <c r="B140" s="63" t="s">
        <v>470</v>
      </c>
      <c r="C140" s="186">
        <f>+C141+C142+C143+C144</f>
        <v>0</v>
      </c>
      <c r="D140" s="186">
        <f>+D141+D142+D143+D144</f>
        <v>0</v>
      </c>
      <c r="E140" s="186">
        <f>+E141+E142+E143+E144</f>
        <v>0</v>
      </c>
      <c r="F140" s="186">
        <f>+F141+F142+F143+F144</f>
        <v>0</v>
      </c>
      <c r="G140" s="186">
        <f>+G141+G142+G143+G144</f>
        <v>0</v>
      </c>
    </row>
    <row r="141" spans="1:7" s="214" customFormat="1" ht="15.6" x14ac:dyDescent="0.3">
      <c r="A141" s="13" t="s">
        <v>92</v>
      </c>
      <c r="B141" s="7" t="s">
        <v>374</v>
      </c>
      <c r="C141" s="172"/>
      <c r="D141" s="172"/>
      <c r="E141" s="172"/>
      <c r="F141" s="172"/>
      <c r="G141" s="172"/>
    </row>
    <row r="142" spans="1:7" s="214" customFormat="1" ht="15.6" x14ac:dyDescent="0.3">
      <c r="A142" s="13" t="s">
        <v>93</v>
      </c>
      <c r="B142" s="7" t="s">
        <v>375</v>
      </c>
      <c r="C142" s="172"/>
      <c r="D142" s="172"/>
      <c r="E142" s="172"/>
      <c r="F142" s="172"/>
      <c r="G142" s="172"/>
    </row>
    <row r="143" spans="1:7" s="214" customFormat="1" ht="15.6" x14ac:dyDescent="0.3">
      <c r="A143" s="13" t="s">
        <v>288</v>
      </c>
      <c r="B143" s="7" t="s">
        <v>471</v>
      </c>
      <c r="C143" s="172"/>
      <c r="D143" s="172"/>
      <c r="E143" s="172"/>
      <c r="F143" s="172"/>
      <c r="G143" s="172"/>
    </row>
    <row r="144" spans="1:7" s="214" customFormat="1" ht="16.2" thickBot="1" x14ac:dyDescent="0.35">
      <c r="A144" s="11" t="s">
        <v>289</v>
      </c>
      <c r="B144" s="5" t="s">
        <v>394</v>
      </c>
      <c r="C144" s="172"/>
      <c r="D144" s="172"/>
      <c r="E144" s="172"/>
      <c r="F144" s="172"/>
      <c r="G144" s="172"/>
    </row>
    <row r="145" spans="1:7" s="214" customFormat="1" ht="16.2" thickBot="1" x14ac:dyDescent="0.35">
      <c r="A145" s="18" t="s">
        <v>22</v>
      </c>
      <c r="B145" s="63" t="s">
        <v>472</v>
      </c>
      <c r="C145" s="189">
        <f>SUM(C146:C150)</f>
        <v>0</v>
      </c>
      <c r="D145" s="189">
        <f>SUM(D146:D150)</f>
        <v>0</v>
      </c>
      <c r="E145" s="189">
        <f>SUM(E146:E150)</f>
        <v>0</v>
      </c>
      <c r="F145" s="189">
        <f>SUM(F146:F150)</f>
        <v>0</v>
      </c>
      <c r="G145" s="189">
        <f>SUM(G146:G150)</f>
        <v>0</v>
      </c>
    </row>
    <row r="146" spans="1:7" s="214" customFormat="1" ht="15.6" x14ac:dyDescent="0.3">
      <c r="A146" s="13" t="s">
        <v>94</v>
      </c>
      <c r="B146" s="7" t="s">
        <v>467</v>
      </c>
      <c r="C146" s="172"/>
      <c r="D146" s="172"/>
      <c r="E146" s="172"/>
      <c r="F146" s="172"/>
      <c r="G146" s="172"/>
    </row>
    <row r="147" spans="1:7" s="214" customFormat="1" ht="15.6" x14ac:dyDescent="0.3">
      <c r="A147" s="13" t="s">
        <v>95</v>
      </c>
      <c r="B147" s="7" t="s">
        <v>474</v>
      </c>
      <c r="C147" s="172"/>
      <c r="D147" s="172"/>
      <c r="E147" s="172"/>
      <c r="F147" s="172"/>
      <c r="G147" s="172"/>
    </row>
    <row r="148" spans="1:7" s="214" customFormat="1" ht="15.6" x14ac:dyDescent="0.3">
      <c r="A148" s="13" t="s">
        <v>300</v>
      </c>
      <c r="B148" s="7" t="s">
        <v>469</v>
      </c>
      <c r="C148" s="172"/>
      <c r="D148" s="172"/>
      <c r="E148" s="172"/>
      <c r="F148" s="172"/>
      <c r="G148" s="172"/>
    </row>
    <row r="149" spans="1:7" s="214" customFormat="1" ht="15.6" x14ac:dyDescent="0.3">
      <c r="A149" s="13" t="s">
        <v>301</v>
      </c>
      <c r="B149" s="7" t="s">
        <v>475</v>
      </c>
      <c r="C149" s="172"/>
      <c r="D149" s="172"/>
      <c r="E149" s="172"/>
      <c r="F149" s="172"/>
      <c r="G149" s="172"/>
    </row>
    <row r="150" spans="1:7" s="214" customFormat="1" ht="16.2" thickBot="1" x14ac:dyDescent="0.35">
      <c r="A150" s="13" t="s">
        <v>473</v>
      </c>
      <c r="B150" s="7" t="s">
        <v>476</v>
      </c>
      <c r="C150" s="172"/>
      <c r="D150" s="172"/>
      <c r="E150" s="172"/>
      <c r="F150" s="172"/>
      <c r="G150" s="172"/>
    </row>
    <row r="151" spans="1:7" s="214" customFormat="1" ht="16.2" thickBot="1" x14ac:dyDescent="0.35">
      <c r="A151" s="18" t="s">
        <v>23</v>
      </c>
      <c r="B151" s="63" t="s">
        <v>477</v>
      </c>
      <c r="C151" s="277"/>
      <c r="D151" s="277"/>
      <c r="E151" s="277"/>
      <c r="F151" s="277"/>
      <c r="G151" s="277"/>
    </row>
    <row r="152" spans="1:7" s="214" customFormat="1" ht="16.2" thickBot="1" x14ac:dyDescent="0.35">
      <c r="A152" s="18" t="s">
        <v>24</v>
      </c>
      <c r="B152" s="63" t="s">
        <v>478</v>
      </c>
      <c r="C152" s="277"/>
      <c r="D152" s="277"/>
      <c r="E152" s="277"/>
      <c r="F152" s="277"/>
      <c r="G152" s="277"/>
    </row>
    <row r="153" spans="1:7" s="214" customFormat="1" ht="16.2" thickBot="1" x14ac:dyDescent="0.35">
      <c r="A153" s="18" t="s">
        <v>25</v>
      </c>
      <c r="B153" s="63" t="s">
        <v>480</v>
      </c>
      <c r="C153" s="250">
        <f>+C129+C133+C140+C145+C151+C152</f>
        <v>0</v>
      </c>
      <c r="D153" s="250">
        <f>+D129+D133+D140+D145+D151+D152</f>
        <v>0</v>
      </c>
      <c r="E153" s="250">
        <f>+E129+E133+E140+E145+E151+E152</f>
        <v>0</v>
      </c>
      <c r="F153" s="250">
        <f>+F129+F133+F140+F145+F151+F152</f>
        <v>0</v>
      </c>
      <c r="G153" s="250">
        <f>+G129+G133+G140+G145+G151+G152</f>
        <v>0</v>
      </c>
    </row>
    <row r="154" spans="1:7" s="240" customFormat="1" ht="13.8" thickBot="1" x14ac:dyDescent="0.3">
      <c r="A154" s="178" t="s">
        <v>26</v>
      </c>
      <c r="B154" s="213" t="s">
        <v>479</v>
      </c>
      <c r="C154" s="250">
        <f>+C128+C153</f>
        <v>187827</v>
      </c>
      <c r="D154" s="250">
        <f>+D128+D153</f>
        <v>199411</v>
      </c>
      <c r="E154" s="250">
        <f>+E128+E153</f>
        <v>201357138</v>
      </c>
      <c r="F154" s="250">
        <f>+F128+F153</f>
        <v>215299044</v>
      </c>
      <c r="G154" s="250">
        <f>+G128+G153</f>
        <v>234499324</v>
      </c>
    </row>
  </sheetData>
  <mergeCells count="4">
    <mergeCell ref="A1:B1"/>
    <mergeCell ref="A2:B2"/>
    <mergeCell ref="A89:B89"/>
    <mergeCell ref="A90:B90"/>
  </mergeCells>
  <phoneticPr fontId="29" type="noConversion"/>
  <printOptions horizontalCentered="1"/>
  <pageMargins left="0.39370078740157483" right="0.39370078740157483" top="0.98425196850393704" bottom="0.59055118110236215" header="0.78740157480314965" footer="0.59055118110236215"/>
  <pageSetup paperSize="9" scale="85" fitToHeight="2" orientation="landscape" r:id="rId1"/>
  <headerFooter alignWithMargins="0">
    <oddHeader>&amp;C&amp;"Times New Roman CE,Félkövér"&amp;12
Vonyarcvashegy Nagyközség Önkormányzata
2016. ÉVI KÖLTSÉGVETÉS
ÖNKÉNT VÁLLALT FELADATAINAK MÉRLEGE
&amp;R&amp;"Times New Roman CE,Félkövér dőlt"&amp;11 1.3. melléklet a ........./2016. () önkormányzati rendelethez</oddHeader>
    <oddFooter>&amp;P. oldal, összesen: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G97"/>
  <sheetViews>
    <sheetView zoomScaleNormal="100" workbookViewId="0">
      <selection activeCell="G8" sqref="G8"/>
    </sheetView>
  </sheetViews>
  <sheetFormatPr defaultColWidth="9.33203125" defaultRowHeight="13.2" x14ac:dyDescent="0.25"/>
  <cols>
    <col min="1" max="1" width="5.77734375" style="572" customWidth="1"/>
    <col min="2" max="2" width="54.77734375" style="573" customWidth="1"/>
    <col min="3" max="4" width="17.6640625" style="573" customWidth="1"/>
    <col min="5" max="16384" width="9.33203125" style="573"/>
  </cols>
  <sheetData>
    <row r="1" spans="1:4" ht="31.5" customHeight="1" x14ac:dyDescent="0.3">
      <c r="B1" s="731" t="s">
        <v>7</v>
      </c>
      <c r="C1" s="731"/>
      <c r="D1" s="731"/>
    </row>
    <row r="2" spans="1:4" s="36" customFormat="1" ht="16.2" thickBot="1" x14ac:dyDescent="0.35">
      <c r="A2" s="35"/>
      <c r="B2" s="210"/>
      <c r="D2" s="32" t="s">
        <v>606</v>
      </c>
    </row>
    <row r="3" spans="1:4" s="38" customFormat="1" ht="48" customHeight="1" thickBot="1" x14ac:dyDescent="0.3">
      <c r="A3" s="37" t="s">
        <v>14</v>
      </c>
      <c r="B3" s="114" t="s">
        <v>15</v>
      </c>
      <c r="C3" s="114" t="s">
        <v>69</v>
      </c>
      <c r="D3" s="115" t="s">
        <v>70</v>
      </c>
    </row>
    <row r="4" spans="1:4" s="38" customFormat="1" ht="14.1" customHeight="1" thickBot="1" x14ac:dyDescent="0.3">
      <c r="A4" s="28" t="s">
        <v>494</v>
      </c>
      <c r="B4" s="117" t="s">
        <v>495</v>
      </c>
      <c r="C4" s="117" t="s">
        <v>496</v>
      </c>
      <c r="D4" s="118" t="s">
        <v>498</v>
      </c>
    </row>
    <row r="5" spans="1:4" ht="18" customHeight="1" x14ac:dyDescent="0.25">
      <c r="A5" s="66" t="s">
        <v>16</v>
      </c>
      <c r="B5" s="119" t="s">
        <v>161</v>
      </c>
      <c r="C5" s="64"/>
      <c r="D5" s="39"/>
    </row>
    <row r="6" spans="1:4" ht="18" customHeight="1" x14ac:dyDescent="0.25">
      <c r="A6" s="40" t="s">
        <v>17</v>
      </c>
      <c r="B6" s="120" t="s">
        <v>162</v>
      </c>
      <c r="C6" s="65"/>
      <c r="D6" s="42"/>
    </row>
    <row r="7" spans="1:4" ht="18" customHeight="1" x14ac:dyDescent="0.25">
      <c r="A7" s="40" t="s">
        <v>18</v>
      </c>
      <c r="B7" s="120" t="s">
        <v>118</v>
      </c>
      <c r="C7" s="65"/>
      <c r="D7" s="42"/>
    </row>
    <row r="8" spans="1:4" ht="18" customHeight="1" x14ac:dyDescent="0.25">
      <c r="A8" s="40" t="s">
        <v>19</v>
      </c>
      <c r="B8" s="120" t="s">
        <v>119</v>
      </c>
      <c r="C8" s="65"/>
      <c r="D8" s="42"/>
    </row>
    <row r="9" spans="1:4" ht="18" customHeight="1" x14ac:dyDescent="0.25">
      <c r="A9" s="40" t="s">
        <v>20</v>
      </c>
      <c r="B9" s="120" t="s">
        <v>154</v>
      </c>
      <c r="C9" s="65"/>
      <c r="D9" s="42"/>
    </row>
    <row r="10" spans="1:4" ht="18" customHeight="1" x14ac:dyDescent="0.25">
      <c r="A10" s="40" t="s">
        <v>21</v>
      </c>
      <c r="B10" s="120" t="s">
        <v>155</v>
      </c>
      <c r="C10" s="65"/>
      <c r="D10" s="42"/>
    </row>
    <row r="11" spans="1:4" ht="18" customHeight="1" x14ac:dyDescent="0.25">
      <c r="A11" s="40" t="s">
        <v>22</v>
      </c>
      <c r="B11" s="121" t="s">
        <v>156</v>
      </c>
      <c r="C11" s="65"/>
      <c r="D11" s="42"/>
    </row>
    <row r="12" spans="1:4" ht="18" customHeight="1" x14ac:dyDescent="0.25">
      <c r="A12" s="40" t="s">
        <v>24</v>
      </c>
      <c r="B12" s="121" t="s">
        <v>157</v>
      </c>
      <c r="C12" s="65"/>
      <c r="D12" s="42"/>
    </row>
    <row r="13" spans="1:4" ht="18" customHeight="1" x14ac:dyDescent="0.25">
      <c r="A13" s="40" t="s">
        <v>25</v>
      </c>
      <c r="B13" s="121" t="s">
        <v>158</v>
      </c>
      <c r="C13" s="65"/>
      <c r="D13" s="42"/>
    </row>
    <row r="14" spans="1:4" ht="18" customHeight="1" x14ac:dyDescent="0.25">
      <c r="A14" s="40" t="s">
        <v>26</v>
      </c>
      <c r="B14" s="121" t="s">
        <v>159</v>
      </c>
      <c r="C14" s="65"/>
      <c r="D14" s="42"/>
    </row>
    <row r="15" spans="1:4" ht="22.5" customHeight="1" x14ac:dyDescent="0.25">
      <c r="A15" s="40" t="s">
        <v>27</v>
      </c>
      <c r="B15" s="121" t="s">
        <v>160</v>
      </c>
      <c r="C15" s="65"/>
      <c r="D15" s="42"/>
    </row>
    <row r="16" spans="1:4" ht="18" customHeight="1" x14ac:dyDescent="0.25">
      <c r="A16" s="40" t="s">
        <v>28</v>
      </c>
      <c r="B16" s="120" t="s">
        <v>120</v>
      </c>
      <c r="C16" s="65"/>
      <c r="D16" s="42"/>
    </row>
    <row r="17" spans="1:4" ht="18" customHeight="1" x14ac:dyDescent="0.25">
      <c r="A17" s="40" t="s">
        <v>29</v>
      </c>
      <c r="B17" s="120" t="s">
        <v>9</v>
      </c>
      <c r="C17" s="65"/>
      <c r="D17" s="42"/>
    </row>
    <row r="18" spans="1:4" ht="18" customHeight="1" x14ac:dyDescent="0.25">
      <c r="A18" s="40" t="s">
        <v>30</v>
      </c>
      <c r="B18" s="120" t="s">
        <v>8</v>
      </c>
      <c r="C18" s="65"/>
      <c r="D18" s="42"/>
    </row>
    <row r="19" spans="1:4" ht="18" customHeight="1" x14ac:dyDescent="0.25">
      <c r="A19" s="40" t="s">
        <v>31</v>
      </c>
      <c r="B19" s="120" t="s">
        <v>121</v>
      </c>
      <c r="C19" s="65"/>
      <c r="D19" s="42"/>
    </row>
    <row r="20" spans="1:4" ht="18" customHeight="1" x14ac:dyDescent="0.25">
      <c r="A20" s="40" t="s">
        <v>32</v>
      </c>
      <c r="B20" s="120" t="s">
        <v>122</v>
      </c>
      <c r="C20" s="65"/>
      <c r="D20" s="42"/>
    </row>
    <row r="21" spans="1:4" ht="18" customHeight="1" x14ac:dyDescent="0.25">
      <c r="A21" s="40" t="s">
        <v>33</v>
      </c>
      <c r="B21" s="62"/>
      <c r="C21" s="41"/>
      <c r="D21" s="42"/>
    </row>
    <row r="22" spans="1:4" ht="18" customHeight="1" x14ac:dyDescent="0.25">
      <c r="A22" s="40" t="s">
        <v>34</v>
      </c>
      <c r="B22" s="43"/>
      <c r="C22" s="41"/>
      <c r="D22" s="42"/>
    </row>
    <row r="23" spans="1:4" ht="18" customHeight="1" x14ac:dyDescent="0.25">
      <c r="A23" s="40" t="s">
        <v>35</v>
      </c>
      <c r="B23" s="43"/>
      <c r="C23" s="41"/>
      <c r="D23" s="42"/>
    </row>
    <row r="24" spans="1:4" ht="18" customHeight="1" x14ac:dyDescent="0.25">
      <c r="A24" s="40" t="s">
        <v>36</v>
      </c>
      <c r="B24" s="43"/>
      <c r="C24" s="41"/>
      <c r="D24" s="42"/>
    </row>
    <row r="25" spans="1:4" ht="18" customHeight="1" x14ac:dyDescent="0.25">
      <c r="A25" s="40" t="s">
        <v>37</v>
      </c>
      <c r="B25" s="43"/>
      <c r="C25" s="41"/>
      <c r="D25" s="42"/>
    </row>
    <row r="26" spans="1:4" ht="18" customHeight="1" x14ac:dyDescent="0.25">
      <c r="A26" s="40" t="s">
        <v>38</v>
      </c>
      <c r="B26" s="43"/>
      <c r="C26" s="41"/>
      <c r="D26" s="42"/>
    </row>
    <row r="27" spans="1:4" ht="18" customHeight="1" x14ac:dyDescent="0.25">
      <c r="A27" s="40" t="s">
        <v>39</v>
      </c>
      <c r="B27" s="43"/>
      <c r="C27" s="41"/>
      <c r="D27" s="42"/>
    </row>
    <row r="28" spans="1:4" ht="18" customHeight="1" x14ac:dyDescent="0.25">
      <c r="A28" s="40" t="s">
        <v>40</v>
      </c>
      <c r="B28" s="43"/>
      <c r="C28" s="41"/>
      <c r="D28" s="42"/>
    </row>
    <row r="29" spans="1:4" ht="18" customHeight="1" thickBot="1" x14ac:dyDescent="0.3">
      <c r="A29" s="67" t="s">
        <v>41</v>
      </c>
      <c r="B29" s="44"/>
      <c r="C29" s="45"/>
      <c r="D29" s="46"/>
    </row>
    <row r="30" spans="1:4" ht="18" customHeight="1" thickBot="1" x14ac:dyDescent="0.3">
      <c r="A30" s="29" t="s">
        <v>42</v>
      </c>
      <c r="B30" s="124" t="s">
        <v>50</v>
      </c>
      <c r="C30" s="125">
        <f>+C5+C6+C7+C8+C9+C16+C17+C18+C19+C20+C21+C22+C23+C24+C25+C26+C27+C28+C29</f>
        <v>0</v>
      </c>
      <c r="D30" s="126">
        <f>+D5+D6+D7+D8+D9+D16+D17+D18+D19+D20+D21+D22+D23+D24+D25+D26+D27+D28+D29</f>
        <v>0</v>
      </c>
    </row>
    <row r="31" spans="1:4" ht="8.25" customHeight="1" x14ac:dyDescent="0.25">
      <c r="A31" s="574"/>
      <c r="B31" s="730"/>
      <c r="C31" s="730"/>
      <c r="D31" s="730"/>
    </row>
    <row r="97" spans="7:7" x14ac:dyDescent="0.25">
      <c r="G97" s="530"/>
    </row>
  </sheetData>
  <mergeCells count="2">
    <mergeCell ref="B31:D31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O173"/>
  <sheetViews>
    <sheetView topLeftCell="A148" zoomScaleNormal="100" workbookViewId="0">
      <selection activeCell="Q165" sqref="Q165"/>
    </sheetView>
  </sheetViews>
  <sheetFormatPr defaultColWidth="9.33203125" defaultRowHeight="15.6" x14ac:dyDescent="0.3"/>
  <cols>
    <col min="1" max="1" width="5.6640625" style="333" bestFit="1" customWidth="1"/>
    <col min="2" max="2" width="31.109375" style="332" customWidth="1"/>
    <col min="3" max="3" width="11.109375" style="332" bestFit="1" customWidth="1"/>
    <col min="4" max="4" width="10.77734375" style="332" bestFit="1" customWidth="1"/>
    <col min="5" max="5" width="10.109375" style="332" bestFit="1" customWidth="1"/>
    <col min="6" max="14" width="10.77734375" style="332" bestFit="1" customWidth="1"/>
    <col min="15" max="15" width="11.109375" style="362" bestFit="1" customWidth="1"/>
    <col min="16" max="16384" width="9.33203125" style="332"/>
  </cols>
  <sheetData>
    <row r="1" spans="1:15" ht="20.25" customHeight="1" x14ac:dyDescent="0.3">
      <c r="A1" s="732" t="s">
        <v>624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</row>
    <row r="2" spans="1:15" ht="21" customHeight="1" x14ac:dyDescent="0.3">
      <c r="A2" s="732" t="s">
        <v>625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</row>
    <row r="3" spans="1:15" ht="21" customHeight="1" x14ac:dyDescent="0.3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</row>
    <row r="4" spans="1:15" ht="16.2" thickBot="1" x14ac:dyDescent="0.35">
      <c r="O4" s="334" t="s">
        <v>606</v>
      </c>
    </row>
    <row r="5" spans="1:15" s="333" customFormat="1" ht="31.5" customHeight="1" thickBot="1" x14ac:dyDescent="0.35">
      <c r="A5" s="58" t="s">
        <v>14</v>
      </c>
      <c r="B5" s="59" t="s">
        <v>59</v>
      </c>
      <c r="C5" s="59" t="s">
        <v>71</v>
      </c>
      <c r="D5" s="59" t="s">
        <v>72</v>
      </c>
      <c r="E5" s="59" t="s">
        <v>73</v>
      </c>
      <c r="F5" s="59" t="s">
        <v>74</v>
      </c>
      <c r="G5" s="59" t="s">
        <v>75</v>
      </c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81</v>
      </c>
      <c r="N5" s="59" t="s">
        <v>82</v>
      </c>
      <c r="O5" s="60" t="s">
        <v>48</v>
      </c>
    </row>
    <row r="6" spans="1:15" s="336" customFormat="1" ht="15" customHeight="1" thickBot="1" x14ac:dyDescent="0.3">
      <c r="A6" s="335"/>
      <c r="B6" s="734" t="s">
        <v>54</v>
      </c>
      <c r="C6" s="735"/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6"/>
    </row>
    <row r="7" spans="1:15" s="340" customFormat="1" x14ac:dyDescent="0.25">
      <c r="A7" s="337" t="s">
        <v>16</v>
      </c>
      <c r="B7" s="338" t="s">
        <v>377</v>
      </c>
      <c r="C7" s="339">
        <v>18370</v>
      </c>
      <c r="D7" s="339">
        <f>18364+352</f>
        <v>18716</v>
      </c>
      <c r="E7" s="339">
        <v>18364</v>
      </c>
      <c r="F7" s="339">
        <v>18364</v>
      </c>
      <c r="G7" s="339">
        <v>18364</v>
      </c>
      <c r="H7" s="339">
        <v>18364</v>
      </c>
      <c r="I7" s="339">
        <v>18364</v>
      </c>
      <c r="J7" s="339">
        <v>18364</v>
      </c>
      <c r="K7" s="339">
        <v>18364</v>
      </c>
      <c r="L7" s="339">
        <v>18364</v>
      </c>
      <c r="M7" s="339">
        <v>18364</v>
      </c>
      <c r="N7" s="339">
        <v>18364</v>
      </c>
      <c r="O7" s="359">
        <f t="shared" ref="O7:O16" si="0">SUM(C7:N7)</f>
        <v>220726</v>
      </c>
    </row>
    <row r="8" spans="1:15" s="344" customFormat="1" x14ac:dyDescent="0.25">
      <c r="A8" s="341" t="s">
        <v>17</v>
      </c>
      <c r="B8" s="342" t="s">
        <v>423</v>
      </c>
      <c r="C8" s="343">
        <f>3807+540</f>
        <v>4347</v>
      </c>
      <c r="D8" s="343">
        <f>3807+544</f>
        <v>4351</v>
      </c>
      <c r="E8" s="343">
        <v>3807</v>
      </c>
      <c r="F8" s="343">
        <v>3807</v>
      </c>
      <c r="G8" s="343">
        <v>3807</v>
      </c>
      <c r="H8" s="343">
        <v>3807</v>
      </c>
      <c r="I8" s="343">
        <v>3807</v>
      </c>
      <c r="J8" s="343">
        <v>3807</v>
      </c>
      <c r="K8" s="343">
        <v>3807</v>
      </c>
      <c r="L8" s="343">
        <v>3807</v>
      </c>
      <c r="M8" s="343">
        <v>3807</v>
      </c>
      <c r="N8" s="343">
        <v>3807</v>
      </c>
      <c r="O8" s="360">
        <f t="shared" si="0"/>
        <v>46768</v>
      </c>
    </row>
    <row r="9" spans="1:15" s="344" customFormat="1" x14ac:dyDescent="0.25">
      <c r="A9" s="341" t="s">
        <v>18</v>
      </c>
      <c r="B9" s="345" t="s">
        <v>424</v>
      </c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61">
        <f t="shared" si="0"/>
        <v>0</v>
      </c>
    </row>
    <row r="10" spans="1:15" s="344" customFormat="1" ht="14.1" customHeight="1" x14ac:dyDescent="0.25">
      <c r="A10" s="341" t="s">
        <v>19</v>
      </c>
      <c r="B10" s="347" t="s">
        <v>168</v>
      </c>
      <c r="C10" s="343">
        <v>4821</v>
      </c>
      <c r="D10" s="343">
        <v>4821</v>
      </c>
      <c r="E10" s="343">
        <f>36160</f>
        <v>36160</v>
      </c>
      <c r="F10" s="343">
        <v>4821</v>
      </c>
      <c r="G10" s="343">
        <v>4821</v>
      </c>
      <c r="H10" s="343">
        <v>4821</v>
      </c>
      <c r="I10" s="343">
        <v>4821</v>
      </c>
      <c r="J10" s="343">
        <v>4821</v>
      </c>
      <c r="K10" s="343">
        <v>36160</v>
      </c>
      <c r="L10" s="343">
        <v>4821</v>
      </c>
      <c r="M10" s="343">
        <v>4821</v>
      </c>
      <c r="N10" s="343">
        <v>4821</v>
      </c>
      <c r="O10" s="360">
        <f t="shared" si="0"/>
        <v>120530</v>
      </c>
    </row>
    <row r="11" spans="1:15" s="344" customFormat="1" ht="14.1" customHeight="1" x14ac:dyDescent="0.25">
      <c r="A11" s="341" t="s">
        <v>20</v>
      </c>
      <c r="B11" s="347" t="s">
        <v>425</v>
      </c>
      <c r="C11" s="343">
        <v>2170</v>
      </c>
      <c r="D11" s="343">
        <v>2170</v>
      </c>
      <c r="E11" s="343">
        <v>2170</v>
      </c>
      <c r="F11" s="343">
        <v>2170</v>
      </c>
      <c r="G11" s="343">
        <v>2170</v>
      </c>
      <c r="H11" s="343">
        <f>2170+28327</f>
        <v>30497</v>
      </c>
      <c r="I11" s="343">
        <f>2170+28327</f>
        <v>30497</v>
      </c>
      <c r="J11" s="343">
        <f>2170+28327</f>
        <v>30497</v>
      </c>
      <c r="K11" s="343">
        <f>2170+7</f>
        <v>2177</v>
      </c>
      <c r="L11" s="343">
        <v>2170</v>
      </c>
      <c r="M11" s="343">
        <v>2170</v>
      </c>
      <c r="N11" s="343">
        <v>2170</v>
      </c>
      <c r="O11" s="360">
        <f t="shared" si="0"/>
        <v>111028</v>
      </c>
    </row>
    <row r="12" spans="1:15" s="344" customFormat="1" ht="14.1" customHeight="1" x14ac:dyDescent="0.25">
      <c r="A12" s="341" t="s">
        <v>21</v>
      </c>
      <c r="B12" s="347" t="s">
        <v>10</v>
      </c>
      <c r="C12" s="343">
        <v>34</v>
      </c>
      <c r="D12" s="343">
        <v>33</v>
      </c>
      <c r="E12" s="343">
        <v>33</v>
      </c>
      <c r="F12" s="343">
        <v>33</v>
      </c>
      <c r="G12" s="343">
        <v>33</v>
      </c>
      <c r="H12" s="343">
        <v>33</v>
      </c>
      <c r="I12" s="343">
        <v>33</v>
      </c>
      <c r="J12" s="343">
        <v>33</v>
      </c>
      <c r="K12" s="343">
        <v>33</v>
      </c>
      <c r="L12" s="343">
        <v>33</v>
      </c>
      <c r="M12" s="343">
        <v>33</v>
      </c>
      <c r="N12" s="343">
        <v>33</v>
      </c>
      <c r="O12" s="360">
        <f t="shared" si="0"/>
        <v>397</v>
      </c>
    </row>
    <row r="13" spans="1:15" s="344" customFormat="1" ht="14.1" customHeight="1" x14ac:dyDescent="0.25">
      <c r="A13" s="341" t="s">
        <v>22</v>
      </c>
      <c r="B13" s="347" t="s">
        <v>379</v>
      </c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60">
        <f t="shared" si="0"/>
        <v>0</v>
      </c>
    </row>
    <row r="14" spans="1:15" s="344" customFormat="1" x14ac:dyDescent="0.25">
      <c r="A14" s="341" t="s">
        <v>23</v>
      </c>
      <c r="B14" s="342" t="s">
        <v>411</v>
      </c>
      <c r="C14" s="343"/>
      <c r="D14" s="343"/>
      <c r="E14" s="343">
        <v>4700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60">
        <f t="shared" si="0"/>
        <v>4700</v>
      </c>
    </row>
    <row r="15" spans="1:15" s="344" customFormat="1" ht="14.1" customHeight="1" thickBot="1" x14ac:dyDescent="0.3">
      <c r="A15" s="348" t="s">
        <v>24</v>
      </c>
      <c r="B15" s="347" t="s">
        <v>11</v>
      </c>
      <c r="C15" s="343">
        <v>159250</v>
      </c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60">
        <f t="shared" si="0"/>
        <v>159250</v>
      </c>
    </row>
    <row r="16" spans="1:15" s="340" customFormat="1" ht="15.9" customHeight="1" thickBot="1" x14ac:dyDescent="0.3">
      <c r="A16" s="349"/>
      <c r="B16" s="350" t="s">
        <v>107</v>
      </c>
      <c r="C16" s="351">
        <f t="shared" ref="C16:N16" si="1">SUM(C7:C15)</f>
        <v>188992</v>
      </c>
      <c r="D16" s="351">
        <f t="shared" si="1"/>
        <v>30091</v>
      </c>
      <c r="E16" s="351">
        <f t="shared" si="1"/>
        <v>65234</v>
      </c>
      <c r="F16" s="351">
        <f t="shared" si="1"/>
        <v>29195</v>
      </c>
      <c r="G16" s="351">
        <f t="shared" si="1"/>
        <v>29195</v>
      </c>
      <c r="H16" s="351">
        <f t="shared" si="1"/>
        <v>57522</v>
      </c>
      <c r="I16" s="351">
        <f t="shared" si="1"/>
        <v>57522</v>
      </c>
      <c r="J16" s="351">
        <f t="shared" si="1"/>
        <v>57522</v>
      </c>
      <c r="K16" s="351">
        <f t="shared" si="1"/>
        <v>60541</v>
      </c>
      <c r="L16" s="351">
        <f t="shared" si="1"/>
        <v>29195</v>
      </c>
      <c r="M16" s="351">
        <f t="shared" si="1"/>
        <v>29195</v>
      </c>
      <c r="N16" s="351">
        <f t="shared" si="1"/>
        <v>29195</v>
      </c>
      <c r="O16" s="352">
        <f t="shared" si="0"/>
        <v>663399</v>
      </c>
    </row>
    <row r="17" spans="1:15" s="340" customFormat="1" ht="15.9" customHeight="1" thickBot="1" x14ac:dyDescent="0.3">
      <c r="A17" s="353"/>
      <c r="B17" s="354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</row>
    <row r="18" spans="1:15" s="336" customFormat="1" ht="15" customHeight="1" thickBot="1" x14ac:dyDescent="0.3">
      <c r="A18" s="335"/>
      <c r="B18" s="734" t="s">
        <v>55</v>
      </c>
      <c r="C18" s="735"/>
      <c r="D18" s="735"/>
      <c r="E18" s="735"/>
      <c r="F18" s="735"/>
      <c r="G18" s="735"/>
      <c r="H18" s="735"/>
      <c r="I18" s="735"/>
      <c r="J18" s="735"/>
      <c r="K18" s="735"/>
      <c r="L18" s="735"/>
      <c r="M18" s="735"/>
      <c r="N18" s="735"/>
      <c r="O18" s="736"/>
    </row>
    <row r="19" spans="1:15" s="344" customFormat="1" ht="14.1" customHeight="1" x14ac:dyDescent="0.25">
      <c r="A19" s="356" t="s">
        <v>16</v>
      </c>
      <c r="B19" s="357" t="s">
        <v>60</v>
      </c>
      <c r="C19" s="346">
        <v>5206</v>
      </c>
      <c r="D19" s="346">
        <v>5206</v>
      </c>
      <c r="E19" s="346">
        <v>5206</v>
      </c>
      <c r="F19" s="346">
        <v>5206</v>
      </c>
      <c r="G19" s="346">
        <v>5206</v>
      </c>
      <c r="H19" s="346">
        <f>5206+3524</f>
        <v>8730</v>
      </c>
      <c r="I19" s="346">
        <f>5206+3524</f>
        <v>8730</v>
      </c>
      <c r="J19" s="346">
        <f>5206+3524</f>
        <v>8730</v>
      </c>
      <c r="K19" s="346">
        <v>5206</v>
      </c>
      <c r="L19" s="346">
        <v>5206</v>
      </c>
      <c r="M19" s="346">
        <v>5206</v>
      </c>
      <c r="N19" s="346">
        <v>5206</v>
      </c>
      <c r="O19" s="361">
        <f t="shared" ref="O19:O29" si="2">SUM(C19:N19)</f>
        <v>73044</v>
      </c>
    </row>
    <row r="20" spans="1:15" s="344" customFormat="1" ht="27" customHeight="1" x14ac:dyDescent="0.25">
      <c r="A20" s="356" t="s">
        <v>17</v>
      </c>
      <c r="B20" s="342" t="s">
        <v>177</v>
      </c>
      <c r="C20" s="343">
        <v>1717</v>
      </c>
      <c r="D20" s="343">
        <v>1717</v>
      </c>
      <c r="E20" s="343">
        <v>1717</v>
      </c>
      <c r="F20" s="343">
        <v>1717</v>
      </c>
      <c r="G20" s="343">
        <v>1717</v>
      </c>
      <c r="H20" s="343">
        <f>1717+1005</f>
        <v>2722</v>
      </c>
      <c r="I20" s="343">
        <f>1717+1005</f>
        <v>2722</v>
      </c>
      <c r="J20" s="343">
        <f>1717+1006</f>
        <v>2723</v>
      </c>
      <c r="K20" s="343">
        <v>1717</v>
      </c>
      <c r="L20" s="343">
        <v>1717</v>
      </c>
      <c r="M20" s="343">
        <v>1717</v>
      </c>
      <c r="N20" s="343">
        <v>1717</v>
      </c>
      <c r="O20" s="360">
        <f t="shared" si="2"/>
        <v>23620</v>
      </c>
    </row>
    <row r="21" spans="1:15" s="344" customFormat="1" ht="14.1" customHeight="1" x14ac:dyDescent="0.25">
      <c r="A21" s="356" t="s">
        <v>18</v>
      </c>
      <c r="B21" s="347" t="s">
        <v>135</v>
      </c>
      <c r="C21" s="343">
        <v>9883</v>
      </c>
      <c r="D21" s="343">
        <v>9883</v>
      </c>
      <c r="E21" s="343">
        <v>9883</v>
      </c>
      <c r="F21" s="343">
        <v>9883</v>
      </c>
      <c r="G21" s="343">
        <v>9883</v>
      </c>
      <c r="H21" s="343">
        <f>19333+9883</f>
        <v>29216</v>
      </c>
      <c r="I21" s="343">
        <f>19333+9883</f>
        <v>29216</v>
      </c>
      <c r="J21" s="343">
        <f>19334+9883</f>
        <v>29217</v>
      </c>
      <c r="K21" s="343">
        <v>9882</v>
      </c>
      <c r="L21" s="343">
        <v>9882</v>
      </c>
      <c r="M21" s="343">
        <v>9882</v>
      </c>
      <c r="N21" s="343">
        <v>9882</v>
      </c>
      <c r="O21" s="360">
        <f t="shared" si="2"/>
        <v>176592</v>
      </c>
    </row>
    <row r="22" spans="1:15" s="344" customFormat="1" ht="14.1" customHeight="1" x14ac:dyDescent="0.25">
      <c r="A22" s="356" t="s">
        <v>19</v>
      </c>
      <c r="B22" s="347" t="s">
        <v>178</v>
      </c>
      <c r="C22" s="343">
        <v>502</v>
      </c>
      <c r="D22" s="343">
        <v>502</v>
      </c>
      <c r="E22" s="343">
        <v>501</v>
      </c>
      <c r="F22" s="343">
        <v>501</v>
      </c>
      <c r="G22" s="343">
        <v>501</v>
      </c>
      <c r="H22" s="343">
        <v>501</v>
      </c>
      <c r="I22" s="343">
        <v>501</v>
      </c>
      <c r="J22" s="343">
        <v>501</v>
      </c>
      <c r="K22" s="343">
        <v>501</v>
      </c>
      <c r="L22" s="343">
        <v>501</v>
      </c>
      <c r="M22" s="343">
        <v>501</v>
      </c>
      <c r="N22" s="343">
        <v>501</v>
      </c>
      <c r="O22" s="360">
        <f t="shared" si="2"/>
        <v>6014</v>
      </c>
    </row>
    <row r="23" spans="1:15" s="344" customFormat="1" ht="14.1" customHeight="1" x14ac:dyDescent="0.25">
      <c r="A23" s="356" t="s">
        <v>20</v>
      </c>
      <c r="B23" s="347" t="s">
        <v>626</v>
      </c>
      <c r="C23" s="343">
        <v>9197</v>
      </c>
      <c r="D23" s="343">
        <v>9197</v>
      </c>
      <c r="E23" s="343">
        <v>9197</v>
      </c>
      <c r="F23" s="343">
        <v>9197</v>
      </c>
      <c r="G23" s="343">
        <v>9198</v>
      </c>
      <c r="H23" s="343">
        <v>9198</v>
      </c>
      <c r="I23" s="343">
        <v>9198</v>
      </c>
      <c r="J23" s="343">
        <v>9198</v>
      </c>
      <c r="K23" s="343">
        <v>9198</v>
      </c>
      <c r="L23" s="343">
        <v>9198</v>
      </c>
      <c r="M23" s="343">
        <v>9198</v>
      </c>
      <c r="N23" s="343">
        <v>9198</v>
      </c>
      <c r="O23" s="360">
        <f t="shared" si="2"/>
        <v>110372</v>
      </c>
    </row>
    <row r="24" spans="1:15" s="344" customFormat="1" ht="14.1" customHeight="1" x14ac:dyDescent="0.25">
      <c r="A24" s="356" t="s">
        <v>21</v>
      </c>
      <c r="B24" s="347" t="s">
        <v>566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>
        <f>25488+352</f>
        <v>25840</v>
      </c>
      <c r="O24" s="360">
        <f t="shared" si="2"/>
        <v>25840</v>
      </c>
    </row>
    <row r="25" spans="1:15" s="344" customFormat="1" ht="14.1" customHeight="1" x14ac:dyDescent="0.25">
      <c r="A25" s="356" t="s">
        <v>22</v>
      </c>
      <c r="B25" s="347" t="s">
        <v>222</v>
      </c>
      <c r="C25" s="343">
        <v>5411</v>
      </c>
      <c r="D25" s="343">
        <f>5411</f>
        <v>5411</v>
      </c>
      <c r="E25" s="343">
        <f>5411+4700</f>
        <v>10111</v>
      </c>
      <c r="F25" s="343">
        <v>5411</v>
      </c>
      <c r="G25" s="343">
        <v>5411</v>
      </c>
      <c r="H25" s="343">
        <v>5411</v>
      </c>
      <c r="I25" s="343">
        <v>5411</v>
      </c>
      <c r="J25" s="343">
        <v>5411</v>
      </c>
      <c r="K25" s="343">
        <v>5411</v>
      </c>
      <c r="L25" s="343">
        <v>5411</v>
      </c>
      <c r="M25" s="343">
        <v>5411</v>
      </c>
      <c r="N25" s="343">
        <v>5412</v>
      </c>
      <c r="O25" s="360">
        <f t="shared" si="2"/>
        <v>69633</v>
      </c>
    </row>
    <row r="26" spans="1:15" s="344" customFormat="1" x14ac:dyDescent="0.25">
      <c r="A26" s="356" t="s">
        <v>23</v>
      </c>
      <c r="B26" s="342" t="s">
        <v>181</v>
      </c>
      <c r="C26" s="343">
        <v>1240</v>
      </c>
      <c r="D26" s="343">
        <v>1240</v>
      </c>
      <c r="E26" s="343">
        <v>1240</v>
      </c>
      <c r="F26" s="343">
        <v>1240</v>
      </c>
      <c r="G26" s="343">
        <v>1240</v>
      </c>
      <c r="H26" s="343">
        <v>1241</v>
      </c>
      <c r="I26" s="343">
        <v>1240</v>
      </c>
      <c r="J26" s="343">
        <v>1240</v>
      </c>
      <c r="K26" s="343">
        <v>1240</v>
      </c>
      <c r="L26" s="343">
        <v>1240</v>
      </c>
      <c r="M26" s="343">
        <v>1240</v>
      </c>
      <c r="N26" s="343">
        <v>1240</v>
      </c>
      <c r="O26" s="360">
        <f t="shared" si="2"/>
        <v>14881</v>
      </c>
    </row>
    <row r="27" spans="1:15" s="344" customFormat="1" ht="14.1" customHeight="1" x14ac:dyDescent="0.25">
      <c r="A27" s="356" t="s">
        <v>24</v>
      </c>
      <c r="B27" s="347" t="s">
        <v>225</v>
      </c>
      <c r="C27" s="343"/>
      <c r="D27" s="343"/>
      <c r="E27" s="343">
        <v>2000</v>
      </c>
      <c r="F27" s="343"/>
      <c r="G27" s="343"/>
      <c r="H27" s="343">
        <v>400</v>
      </c>
      <c r="I27" s="343"/>
      <c r="J27" s="343"/>
      <c r="K27" s="343"/>
      <c r="L27" s="343"/>
      <c r="M27" s="343"/>
      <c r="N27" s="343"/>
      <c r="O27" s="360">
        <f t="shared" si="2"/>
        <v>2400</v>
      </c>
    </row>
    <row r="28" spans="1:15" s="344" customFormat="1" ht="14.1" customHeight="1" thickBot="1" x14ac:dyDescent="0.3">
      <c r="A28" s="356" t="s">
        <v>25</v>
      </c>
      <c r="B28" s="347" t="s">
        <v>12</v>
      </c>
      <c r="C28" s="343">
        <f>12741+8111</f>
        <v>20852</v>
      </c>
      <c r="D28" s="343">
        <v>12741</v>
      </c>
      <c r="E28" s="343">
        <v>12741</v>
      </c>
      <c r="F28" s="343">
        <v>12741</v>
      </c>
      <c r="G28" s="343">
        <v>12741</v>
      </c>
      <c r="H28" s="343">
        <v>12741</v>
      </c>
      <c r="I28" s="343">
        <v>12741</v>
      </c>
      <c r="J28" s="343">
        <v>12741</v>
      </c>
      <c r="K28" s="343">
        <v>12741</v>
      </c>
      <c r="L28" s="343">
        <v>12741</v>
      </c>
      <c r="M28" s="343">
        <v>12741</v>
      </c>
      <c r="N28" s="343">
        <v>12741</v>
      </c>
      <c r="O28" s="360">
        <f t="shared" si="2"/>
        <v>161003</v>
      </c>
    </row>
    <row r="29" spans="1:15" s="340" customFormat="1" ht="15.9" customHeight="1" thickBot="1" x14ac:dyDescent="0.3">
      <c r="A29" s="349"/>
      <c r="B29" s="350" t="s">
        <v>108</v>
      </c>
      <c r="C29" s="351">
        <f t="shared" ref="C29:N29" si="3">SUM(C19:C28)</f>
        <v>54008</v>
      </c>
      <c r="D29" s="351">
        <f t="shared" si="3"/>
        <v>45897</v>
      </c>
      <c r="E29" s="351">
        <f t="shared" si="3"/>
        <v>52596</v>
      </c>
      <c r="F29" s="351">
        <f t="shared" si="3"/>
        <v>45896</v>
      </c>
      <c r="G29" s="351">
        <f t="shared" si="3"/>
        <v>45897</v>
      </c>
      <c r="H29" s="351">
        <f t="shared" si="3"/>
        <v>70160</v>
      </c>
      <c r="I29" s="351">
        <f t="shared" si="3"/>
        <v>69759</v>
      </c>
      <c r="J29" s="351">
        <f t="shared" si="3"/>
        <v>69761</v>
      </c>
      <c r="K29" s="351">
        <f t="shared" si="3"/>
        <v>45896</v>
      </c>
      <c r="L29" s="351">
        <f t="shared" si="3"/>
        <v>45896</v>
      </c>
      <c r="M29" s="351">
        <f t="shared" si="3"/>
        <v>45896</v>
      </c>
      <c r="N29" s="351">
        <f t="shared" si="3"/>
        <v>71737</v>
      </c>
      <c r="O29" s="352">
        <f t="shared" si="2"/>
        <v>663399</v>
      </c>
    </row>
    <row r="30" spans="1:15" s="340" customFormat="1" ht="15.9" customHeight="1" thickBot="1" x14ac:dyDescent="0.3">
      <c r="A30" s="358"/>
      <c r="B30" s="354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</row>
    <row r="31" spans="1:15" ht="16.2" thickBot="1" x14ac:dyDescent="0.35">
      <c r="A31" s="349"/>
      <c r="B31" s="350" t="s">
        <v>109</v>
      </c>
      <c r="C31" s="351">
        <f t="shared" ref="C31:O31" si="4">C16-C29</f>
        <v>134984</v>
      </c>
      <c r="D31" s="351">
        <f t="shared" si="4"/>
        <v>-15806</v>
      </c>
      <c r="E31" s="351">
        <f t="shared" si="4"/>
        <v>12638</v>
      </c>
      <c r="F31" s="351">
        <f t="shared" si="4"/>
        <v>-16701</v>
      </c>
      <c r="G31" s="351">
        <f t="shared" si="4"/>
        <v>-16702</v>
      </c>
      <c r="H31" s="351">
        <f t="shared" si="4"/>
        <v>-12638</v>
      </c>
      <c r="I31" s="351">
        <f t="shared" si="4"/>
        <v>-12237</v>
      </c>
      <c r="J31" s="351">
        <f t="shared" si="4"/>
        <v>-12239</v>
      </c>
      <c r="K31" s="351">
        <f t="shared" si="4"/>
        <v>14645</v>
      </c>
      <c r="L31" s="351">
        <f t="shared" si="4"/>
        <v>-16701</v>
      </c>
      <c r="M31" s="351">
        <f t="shared" si="4"/>
        <v>-16701</v>
      </c>
      <c r="N31" s="351">
        <f t="shared" si="4"/>
        <v>-42542</v>
      </c>
      <c r="O31" s="352">
        <f t="shared" si="4"/>
        <v>0</v>
      </c>
    </row>
    <row r="34" spans="1:15" ht="20.25" customHeight="1" x14ac:dyDescent="0.3">
      <c r="A34" s="732" t="s">
        <v>624</v>
      </c>
      <c r="B34" s="733"/>
      <c r="C34" s="733"/>
      <c r="D34" s="733"/>
      <c r="E34" s="733"/>
      <c r="F34" s="733"/>
      <c r="G34" s="733"/>
      <c r="H34" s="733"/>
      <c r="I34" s="733"/>
      <c r="J34" s="733"/>
      <c r="K34" s="733"/>
      <c r="L34" s="733"/>
      <c r="M34" s="733"/>
      <c r="N34" s="733"/>
      <c r="O34" s="733"/>
    </row>
    <row r="35" spans="1:15" ht="21" customHeight="1" x14ac:dyDescent="0.3">
      <c r="A35" s="732" t="s">
        <v>683</v>
      </c>
      <c r="B35" s="732"/>
      <c r="C35" s="732"/>
      <c r="D35" s="732"/>
      <c r="E35" s="732"/>
      <c r="F35" s="732"/>
      <c r="G35" s="732"/>
      <c r="H35" s="732"/>
      <c r="I35" s="732"/>
      <c r="J35" s="732"/>
      <c r="K35" s="732"/>
      <c r="L35" s="732"/>
      <c r="M35" s="732"/>
      <c r="N35" s="732"/>
      <c r="O35" s="732"/>
    </row>
    <row r="36" spans="1:15" ht="21" customHeight="1" x14ac:dyDescent="0.3">
      <c r="A36" s="296"/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</row>
    <row r="37" spans="1:15" ht="16.2" thickBot="1" x14ac:dyDescent="0.35">
      <c r="O37" s="334" t="s">
        <v>606</v>
      </c>
    </row>
    <row r="38" spans="1:15" s="333" customFormat="1" ht="31.5" customHeight="1" thickBot="1" x14ac:dyDescent="0.35">
      <c r="A38" s="58" t="s">
        <v>14</v>
      </c>
      <c r="B38" s="59" t="s">
        <v>59</v>
      </c>
      <c r="C38" s="59" t="s">
        <v>71</v>
      </c>
      <c r="D38" s="59" t="s">
        <v>72</v>
      </c>
      <c r="E38" s="59" t="s">
        <v>73</v>
      </c>
      <c r="F38" s="59" t="s">
        <v>74</v>
      </c>
      <c r="G38" s="59" t="s">
        <v>75</v>
      </c>
      <c r="H38" s="59" t="s">
        <v>76</v>
      </c>
      <c r="I38" s="59" t="s">
        <v>77</v>
      </c>
      <c r="J38" s="59" t="s">
        <v>78</v>
      </c>
      <c r="K38" s="59" t="s">
        <v>79</v>
      </c>
      <c r="L38" s="59" t="s">
        <v>80</v>
      </c>
      <c r="M38" s="59" t="s">
        <v>81</v>
      </c>
      <c r="N38" s="59" t="s">
        <v>82</v>
      </c>
      <c r="O38" s="60" t="s">
        <v>48</v>
      </c>
    </row>
    <row r="39" spans="1:15" s="336" customFormat="1" ht="15" customHeight="1" thickBot="1" x14ac:dyDescent="0.3">
      <c r="A39" s="335"/>
      <c r="B39" s="734" t="s">
        <v>54</v>
      </c>
      <c r="C39" s="735"/>
      <c r="D39" s="735"/>
      <c r="E39" s="735"/>
      <c r="F39" s="735"/>
      <c r="G39" s="735"/>
      <c r="H39" s="735"/>
      <c r="I39" s="735"/>
      <c r="J39" s="735"/>
      <c r="K39" s="735"/>
      <c r="L39" s="735"/>
      <c r="M39" s="735"/>
      <c r="N39" s="735"/>
      <c r="O39" s="736"/>
    </row>
    <row r="40" spans="1:15" s="340" customFormat="1" x14ac:dyDescent="0.25">
      <c r="A40" s="337" t="s">
        <v>16</v>
      </c>
      <c r="B40" s="338" t="s">
        <v>377</v>
      </c>
      <c r="C40" s="339">
        <v>18370</v>
      </c>
      <c r="D40" s="339">
        <f>18364+352</f>
        <v>18716</v>
      </c>
      <c r="E40" s="339">
        <v>18364</v>
      </c>
      <c r="F40" s="339">
        <v>18364</v>
      </c>
      <c r="G40" s="339">
        <f>18364+690+342+926</f>
        <v>20322</v>
      </c>
      <c r="H40" s="339">
        <v>18364</v>
      </c>
      <c r="I40" s="339">
        <v>18364</v>
      </c>
      <c r="J40" s="339">
        <v>18364</v>
      </c>
      <c r="K40" s="339">
        <v>18364</v>
      </c>
      <c r="L40" s="339">
        <v>18364</v>
      </c>
      <c r="M40" s="339">
        <v>18364</v>
      </c>
      <c r="N40" s="339">
        <v>18364</v>
      </c>
      <c r="O40" s="359">
        <f t="shared" ref="O40:O49" si="5">SUM(C40:N40)</f>
        <v>222684</v>
      </c>
    </row>
    <row r="41" spans="1:15" s="344" customFormat="1" x14ac:dyDescent="0.25">
      <c r="A41" s="341" t="s">
        <v>17</v>
      </c>
      <c r="B41" s="342" t="s">
        <v>423</v>
      </c>
      <c r="C41" s="343">
        <f>3807+540</f>
        <v>4347</v>
      </c>
      <c r="D41" s="343">
        <f>3807+544</f>
        <v>4351</v>
      </c>
      <c r="E41" s="343">
        <v>3807</v>
      </c>
      <c r="F41" s="343">
        <v>3807</v>
      </c>
      <c r="G41" s="343">
        <f>3807+586+75+5040-1</f>
        <v>9507</v>
      </c>
      <c r="H41" s="343">
        <v>3807</v>
      </c>
      <c r="I41" s="343">
        <v>3807</v>
      </c>
      <c r="J41" s="343">
        <v>3807</v>
      </c>
      <c r="K41" s="343">
        <v>3807</v>
      </c>
      <c r="L41" s="343">
        <v>3807</v>
      </c>
      <c r="M41" s="343">
        <v>3807</v>
      </c>
      <c r="N41" s="343">
        <v>3807</v>
      </c>
      <c r="O41" s="360">
        <f t="shared" si="5"/>
        <v>52468</v>
      </c>
    </row>
    <row r="42" spans="1:15" s="344" customFormat="1" x14ac:dyDescent="0.25">
      <c r="A42" s="341" t="s">
        <v>18</v>
      </c>
      <c r="B42" s="345" t="s">
        <v>424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61">
        <f t="shared" si="5"/>
        <v>0</v>
      </c>
    </row>
    <row r="43" spans="1:15" s="344" customFormat="1" ht="14.1" customHeight="1" x14ac:dyDescent="0.25">
      <c r="A43" s="341" t="s">
        <v>19</v>
      </c>
      <c r="B43" s="347" t="s">
        <v>168</v>
      </c>
      <c r="C43" s="343">
        <v>4821</v>
      </c>
      <c r="D43" s="343">
        <v>4821</v>
      </c>
      <c r="E43" s="343">
        <f>36160</f>
        <v>36160</v>
      </c>
      <c r="F43" s="343">
        <v>4821</v>
      </c>
      <c r="G43" s="343">
        <v>4821</v>
      </c>
      <c r="H43" s="343">
        <v>4821</v>
      </c>
      <c r="I43" s="343">
        <v>4821</v>
      </c>
      <c r="J43" s="343">
        <v>4821</v>
      </c>
      <c r="K43" s="343">
        <v>36160</v>
      </c>
      <c r="L43" s="343">
        <v>4821</v>
      </c>
      <c r="M43" s="343">
        <v>4821</v>
      </c>
      <c r="N43" s="343">
        <v>4821</v>
      </c>
      <c r="O43" s="360">
        <f t="shared" si="5"/>
        <v>120530</v>
      </c>
    </row>
    <row r="44" spans="1:15" s="344" customFormat="1" ht="14.1" customHeight="1" x14ac:dyDescent="0.25">
      <c r="A44" s="341" t="s">
        <v>20</v>
      </c>
      <c r="B44" s="347" t="s">
        <v>425</v>
      </c>
      <c r="C44" s="343">
        <v>2170</v>
      </c>
      <c r="D44" s="343">
        <v>2170</v>
      </c>
      <c r="E44" s="343">
        <v>2170</v>
      </c>
      <c r="F44" s="343">
        <v>2170</v>
      </c>
      <c r="G44" s="343">
        <f>2170+2286+32</f>
        <v>4488</v>
      </c>
      <c r="H44" s="343">
        <f>2170+28327</f>
        <v>30497</v>
      </c>
      <c r="I44" s="343">
        <f>2170+28327</f>
        <v>30497</v>
      </c>
      <c r="J44" s="343">
        <f>2170+28327</f>
        <v>30497</v>
      </c>
      <c r="K44" s="343">
        <f>2170+7</f>
        <v>2177</v>
      </c>
      <c r="L44" s="343">
        <v>2170</v>
      </c>
      <c r="M44" s="343">
        <v>2170</v>
      </c>
      <c r="N44" s="343">
        <v>2170</v>
      </c>
      <c r="O44" s="360">
        <f t="shared" si="5"/>
        <v>113346</v>
      </c>
    </row>
    <row r="45" spans="1:15" s="344" customFormat="1" ht="14.1" customHeight="1" x14ac:dyDescent="0.25">
      <c r="A45" s="341" t="s">
        <v>21</v>
      </c>
      <c r="B45" s="347" t="s">
        <v>10</v>
      </c>
      <c r="C45" s="343">
        <v>28</v>
      </c>
      <c r="D45" s="343">
        <v>28</v>
      </c>
      <c r="E45" s="343">
        <v>28</v>
      </c>
      <c r="F45" s="343">
        <v>28</v>
      </c>
      <c r="G45" s="343">
        <v>28</v>
      </c>
      <c r="H45" s="343">
        <v>28</v>
      </c>
      <c r="I45" s="343">
        <v>28</v>
      </c>
      <c r="J45" s="343">
        <v>28</v>
      </c>
      <c r="K45" s="343">
        <v>28</v>
      </c>
      <c r="L45" s="343">
        <v>28</v>
      </c>
      <c r="M45" s="343">
        <v>28</v>
      </c>
      <c r="N45" s="343">
        <v>28</v>
      </c>
      <c r="O45" s="360">
        <f t="shared" si="5"/>
        <v>336</v>
      </c>
    </row>
    <row r="46" spans="1:15" s="344" customFormat="1" ht="14.1" customHeight="1" x14ac:dyDescent="0.25">
      <c r="A46" s="341" t="s">
        <v>22</v>
      </c>
      <c r="B46" s="347" t="s">
        <v>379</v>
      </c>
      <c r="C46" s="343"/>
      <c r="D46" s="343"/>
      <c r="E46" s="343"/>
      <c r="F46" s="343"/>
      <c r="G46" s="343">
        <v>50</v>
      </c>
      <c r="H46" s="343"/>
      <c r="I46" s="343"/>
      <c r="J46" s="343"/>
      <c r="K46" s="343"/>
      <c r="L46" s="343"/>
      <c r="M46" s="343"/>
      <c r="N46" s="343"/>
      <c r="O46" s="360">
        <f t="shared" si="5"/>
        <v>50</v>
      </c>
    </row>
    <row r="47" spans="1:15" s="344" customFormat="1" x14ac:dyDescent="0.25">
      <c r="A47" s="341" t="s">
        <v>23</v>
      </c>
      <c r="B47" s="342" t="s">
        <v>411</v>
      </c>
      <c r="C47" s="343">
        <v>6</v>
      </c>
      <c r="D47" s="343">
        <v>5</v>
      </c>
      <c r="E47" s="343">
        <f>5+4700</f>
        <v>4705</v>
      </c>
      <c r="F47" s="343">
        <v>5</v>
      </c>
      <c r="G47" s="343">
        <v>5</v>
      </c>
      <c r="H47" s="343">
        <v>5</v>
      </c>
      <c r="I47" s="343">
        <v>5</v>
      </c>
      <c r="J47" s="343">
        <v>5</v>
      </c>
      <c r="K47" s="343">
        <v>5</v>
      </c>
      <c r="L47" s="343">
        <v>5</v>
      </c>
      <c r="M47" s="343">
        <v>5</v>
      </c>
      <c r="N47" s="343">
        <v>5</v>
      </c>
      <c r="O47" s="360">
        <f t="shared" si="5"/>
        <v>4761</v>
      </c>
    </row>
    <row r="48" spans="1:15" s="344" customFormat="1" ht="14.1" customHeight="1" thickBot="1" x14ac:dyDescent="0.3">
      <c r="A48" s="348" t="s">
        <v>24</v>
      </c>
      <c r="B48" s="347" t="s">
        <v>11</v>
      </c>
      <c r="C48" s="343">
        <v>159250</v>
      </c>
      <c r="D48" s="343"/>
      <c r="E48" s="343"/>
      <c r="F48" s="343"/>
      <c r="G48" s="343">
        <v>12879</v>
      </c>
      <c r="H48" s="343"/>
      <c r="I48" s="343"/>
      <c r="J48" s="343"/>
      <c r="K48" s="343"/>
      <c r="L48" s="343"/>
      <c r="M48" s="343"/>
      <c r="N48" s="343"/>
      <c r="O48" s="360">
        <f t="shared" si="5"/>
        <v>172129</v>
      </c>
    </row>
    <row r="49" spans="1:15" s="340" customFormat="1" ht="15.9" customHeight="1" thickBot="1" x14ac:dyDescent="0.3">
      <c r="A49" s="349"/>
      <c r="B49" s="350" t="s">
        <v>107</v>
      </c>
      <c r="C49" s="351">
        <f t="shared" ref="C49:N49" si="6">SUM(C40:C48)</f>
        <v>188992</v>
      </c>
      <c r="D49" s="351">
        <f t="shared" si="6"/>
        <v>30091</v>
      </c>
      <c r="E49" s="351">
        <f t="shared" si="6"/>
        <v>65234</v>
      </c>
      <c r="F49" s="351">
        <f t="shared" si="6"/>
        <v>29195</v>
      </c>
      <c r="G49" s="351">
        <f t="shared" si="6"/>
        <v>52100</v>
      </c>
      <c r="H49" s="351">
        <f t="shared" si="6"/>
        <v>57522</v>
      </c>
      <c r="I49" s="351">
        <f t="shared" si="6"/>
        <v>57522</v>
      </c>
      <c r="J49" s="351">
        <f t="shared" si="6"/>
        <v>57522</v>
      </c>
      <c r="K49" s="351">
        <f t="shared" si="6"/>
        <v>60541</v>
      </c>
      <c r="L49" s="351">
        <f t="shared" si="6"/>
        <v>29195</v>
      </c>
      <c r="M49" s="351">
        <f t="shared" si="6"/>
        <v>29195</v>
      </c>
      <c r="N49" s="351">
        <f t="shared" si="6"/>
        <v>29195</v>
      </c>
      <c r="O49" s="352">
        <f t="shared" si="5"/>
        <v>686304</v>
      </c>
    </row>
    <row r="50" spans="1:15" s="340" customFormat="1" ht="15.9" customHeight="1" thickBot="1" x14ac:dyDescent="0.3">
      <c r="A50" s="353"/>
      <c r="B50" s="354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</row>
    <row r="51" spans="1:15" s="336" customFormat="1" ht="15" customHeight="1" thickBot="1" x14ac:dyDescent="0.3">
      <c r="A51" s="335"/>
      <c r="B51" s="734" t="s">
        <v>55</v>
      </c>
      <c r="C51" s="735"/>
      <c r="D51" s="735"/>
      <c r="E51" s="735"/>
      <c r="F51" s="735"/>
      <c r="G51" s="735"/>
      <c r="H51" s="735"/>
      <c r="I51" s="735"/>
      <c r="J51" s="735"/>
      <c r="K51" s="735"/>
      <c r="L51" s="735"/>
      <c r="M51" s="735"/>
      <c r="N51" s="735"/>
      <c r="O51" s="736"/>
    </row>
    <row r="52" spans="1:15" s="344" customFormat="1" ht="14.1" customHeight="1" x14ac:dyDescent="0.25">
      <c r="A52" s="356" t="s">
        <v>16</v>
      </c>
      <c r="B52" s="357" t="s">
        <v>60</v>
      </c>
      <c r="C52" s="346">
        <v>5206</v>
      </c>
      <c r="D52" s="346">
        <v>5206</v>
      </c>
      <c r="E52" s="346">
        <v>5206</v>
      </c>
      <c r="F52" s="346">
        <v>5206</v>
      </c>
      <c r="G52" s="346">
        <f>5206+4468+476+22-7-1</f>
        <v>10164</v>
      </c>
      <c r="H52" s="346">
        <f>5206+3524</f>
        <v>8730</v>
      </c>
      <c r="I52" s="346">
        <f>5206+3524</f>
        <v>8730</v>
      </c>
      <c r="J52" s="346">
        <f>5206+3524</f>
        <v>8730</v>
      </c>
      <c r="K52" s="346">
        <v>5206</v>
      </c>
      <c r="L52" s="346">
        <v>5206</v>
      </c>
      <c r="M52" s="346">
        <v>5206</v>
      </c>
      <c r="N52" s="346">
        <v>5206</v>
      </c>
      <c r="O52" s="361">
        <f t="shared" ref="O52:O62" si="7">SUM(C52:N52)</f>
        <v>78002</v>
      </c>
    </row>
    <row r="53" spans="1:15" s="344" customFormat="1" ht="27" customHeight="1" x14ac:dyDescent="0.25">
      <c r="A53" s="356" t="s">
        <v>17</v>
      </c>
      <c r="B53" s="342" t="s">
        <v>177</v>
      </c>
      <c r="C53" s="343">
        <v>1717</v>
      </c>
      <c r="D53" s="343">
        <v>1717</v>
      </c>
      <c r="E53" s="343">
        <v>1717</v>
      </c>
      <c r="F53" s="343">
        <v>1717</v>
      </c>
      <c r="G53" s="343">
        <f>1717+572+129-22</f>
        <v>2396</v>
      </c>
      <c r="H53" s="343">
        <f>1717+1005</f>
        <v>2722</v>
      </c>
      <c r="I53" s="343">
        <f>1717+1005</f>
        <v>2722</v>
      </c>
      <c r="J53" s="343">
        <f>1717+1006</f>
        <v>2723</v>
      </c>
      <c r="K53" s="343">
        <v>1717</v>
      </c>
      <c r="L53" s="343">
        <v>1717</v>
      </c>
      <c r="M53" s="343">
        <v>1717</v>
      </c>
      <c r="N53" s="343">
        <v>1717</v>
      </c>
      <c r="O53" s="360">
        <f t="shared" si="7"/>
        <v>24299</v>
      </c>
    </row>
    <row r="54" spans="1:15" s="344" customFormat="1" ht="14.1" customHeight="1" x14ac:dyDescent="0.25">
      <c r="A54" s="356" t="s">
        <v>18</v>
      </c>
      <c r="B54" s="347" t="s">
        <v>135</v>
      </c>
      <c r="C54" s="343">
        <v>9883</v>
      </c>
      <c r="D54" s="343">
        <v>9883</v>
      </c>
      <c r="E54" s="343">
        <v>9883</v>
      </c>
      <c r="F54" s="343">
        <v>9883</v>
      </c>
      <c r="G54" s="343">
        <f>9883+281-1210-2+179+2286</f>
        <v>11417</v>
      </c>
      <c r="H54" s="343">
        <f>19333+9883</f>
        <v>29216</v>
      </c>
      <c r="I54" s="343">
        <f>19333+9883</f>
        <v>29216</v>
      </c>
      <c r="J54" s="343">
        <f>19334+9883</f>
        <v>29217</v>
      </c>
      <c r="K54" s="343">
        <v>9882</v>
      </c>
      <c r="L54" s="343">
        <v>9882</v>
      </c>
      <c r="M54" s="343">
        <v>9882</v>
      </c>
      <c r="N54" s="343">
        <v>9882</v>
      </c>
      <c r="O54" s="360">
        <f t="shared" si="7"/>
        <v>178126</v>
      </c>
    </row>
    <row r="55" spans="1:15" s="344" customFormat="1" ht="14.1" customHeight="1" x14ac:dyDescent="0.25">
      <c r="A55" s="356" t="s">
        <v>19</v>
      </c>
      <c r="B55" s="347" t="s">
        <v>178</v>
      </c>
      <c r="C55" s="343">
        <v>502</v>
      </c>
      <c r="D55" s="343">
        <v>502</v>
      </c>
      <c r="E55" s="343">
        <v>501</v>
      </c>
      <c r="F55" s="343">
        <v>501</v>
      </c>
      <c r="G55" s="343">
        <f>501+7</f>
        <v>508</v>
      </c>
      <c r="H55" s="343">
        <v>501</v>
      </c>
      <c r="I55" s="343">
        <v>501</v>
      </c>
      <c r="J55" s="343">
        <v>501</v>
      </c>
      <c r="K55" s="343">
        <v>501</v>
      </c>
      <c r="L55" s="343">
        <v>501</v>
      </c>
      <c r="M55" s="343">
        <v>501</v>
      </c>
      <c r="N55" s="343">
        <v>501</v>
      </c>
      <c r="O55" s="360">
        <f t="shared" si="7"/>
        <v>6021</v>
      </c>
    </row>
    <row r="56" spans="1:15" s="344" customFormat="1" ht="14.1" customHeight="1" x14ac:dyDescent="0.25">
      <c r="A56" s="356" t="s">
        <v>20</v>
      </c>
      <c r="B56" s="347" t="s">
        <v>179</v>
      </c>
      <c r="C56" s="343">
        <v>9197</v>
      </c>
      <c r="D56" s="343">
        <v>9197</v>
      </c>
      <c r="E56" s="343">
        <v>9197</v>
      </c>
      <c r="F56" s="343">
        <v>9197</v>
      </c>
      <c r="G56" s="343">
        <f>9198+4487+314-3590+1316+2701+15+10+75-5516-650+2+180</f>
        <v>8542</v>
      </c>
      <c r="H56" s="343">
        <v>9198</v>
      </c>
      <c r="I56" s="343">
        <v>9198</v>
      </c>
      <c r="J56" s="343">
        <v>9198</v>
      </c>
      <c r="K56" s="343">
        <v>9198</v>
      </c>
      <c r="L56" s="343">
        <v>9198</v>
      </c>
      <c r="M56" s="343">
        <v>9198</v>
      </c>
      <c r="N56" s="343">
        <v>9198</v>
      </c>
      <c r="O56" s="360">
        <f t="shared" si="7"/>
        <v>109716</v>
      </c>
    </row>
    <row r="57" spans="1:15" s="344" customFormat="1" ht="14.1" customHeight="1" x14ac:dyDescent="0.25">
      <c r="A57" s="356" t="s">
        <v>21</v>
      </c>
      <c r="B57" s="347" t="s">
        <v>566</v>
      </c>
      <c r="C57" s="343"/>
      <c r="D57" s="343"/>
      <c r="E57" s="343"/>
      <c r="F57" s="343"/>
      <c r="G57" s="343">
        <f>12878+586-4487-314+3590+477-1316+690+342-2701-281+75-15-10-75+321-270-179+82+2-180-16</f>
        <v>9199</v>
      </c>
      <c r="H57" s="343"/>
      <c r="I57" s="343"/>
      <c r="J57" s="343"/>
      <c r="K57" s="343"/>
      <c r="L57" s="343"/>
      <c r="M57" s="343"/>
      <c r="N57" s="343">
        <f>25488+352</f>
        <v>25840</v>
      </c>
      <c r="O57" s="360">
        <f t="shared" si="7"/>
        <v>35039</v>
      </c>
    </row>
    <row r="58" spans="1:15" s="344" customFormat="1" ht="14.1" customHeight="1" x14ac:dyDescent="0.25">
      <c r="A58" s="356" t="s">
        <v>22</v>
      </c>
      <c r="B58" s="347" t="s">
        <v>222</v>
      </c>
      <c r="C58" s="343">
        <v>5411</v>
      </c>
      <c r="D58" s="343">
        <f>5411</f>
        <v>5411</v>
      </c>
      <c r="E58" s="343">
        <f>5411+4700</f>
        <v>10111</v>
      </c>
      <c r="F58" s="343">
        <v>5411</v>
      </c>
      <c r="G58" s="343">
        <f>5411+1210+8522+270-1</f>
        <v>15412</v>
      </c>
      <c r="H58" s="343">
        <v>5411</v>
      </c>
      <c r="I58" s="343">
        <v>5411</v>
      </c>
      <c r="J58" s="343">
        <v>5411</v>
      </c>
      <c r="K58" s="343">
        <v>5411</v>
      </c>
      <c r="L58" s="343">
        <v>5411</v>
      </c>
      <c r="M58" s="343">
        <v>5411</v>
      </c>
      <c r="N58" s="343">
        <v>5412</v>
      </c>
      <c r="O58" s="360">
        <f t="shared" si="7"/>
        <v>79634</v>
      </c>
    </row>
    <row r="59" spans="1:15" s="344" customFormat="1" x14ac:dyDescent="0.25">
      <c r="A59" s="356" t="s">
        <v>23</v>
      </c>
      <c r="B59" s="342" t="s">
        <v>181</v>
      </c>
      <c r="C59" s="343">
        <v>529</v>
      </c>
      <c r="D59" s="343">
        <v>530</v>
      </c>
      <c r="E59" s="343">
        <v>530</v>
      </c>
      <c r="F59" s="343">
        <v>530</v>
      </c>
      <c r="G59" s="343">
        <v>530</v>
      </c>
      <c r="H59" s="343">
        <v>530</v>
      </c>
      <c r="I59" s="343">
        <v>530</v>
      </c>
      <c r="J59" s="343">
        <v>530</v>
      </c>
      <c r="K59" s="343">
        <v>530</v>
      </c>
      <c r="L59" s="343">
        <v>530</v>
      </c>
      <c r="M59" s="343">
        <v>530</v>
      </c>
      <c r="N59" s="343">
        <v>530</v>
      </c>
      <c r="O59" s="360">
        <f t="shared" si="7"/>
        <v>6359</v>
      </c>
    </row>
    <row r="60" spans="1:15" s="344" customFormat="1" ht="14.1" customHeight="1" x14ac:dyDescent="0.25">
      <c r="A60" s="356" t="s">
        <v>24</v>
      </c>
      <c r="B60" s="347" t="s">
        <v>225</v>
      </c>
      <c r="C60" s="343"/>
      <c r="D60" s="343"/>
      <c r="E60" s="343">
        <v>2000</v>
      </c>
      <c r="F60" s="343"/>
      <c r="G60" s="343">
        <f>5516+650</f>
        <v>6166</v>
      </c>
      <c r="H60" s="343">
        <v>400</v>
      </c>
      <c r="I60" s="343"/>
      <c r="J60" s="343"/>
      <c r="K60" s="343"/>
      <c r="L60" s="343"/>
      <c r="M60" s="343"/>
      <c r="N60" s="343"/>
      <c r="O60" s="360">
        <f t="shared" si="7"/>
        <v>8566</v>
      </c>
    </row>
    <row r="61" spans="1:15" s="344" customFormat="1" ht="14.1" customHeight="1" thickBot="1" x14ac:dyDescent="0.3">
      <c r="A61" s="356" t="s">
        <v>25</v>
      </c>
      <c r="B61" s="347" t="s">
        <v>12</v>
      </c>
      <c r="C61" s="343">
        <f>12741+8111</f>
        <v>20852</v>
      </c>
      <c r="D61" s="343">
        <v>12741</v>
      </c>
      <c r="E61" s="343">
        <v>12741</v>
      </c>
      <c r="F61" s="343">
        <v>12741</v>
      </c>
      <c r="G61" s="343">
        <f>12741-461</f>
        <v>12280</v>
      </c>
      <c r="H61" s="343">
        <v>12741</v>
      </c>
      <c r="I61" s="343">
        <v>12741</v>
      </c>
      <c r="J61" s="343">
        <v>12741</v>
      </c>
      <c r="K61" s="343">
        <v>12741</v>
      </c>
      <c r="L61" s="343">
        <v>12741</v>
      </c>
      <c r="M61" s="343">
        <v>12741</v>
      </c>
      <c r="N61" s="343">
        <v>12741</v>
      </c>
      <c r="O61" s="360">
        <f t="shared" si="7"/>
        <v>160542</v>
      </c>
    </row>
    <row r="62" spans="1:15" s="340" customFormat="1" ht="15.9" customHeight="1" thickBot="1" x14ac:dyDescent="0.3">
      <c r="A62" s="349"/>
      <c r="B62" s="350" t="s">
        <v>108</v>
      </c>
      <c r="C62" s="351">
        <f t="shared" ref="C62:N62" si="8">SUM(C52:C61)</f>
        <v>53297</v>
      </c>
      <c r="D62" s="351">
        <f t="shared" si="8"/>
        <v>45187</v>
      </c>
      <c r="E62" s="351">
        <f t="shared" si="8"/>
        <v>51886</v>
      </c>
      <c r="F62" s="351">
        <f t="shared" si="8"/>
        <v>45186</v>
      </c>
      <c r="G62" s="351">
        <f t="shared" si="8"/>
        <v>76614</v>
      </c>
      <c r="H62" s="351">
        <f t="shared" si="8"/>
        <v>69449</v>
      </c>
      <c r="I62" s="351">
        <f t="shared" si="8"/>
        <v>69049</v>
      </c>
      <c r="J62" s="351">
        <f t="shared" si="8"/>
        <v>69051</v>
      </c>
      <c r="K62" s="351">
        <f t="shared" si="8"/>
        <v>45186</v>
      </c>
      <c r="L62" s="351">
        <f t="shared" si="8"/>
        <v>45186</v>
      </c>
      <c r="M62" s="351">
        <f t="shared" si="8"/>
        <v>45186</v>
      </c>
      <c r="N62" s="351">
        <f t="shared" si="8"/>
        <v>71027</v>
      </c>
      <c r="O62" s="352">
        <f t="shared" si="7"/>
        <v>686304</v>
      </c>
    </row>
    <row r="63" spans="1:15" s="340" customFormat="1" ht="15.9" customHeight="1" thickBot="1" x14ac:dyDescent="0.3">
      <c r="A63" s="358"/>
      <c r="B63" s="354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</row>
    <row r="64" spans="1:15" ht="16.2" thickBot="1" x14ac:dyDescent="0.35">
      <c r="A64" s="349"/>
      <c r="B64" s="350" t="s">
        <v>109</v>
      </c>
      <c r="C64" s="351">
        <f t="shared" ref="C64:O64" si="9">C49-C62</f>
        <v>135695</v>
      </c>
      <c r="D64" s="351">
        <f t="shared" si="9"/>
        <v>-15096</v>
      </c>
      <c r="E64" s="351">
        <f t="shared" si="9"/>
        <v>13348</v>
      </c>
      <c r="F64" s="351">
        <f t="shared" si="9"/>
        <v>-15991</v>
      </c>
      <c r="G64" s="351">
        <f t="shared" si="9"/>
        <v>-24514</v>
      </c>
      <c r="H64" s="351">
        <f t="shared" si="9"/>
        <v>-11927</v>
      </c>
      <c r="I64" s="351">
        <f t="shared" si="9"/>
        <v>-11527</v>
      </c>
      <c r="J64" s="351">
        <f t="shared" si="9"/>
        <v>-11529</v>
      </c>
      <c r="K64" s="351">
        <f t="shared" si="9"/>
        <v>15355</v>
      </c>
      <c r="L64" s="351">
        <f t="shared" si="9"/>
        <v>-15991</v>
      </c>
      <c r="M64" s="351">
        <f t="shared" si="9"/>
        <v>-15991</v>
      </c>
      <c r="N64" s="351">
        <f t="shared" si="9"/>
        <v>-41832</v>
      </c>
      <c r="O64" s="352">
        <f t="shared" si="9"/>
        <v>0</v>
      </c>
    </row>
    <row r="67" spans="1:15" ht="20.25" customHeight="1" x14ac:dyDescent="0.3">
      <c r="A67" s="732" t="s">
        <v>624</v>
      </c>
      <c r="B67" s="733"/>
      <c r="C67" s="733"/>
      <c r="D67" s="733"/>
      <c r="E67" s="733"/>
      <c r="F67" s="733"/>
      <c r="G67" s="733"/>
      <c r="H67" s="733"/>
      <c r="I67" s="733"/>
      <c r="J67" s="733"/>
      <c r="K67" s="733"/>
      <c r="L67" s="733"/>
      <c r="M67" s="733"/>
      <c r="N67" s="733"/>
      <c r="O67" s="733"/>
    </row>
    <row r="68" spans="1:15" ht="21" customHeight="1" x14ac:dyDescent="0.3">
      <c r="A68" s="732" t="s">
        <v>697</v>
      </c>
      <c r="B68" s="732"/>
      <c r="C68" s="732"/>
      <c r="D68" s="732"/>
      <c r="E68" s="732"/>
      <c r="F68" s="732"/>
      <c r="G68" s="732"/>
      <c r="H68" s="732"/>
      <c r="I68" s="732"/>
      <c r="J68" s="732"/>
      <c r="K68" s="732"/>
      <c r="L68" s="732"/>
      <c r="M68" s="732"/>
      <c r="N68" s="732"/>
      <c r="O68" s="732"/>
    </row>
    <row r="69" spans="1:15" ht="21" customHeight="1" x14ac:dyDescent="0.3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</row>
    <row r="70" spans="1:15" ht="16.2" thickBot="1" x14ac:dyDescent="0.35">
      <c r="O70" s="334" t="s">
        <v>615</v>
      </c>
    </row>
    <row r="71" spans="1:15" s="333" customFormat="1" ht="31.5" customHeight="1" thickBot="1" x14ac:dyDescent="0.35">
      <c r="A71" s="58" t="s">
        <v>14</v>
      </c>
      <c r="B71" s="59" t="s">
        <v>59</v>
      </c>
      <c r="C71" s="59" t="s">
        <v>71</v>
      </c>
      <c r="D71" s="59" t="s">
        <v>72</v>
      </c>
      <c r="E71" s="59" t="s">
        <v>73</v>
      </c>
      <c r="F71" s="59" t="s">
        <v>74</v>
      </c>
      <c r="G71" s="59" t="s">
        <v>75</v>
      </c>
      <c r="H71" s="59" t="s">
        <v>76</v>
      </c>
      <c r="I71" s="59" t="s">
        <v>77</v>
      </c>
      <c r="J71" s="59" t="s">
        <v>78</v>
      </c>
      <c r="K71" s="59" t="s">
        <v>79</v>
      </c>
      <c r="L71" s="59" t="s">
        <v>80</v>
      </c>
      <c r="M71" s="59" t="s">
        <v>81</v>
      </c>
      <c r="N71" s="59" t="s">
        <v>82</v>
      </c>
      <c r="O71" s="60" t="s">
        <v>48</v>
      </c>
    </row>
    <row r="72" spans="1:15" s="336" customFormat="1" ht="15" customHeight="1" thickBot="1" x14ac:dyDescent="0.3">
      <c r="A72" s="335"/>
      <c r="B72" s="734" t="s">
        <v>54</v>
      </c>
      <c r="C72" s="735"/>
      <c r="D72" s="735"/>
      <c r="E72" s="735"/>
      <c r="F72" s="735"/>
      <c r="G72" s="735"/>
      <c r="H72" s="735"/>
      <c r="I72" s="735"/>
      <c r="J72" s="735"/>
      <c r="K72" s="735"/>
      <c r="L72" s="735"/>
      <c r="M72" s="735"/>
      <c r="N72" s="735"/>
      <c r="O72" s="736"/>
    </row>
    <row r="73" spans="1:15" s="340" customFormat="1" x14ac:dyDescent="0.25">
      <c r="A73" s="337" t="s">
        <v>16</v>
      </c>
      <c r="B73" s="338" t="s">
        <v>377</v>
      </c>
      <c r="C73" s="339">
        <v>18370000</v>
      </c>
      <c r="D73" s="339">
        <v>18716000</v>
      </c>
      <c r="E73" s="339">
        <v>18364000</v>
      </c>
      <c r="F73" s="339">
        <v>18364000</v>
      </c>
      <c r="G73" s="339">
        <f>20322000+342000-914933</f>
        <v>19749067</v>
      </c>
      <c r="H73" s="339">
        <v>18364000</v>
      </c>
      <c r="I73" s="339">
        <f>18364000+738759</f>
        <v>19102759</v>
      </c>
      <c r="J73" s="339">
        <f>18364000+15721200+342000</f>
        <v>34427200</v>
      </c>
      <c r="K73" s="339">
        <f>8364000+69+10000000</f>
        <v>18364069</v>
      </c>
      <c r="L73" s="339">
        <v>18364000</v>
      </c>
      <c r="M73" s="339">
        <v>18364000</v>
      </c>
      <c r="N73" s="339">
        <v>18364000</v>
      </c>
      <c r="O73" s="359">
        <f t="shared" ref="O73:O82" si="10">SUM(C73:N73)</f>
        <v>238913095</v>
      </c>
    </row>
    <row r="74" spans="1:15" s="344" customFormat="1" x14ac:dyDescent="0.25">
      <c r="A74" s="341" t="s">
        <v>17</v>
      </c>
      <c r="B74" s="342" t="s">
        <v>423</v>
      </c>
      <c r="C74" s="343">
        <v>4347000</v>
      </c>
      <c r="D74" s="343">
        <v>4351000</v>
      </c>
      <c r="E74" s="343">
        <v>3807000</v>
      </c>
      <c r="F74" s="343">
        <v>3807000</v>
      </c>
      <c r="G74" s="343">
        <v>9507000</v>
      </c>
      <c r="H74" s="343">
        <v>3807000</v>
      </c>
      <c r="I74" s="343">
        <v>3807000</v>
      </c>
      <c r="J74" s="343">
        <f>3807000+110200+289100</f>
        <v>4206300</v>
      </c>
      <c r="K74" s="343">
        <f>3807000+339</f>
        <v>3807339</v>
      </c>
      <c r="L74" s="343">
        <v>3807000</v>
      </c>
      <c r="M74" s="343">
        <v>3807000</v>
      </c>
      <c r="N74" s="343">
        <v>3807000</v>
      </c>
      <c r="O74" s="360">
        <f t="shared" si="10"/>
        <v>52867639</v>
      </c>
    </row>
    <row r="75" spans="1:15" s="344" customFormat="1" x14ac:dyDescent="0.25">
      <c r="A75" s="341" t="s">
        <v>18</v>
      </c>
      <c r="B75" s="345" t="s">
        <v>424</v>
      </c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61">
        <f t="shared" si="10"/>
        <v>0</v>
      </c>
    </row>
    <row r="76" spans="1:15" s="344" customFormat="1" ht="14.1" customHeight="1" x14ac:dyDescent="0.25">
      <c r="A76" s="341" t="s">
        <v>19</v>
      </c>
      <c r="B76" s="347" t="s">
        <v>168</v>
      </c>
      <c r="C76" s="343">
        <v>4821000</v>
      </c>
      <c r="D76" s="343">
        <v>4821000</v>
      </c>
      <c r="E76" s="343">
        <f>36160000</f>
        <v>36160000</v>
      </c>
      <c r="F76" s="343">
        <v>4821000</v>
      </c>
      <c r="G76" s="343">
        <v>4821000</v>
      </c>
      <c r="H76" s="343">
        <v>4821000</v>
      </c>
      <c r="I76" s="343">
        <v>4821000</v>
      </c>
      <c r="J76" s="343">
        <v>4821000</v>
      </c>
      <c r="K76" s="343">
        <v>36160000</v>
      </c>
      <c r="L76" s="343">
        <v>4821000</v>
      </c>
      <c r="M76" s="343">
        <v>4821000</v>
      </c>
      <c r="N76" s="343">
        <v>4821000</v>
      </c>
      <c r="O76" s="360">
        <f t="shared" si="10"/>
        <v>120530000</v>
      </c>
    </row>
    <row r="77" spans="1:15" s="344" customFormat="1" ht="14.1" customHeight="1" x14ac:dyDescent="0.25">
      <c r="A77" s="341" t="s">
        <v>20</v>
      </c>
      <c r="B77" s="347" t="s">
        <v>425</v>
      </c>
      <c r="C77" s="343">
        <v>2170000</v>
      </c>
      <c r="D77" s="343">
        <v>2170000</v>
      </c>
      <c r="E77" s="343">
        <v>2170000</v>
      </c>
      <c r="F77" s="343">
        <v>2170000</v>
      </c>
      <c r="G77" s="343">
        <v>4488000</v>
      </c>
      <c r="H77" s="343">
        <v>30497000</v>
      </c>
      <c r="I77" s="343">
        <v>30497000</v>
      </c>
      <c r="J77" s="343">
        <f>30497000+12700000</f>
        <v>43197000</v>
      </c>
      <c r="K77" s="343">
        <f>2177000+842+166000-360</f>
        <v>2343482</v>
      </c>
      <c r="L77" s="343">
        <v>2170000</v>
      </c>
      <c r="M77" s="343">
        <v>2170000</v>
      </c>
      <c r="N77" s="343">
        <v>2170000</v>
      </c>
      <c r="O77" s="360">
        <f t="shared" si="10"/>
        <v>126212482</v>
      </c>
    </row>
    <row r="78" spans="1:15" s="344" customFormat="1" ht="14.1" customHeight="1" x14ac:dyDescent="0.25">
      <c r="A78" s="341" t="s">
        <v>21</v>
      </c>
      <c r="B78" s="347" t="s">
        <v>10</v>
      </c>
      <c r="C78" s="343">
        <v>28000</v>
      </c>
      <c r="D78" s="343">
        <v>28000</v>
      </c>
      <c r="E78" s="343">
        <v>28000</v>
      </c>
      <c r="F78" s="343">
        <v>28000</v>
      </c>
      <c r="G78" s="343">
        <v>28000</v>
      </c>
      <c r="H78" s="343">
        <v>28000</v>
      </c>
      <c r="I78" s="343">
        <v>28000</v>
      </c>
      <c r="J78" s="343">
        <v>28000</v>
      </c>
      <c r="K78" s="343">
        <v>28000</v>
      </c>
      <c r="L78" s="343">
        <v>28000</v>
      </c>
      <c r="M78" s="343">
        <v>28000</v>
      </c>
      <c r="N78" s="343">
        <v>28000</v>
      </c>
      <c r="O78" s="360">
        <f t="shared" si="10"/>
        <v>336000</v>
      </c>
    </row>
    <row r="79" spans="1:15" s="344" customFormat="1" ht="14.1" customHeight="1" x14ac:dyDescent="0.25">
      <c r="A79" s="341" t="s">
        <v>22</v>
      </c>
      <c r="B79" s="347" t="s">
        <v>379</v>
      </c>
      <c r="C79" s="343"/>
      <c r="D79" s="343"/>
      <c r="E79" s="343"/>
      <c r="F79" s="343"/>
      <c r="G79" s="343">
        <f>50000+100000</f>
        <v>150000</v>
      </c>
      <c r="H79" s="343"/>
      <c r="I79" s="343"/>
      <c r="J79" s="343"/>
      <c r="K79" s="343"/>
      <c r="L79" s="343"/>
      <c r="M79" s="343"/>
      <c r="N79" s="343"/>
      <c r="O79" s="360">
        <f t="shared" si="10"/>
        <v>150000</v>
      </c>
    </row>
    <row r="80" spans="1:15" s="344" customFormat="1" x14ac:dyDescent="0.25">
      <c r="A80" s="341" t="s">
        <v>23</v>
      </c>
      <c r="B80" s="342" t="s">
        <v>411</v>
      </c>
      <c r="C80" s="343">
        <v>6000</v>
      </c>
      <c r="D80" s="343">
        <v>5000</v>
      </c>
      <c r="E80" s="343">
        <v>4705000</v>
      </c>
      <c r="F80" s="343">
        <v>5000</v>
      </c>
      <c r="G80" s="343">
        <v>5000</v>
      </c>
      <c r="H80" s="343">
        <v>5000</v>
      </c>
      <c r="I80" s="343">
        <v>5000</v>
      </c>
      <c r="J80" s="343">
        <v>5000</v>
      </c>
      <c r="K80" s="343">
        <f>5000-424+9424</f>
        <v>14000</v>
      </c>
      <c r="L80" s="343">
        <v>5000</v>
      </c>
      <c r="M80" s="343">
        <v>5000</v>
      </c>
      <c r="N80" s="343">
        <v>5000</v>
      </c>
      <c r="O80" s="360">
        <f t="shared" si="10"/>
        <v>4770000</v>
      </c>
    </row>
    <row r="81" spans="1:15" s="344" customFormat="1" ht="14.1" customHeight="1" thickBot="1" x14ac:dyDescent="0.3">
      <c r="A81" s="348" t="s">
        <v>24</v>
      </c>
      <c r="B81" s="347" t="s">
        <v>11</v>
      </c>
      <c r="C81" s="343">
        <v>159250000</v>
      </c>
      <c r="D81" s="343"/>
      <c r="E81" s="343"/>
      <c r="F81" s="343"/>
      <c r="G81" s="343">
        <f>12879000-466</f>
        <v>12878534</v>
      </c>
      <c r="H81" s="343"/>
      <c r="I81" s="343"/>
      <c r="J81" s="343"/>
      <c r="K81" s="343"/>
      <c r="L81" s="343"/>
      <c r="M81" s="343"/>
      <c r="N81" s="343"/>
      <c r="O81" s="360">
        <f t="shared" si="10"/>
        <v>172128534</v>
      </c>
    </row>
    <row r="82" spans="1:15" s="340" customFormat="1" ht="15.9" customHeight="1" thickBot="1" x14ac:dyDescent="0.3">
      <c r="A82" s="349"/>
      <c r="B82" s="350" t="s">
        <v>107</v>
      </c>
      <c r="C82" s="351">
        <f t="shared" ref="C82:N82" si="11">SUM(C73:C81)</f>
        <v>188992000</v>
      </c>
      <c r="D82" s="351">
        <f t="shared" si="11"/>
        <v>30091000</v>
      </c>
      <c r="E82" s="351">
        <f t="shared" si="11"/>
        <v>65234000</v>
      </c>
      <c r="F82" s="351">
        <f t="shared" si="11"/>
        <v>29195000</v>
      </c>
      <c r="G82" s="351">
        <f t="shared" si="11"/>
        <v>51626601</v>
      </c>
      <c r="H82" s="351">
        <f t="shared" si="11"/>
        <v>57522000</v>
      </c>
      <c r="I82" s="351">
        <f t="shared" si="11"/>
        <v>58260759</v>
      </c>
      <c r="J82" s="351">
        <f t="shared" si="11"/>
        <v>86684500</v>
      </c>
      <c r="K82" s="351">
        <f t="shared" si="11"/>
        <v>60716890</v>
      </c>
      <c r="L82" s="351">
        <f t="shared" si="11"/>
        <v>29195000</v>
      </c>
      <c r="M82" s="351">
        <f t="shared" si="11"/>
        <v>29195000</v>
      </c>
      <c r="N82" s="351">
        <f t="shared" si="11"/>
        <v>29195000</v>
      </c>
      <c r="O82" s="352">
        <f t="shared" si="10"/>
        <v>715907750</v>
      </c>
    </row>
    <row r="83" spans="1:15" s="340" customFormat="1" ht="15.9" customHeight="1" thickBot="1" x14ac:dyDescent="0.3">
      <c r="A83" s="353"/>
      <c r="B83" s="354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</row>
    <row r="84" spans="1:15" s="336" customFormat="1" ht="15" customHeight="1" thickBot="1" x14ac:dyDescent="0.3">
      <c r="A84" s="335"/>
      <c r="B84" s="734" t="s">
        <v>55</v>
      </c>
      <c r="C84" s="735"/>
      <c r="D84" s="735"/>
      <c r="E84" s="735"/>
      <c r="F84" s="735"/>
      <c r="G84" s="735"/>
      <c r="H84" s="735"/>
      <c r="I84" s="735"/>
      <c r="J84" s="735"/>
      <c r="K84" s="735"/>
      <c r="L84" s="735"/>
      <c r="M84" s="735"/>
      <c r="N84" s="735"/>
      <c r="O84" s="736"/>
    </row>
    <row r="85" spans="1:15" s="344" customFormat="1" ht="14.1" customHeight="1" x14ac:dyDescent="0.25">
      <c r="A85" s="356" t="s">
        <v>16</v>
      </c>
      <c r="B85" s="357" t="s">
        <v>60</v>
      </c>
      <c r="C85" s="346">
        <v>5206000</v>
      </c>
      <c r="D85" s="346">
        <v>5206000</v>
      </c>
      <c r="E85" s="346">
        <v>5206000</v>
      </c>
      <c r="F85" s="346">
        <v>5206000</v>
      </c>
      <c r="G85" s="346">
        <v>10164000</v>
      </c>
      <c r="H85" s="346">
        <v>8730000</v>
      </c>
      <c r="I85" s="346">
        <f>8730000+384300+26000-26000</f>
        <v>9114300</v>
      </c>
      <c r="J85" s="346">
        <f>8730000+227638</f>
        <v>8957638</v>
      </c>
      <c r="K85" s="346">
        <f>5206000+488+40112+85275+640500-3000+2198950-173700</f>
        <v>7994625</v>
      </c>
      <c r="L85" s="346">
        <v>5206000</v>
      </c>
      <c r="M85" s="346">
        <v>5206000</v>
      </c>
      <c r="N85" s="346">
        <v>5206000</v>
      </c>
      <c r="O85" s="361">
        <f t="shared" ref="O85:O95" si="12">SUM(C85:N85)</f>
        <v>81402563</v>
      </c>
    </row>
    <row r="86" spans="1:15" s="344" customFormat="1" ht="27" customHeight="1" x14ac:dyDescent="0.25">
      <c r="A86" s="356" t="s">
        <v>17</v>
      </c>
      <c r="B86" s="342" t="s">
        <v>177</v>
      </c>
      <c r="C86" s="343">
        <v>1717000</v>
      </c>
      <c r="D86" s="343">
        <v>1717000</v>
      </c>
      <c r="E86" s="343">
        <v>1717000</v>
      </c>
      <c r="F86" s="343">
        <v>1717000</v>
      </c>
      <c r="G86" s="343">
        <v>2396000</v>
      </c>
      <c r="H86" s="343">
        <v>2722000</v>
      </c>
      <c r="I86" s="343">
        <f>2722000+103761+7020-7020</f>
        <v>2825761</v>
      </c>
      <c r="J86" s="343">
        <f>2723000+61462</f>
        <v>2784462</v>
      </c>
      <c r="K86" s="343">
        <f>1717000+233+10832+23025+172935+20000+2002+593726-46895</f>
        <v>2492858</v>
      </c>
      <c r="L86" s="343">
        <v>1717000</v>
      </c>
      <c r="M86" s="343">
        <v>1717000</v>
      </c>
      <c r="N86" s="343">
        <v>1717000</v>
      </c>
      <c r="O86" s="360">
        <f t="shared" si="12"/>
        <v>25240081</v>
      </c>
    </row>
    <row r="87" spans="1:15" s="344" customFormat="1" ht="14.1" customHeight="1" x14ac:dyDescent="0.25">
      <c r="A87" s="356" t="s">
        <v>18</v>
      </c>
      <c r="B87" s="347" t="s">
        <v>135</v>
      </c>
      <c r="C87" s="343">
        <v>9883000</v>
      </c>
      <c r="D87" s="343">
        <v>9883000</v>
      </c>
      <c r="E87" s="343">
        <v>9883000</v>
      </c>
      <c r="F87" s="343">
        <v>9883000</v>
      </c>
      <c r="G87" s="343">
        <f>11417000-280889</f>
        <v>11136111</v>
      </c>
      <c r="H87" s="343">
        <v>29216000</v>
      </c>
      <c r="I87" s="343">
        <v>29216000</v>
      </c>
      <c r="J87" s="343">
        <v>29217000</v>
      </c>
      <c r="K87" s="343">
        <f>9882000+582-1435608+2286000+718947+228600-80000-20000-1000</f>
        <v>11579521</v>
      </c>
      <c r="L87" s="343">
        <v>9882000</v>
      </c>
      <c r="M87" s="343">
        <v>9882000</v>
      </c>
      <c r="N87" s="343">
        <v>9882000</v>
      </c>
      <c r="O87" s="360">
        <f t="shared" si="12"/>
        <v>179542632</v>
      </c>
    </row>
    <row r="88" spans="1:15" s="344" customFormat="1" ht="14.1" customHeight="1" x14ac:dyDescent="0.25">
      <c r="A88" s="356" t="s">
        <v>19</v>
      </c>
      <c r="B88" s="347" t="s">
        <v>178</v>
      </c>
      <c r="C88" s="343">
        <v>502000</v>
      </c>
      <c r="D88" s="343">
        <v>502000</v>
      </c>
      <c r="E88" s="343">
        <v>501000</v>
      </c>
      <c r="F88" s="343">
        <v>501000</v>
      </c>
      <c r="G88" s="343">
        <v>508000</v>
      </c>
      <c r="H88" s="343">
        <v>501000</v>
      </c>
      <c r="I88" s="343">
        <v>501000</v>
      </c>
      <c r="J88" s="343">
        <f>501000+110200</f>
        <v>611200</v>
      </c>
      <c r="K88" s="343">
        <f>501000+600+1020+284480+2050000</f>
        <v>2837100</v>
      </c>
      <c r="L88" s="343">
        <v>501000</v>
      </c>
      <c r="M88" s="343">
        <v>501000</v>
      </c>
      <c r="N88" s="343">
        <v>501000</v>
      </c>
      <c r="O88" s="360">
        <f t="shared" si="12"/>
        <v>8467300</v>
      </c>
    </row>
    <row r="89" spans="1:15" s="344" customFormat="1" ht="14.1" customHeight="1" x14ac:dyDescent="0.25">
      <c r="A89" s="356" t="s">
        <v>20</v>
      </c>
      <c r="B89" s="347" t="s">
        <v>179</v>
      </c>
      <c r="C89" s="343">
        <v>9197000</v>
      </c>
      <c r="D89" s="343">
        <v>9197000</v>
      </c>
      <c r="E89" s="343">
        <v>9197000</v>
      </c>
      <c r="F89" s="343">
        <v>9197000</v>
      </c>
      <c r="G89" s="343">
        <f>8542000+280889</f>
        <v>8822889</v>
      </c>
      <c r="H89" s="343">
        <v>9198000</v>
      </c>
      <c r="I89" s="343">
        <f>9198000+152781</f>
        <v>9350781</v>
      </c>
      <c r="J89" s="343">
        <f>9198000+15721200</f>
        <v>24919200</v>
      </c>
      <c r="K89" s="343">
        <f>9198000-326+80000+254635-137+707187+72390</f>
        <v>10311749</v>
      </c>
      <c r="L89" s="343">
        <v>9198000</v>
      </c>
      <c r="M89" s="343">
        <v>9198000</v>
      </c>
      <c r="N89" s="343">
        <v>9198000</v>
      </c>
      <c r="O89" s="360">
        <f t="shared" si="12"/>
        <v>126984619</v>
      </c>
    </row>
    <row r="90" spans="1:15" s="344" customFormat="1" ht="14.1" customHeight="1" x14ac:dyDescent="0.25">
      <c r="A90" s="356" t="s">
        <v>21</v>
      </c>
      <c r="B90" s="347" t="s">
        <v>566</v>
      </c>
      <c r="C90" s="343"/>
      <c r="D90" s="343"/>
      <c r="E90" s="343"/>
      <c r="F90" s="343"/>
      <c r="G90" s="343">
        <f>9199000+342000-914933+100000</f>
        <v>8726067</v>
      </c>
      <c r="H90" s="343"/>
      <c r="I90" s="343">
        <f>-33020+33020</f>
        <v>0</v>
      </c>
      <c r="J90" s="343">
        <f>342000+12700000</f>
        <v>13042000</v>
      </c>
      <c r="K90" s="343">
        <f>-2814772-2286000-718947-228600-1020-10832+166000-108300-254635-14605-125673-4315355-813435+9424-40472+2186-707187-284480-2792676+2428907+220595-2050000-72390</f>
        <v>-14812267</v>
      </c>
      <c r="L90" s="343"/>
      <c r="M90" s="343"/>
      <c r="N90" s="343">
        <f>25840000-1152</f>
        <v>25838848</v>
      </c>
      <c r="O90" s="360">
        <f t="shared" si="12"/>
        <v>32794648</v>
      </c>
    </row>
    <row r="91" spans="1:15" s="344" customFormat="1" ht="14.1" customHeight="1" x14ac:dyDescent="0.25">
      <c r="A91" s="356" t="s">
        <v>22</v>
      </c>
      <c r="B91" s="347" t="s">
        <v>222</v>
      </c>
      <c r="C91" s="343">
        <v>5411000</v>
      </c>
      <c r="D91" s="343">
        <f>5411000</f>
        <v>5411000</v>
      </c>
      <c r="E91" s="343">
        <v>10111000</v>
      </c>
      <c r="F91" s="343">
        <v>5411000</v>
      </c>
      <c r="G91" s="343">
        <v>15412000</v>
      </c>
      <c r="H91" s="343">
        <v>5411000</v>
      </c>
      <c r="I91" s="343">
        <v>5411000</v>
      </c>
      <c r="J91" s="343">
        <v>5411000</v>
      </c>
      <c r="K91" s="343">
        <f>5411000+1032+1435608+2814772+1</f>
        <v>9662413</v>
      </c>
      <c r="L91" s="343">
        <v>5411000</v>
      </c>
      <c r="M91" s="343">
        <v>5411000</v>
      </c>
      <c r="N91" s="343">
        <v>5411000</v>
      </c>
      <c r="O91" s="360">
        <f t="shared" si="12"/>
        <v>83884413</v>
      </c>
    </row>
    <row r="92" spans="1:15" s="344" customFormat="1" x14ac:dyDescent="0.25">
      <c r="A92" s="356" t="s">
        <v>23</v>
      </c>
      <c r="B92" s="342" t="s">
        <v>181</v>
      </c>
      <c r="C92" s="343">
        <v>529000</v>
      </c>
      <c r="D92" s="343">
        <v>530000</v>
      </c>
      <c r="E92" s="343">
        <v>530000</v>
      </c>
      <c r="F92" s="343">
        <v>530000</v>
      </c>
      <c r="G92" s="343">
        <v>530000</v>
      </c>
      <c r="H92" s="343">
        <v>530000</v>
      </c>
      <c r="I92" s="343">
        <v>530000</v>
      </c>
      <c r="J92" s="343">
        <v>530000</v>
      </c>
      <c r="K92" s="343">
        <f>530000-374</f>
        <v>529626</v>
      </c>
      <c r="L92" s="343">
        <v>530000</v>
      </c>
      <c r="M92" s="343">
        <v>530000</v>
      </c>
      <c r="N92" s="343">
        <v>530000</v>
      </c>
      <c r="O92" s="360">
        <f t="shared" si="12"/>
        <v>6358626</v>
      </c>
    </row>
    <row r="93" spans="1:15" s="344" customFormat="1" ht="14.1" customHeight="1" x14ac:dyDescent="0.25">
      <c r="A93" s="356" t="s">
        <v>24</v>
      </c>
      <c r="B93" s="347" t="s">
        <v>225</v>
      </c>
      <c r="C93" s="343"/>
      <c r="D93" s="343"/>
      <c r="E93" s="343">
        <v>2000000</v>
      </c>
      <c r="F93" s="343"/>
      <c r="G93" s="343">
        <f>6166000-167</f>
        <v>6165833</v>
      </c>
      <c r="H93" s="343">
        <v>400000</v>
      </c>
      <c r="I93" s="343"/>
      <c r="J93" s="343"/>
      <c r="K93" s="343"/>
      <c r="L93" s="343"/>
      <c r="M93" s="343"/>
      <c r="N93" s="343"/>
      <c r="O93" s="360">
        <f t="shared" si="12"/>
        <v>8565833</v>
      </c>
    </row>
    <row r="94" spans="1:15" s="344" customFormat="1" ht="14.1" customHeight="1" thickBot="1" x14ac:dyDescent="0.3">
      <c r="A94" s="356" t="s">
        <v>25</v>
      </c>
      <c r="B94" s="347" t="s">
        <v>12</v>
      </c>
      <c r="C94" s="343">
        <v>20852444</v>
      </c>
      <c r="D94" s="343">
        <v>12741000</v>
      </c>
      <c r="E94" s="343">
        <v>12741000</v>
      </c>
      <c r="F94" s="343">
        <v>12741000</v>
      </c>
      <c r="G94" s="343">
        <v>12280000</v>
      </c>
      <c r="H94" s="343">
        <v>12741000</v>
      </c>
      <c r="I94" s="343">
        <f>12741000+8763+89154</f>
        <v>12838917</v>
      </c>
      <c r="J94" s="343">
        <v>12741000</v>
      </c>
      <c r="K94" s="343">
        <f>12741000+14605+125673+4315355-52-2428907</f>
        <v>14767674</v>
      </c>
      <c r="L94" s="343">
        <v>12741000</v>
      </c>
      <c r="M94" s="343">
        <v>12741000</v>
      </c>
      <c r="N94" s="343">
        <v>12741000</v>
      </c>
      <c r="O94" s="360">
        <f t="shared" si="12"/>
        <v>162667035</v>
      </c>
    </row>
    <row r="95" spans="1:15" s="340" customFormat="1" ht="15.9" customHeight="1" thickBot="1" x14ac:dyDescent="0.3">
      <c r="A95" s="349"/>
      <c r="B95" s="350" t="s">
        <v>108</v>
      </c>
      <c r="C95" s="351">
        <f t="shared" ref="C95:N95" si="13">SUM(C85:C94)</f>
        <v>53297444</v>
      </c>
      <c r="D95" s="351">
        <f t="shared" si="13"/>
        <v>45187000</v>
      </c>
      <c r="E95" s="351">
        <f t="shared" si="13"/>
        <v>51886000</v>
      </c>
      <c r="F95" s="351">
        <f t="shared" si="13"/>
        <v>45186000</v>
      </c>
      <c r="G95" s="351">
        <f t="shared" si="13"/>
        <v>76140900</v>
      </c>
      <c r="H95" s="351">
        <f t="shared" si="13"/>
        <v>69449000</v>
      </c>
      <c r="I95" s="351">
        <f t="shared" si="13"/>
        <v>69787759</v>
      </c>
      <c r="J95" s="351">
        <f t="shared" si="13"/>
        <v>98213500</v>
      </c>
      <c r="K95" s="351">
        <f t="shared" si="13"/>
        <v>45363299</v>
      </c>
      <c r="L95" s="351">
        <f>SUM(L85:L94)</f>
        <v>45186000</v>
      </c>
      <c r="M95" s="351">
        <f>SUM(M85:M94)</f>
        <v>45186000</v>
      </c>
      <c r="N95" s="351">
        <f t="shared" si="13"/>
        <v>71024848</v>
      </c>
      <c r="O95" s="352">
        <f t="shared" si="12"/>
        <v>715907750</v>
      </c>
    </row>
    <row r="96" spans="1:15" s="340" customFormat="1" ht="15.9" customHeight="1" thickBot="1" x14ac:dyDescent="0.3">
      <c r="A96" s="358"/>
      <c r="B96" s="354"/>
      <c r="C96" s="355"/>
      <c r="D96" s="355"/>
      <c r="E96" s="355"/>
      <c r="F96" s="355"/>
      <c r="G96" s="355"/>
      <c r="H96" s="355"/>
      <c r="I96" s="355"/>
      <c r="J96" s="355"/>
      <c r="K96" s="355"/>
      <c r="L96" s="355"/>
      <c r="M96" s="355"/>
      <c r="N96" s="355"/>
      <c r="O96" s="355"/>
    </row>
    <row r="97" spans="1:15" ht="16.2" thickBot="1" x14ac:dyDescent="0.35">
      <c r="A97" s="349"/>
      <c r="B97" s="350" t="s">
        <v>109</v>
      </c>
      <c r="C97" s="351">
        <f t="shared" ref="C97:O97" si="14">C82-C95</f>
        <v>135694556</v>
      </c>
      <c r="D97" s="351">
        <f t="shared" si="14"/>
        <v>-15096000</v>
      </c>
      <c r="E97" s="351">
        <f t="shared" si="14"/>
        <v>13348000</v>
      </c>
      <c r="F97" s="351">
        <f t="shared" si="14"/>
        <v>-15991000</v>
      </c>
      <c r="G97" s="351">
        <f t="shared" si="14"/>
        <v>-24514299</v>
      </c>
      <c r="H97" s="351">
        <f t="shared" si="14"/>
        <v>-11927000</v>
      </c>
      <c r="I97" s="351">
        <f t="shared" si="14"/>
        <v>-11527000</v>
      </c>
      <c r="J97" s="351">
        <f t="shared" si="14"/>
        <v>-11529000</v>
      </c>
      <c r="K97" s="351">
        <f t="shared" si="14"/>
        <v>15353591</v>
      </c>
      <c r="L97" s="351">
        <f t="shared" si="14"/>
        <v>-15991000</v>
      </c>
      <c r="M97" s="351">
        <f t="shared" si="14"/>
        <v>-15991000</v>
      </c>
      <c r="N97" s="351">
        <f t="shared" si="14"/>
        <v>-41829848</v>
      </c>
      <c r="O97" s="352">
        <f t="shared" si="14"/>
        <v>0</v>
      </c>
    </row>
    <row r="109" spans="1:15" ht="20.25" customHeight="1" x14ac:dyDescent="0.3">
      <c r="A109" s="732" t="s">
        <v>624</v>
      </c>
      <c r="B109" s="733"/>
      <c r="C109" s="733"/>
      <c r="D109" s="733"/>
      <c r="E109" s="733"/>
      <c r="F109" s="733"/>
      <c r="G109" s="733"/>
      <c r="H109" s="733"/>
      <c r="I109" s="733"/>
      <c r="J109" s="733"/>
      <c r="K109" s="733"/>
      <c r="L109" s="733"/>
      <c r="M109" s="733"/>
      <c r="N109" s="733"/>
      <c r="O109" s="733"/>
    </row>
    <row r="110" spans="1:15" ht="21" customHeight="1" x14ac:dyDescent="0.3">
      <c r="A110" s="732" t="s">
        <v>709</v>
      </c>
      <c r="B110" s="732"/>
      <c r="C110" s="732"/>
      <c r="D110" s="732"/>
      <c r="E110" s="732"/>
      <c r="F110" s="732"/>
      <c r="G110" s="732"/>
      <c r="H110" s="732"/>
      <c r="I110" s="732"/>
      <c r="J110" s="732"/>
      <c r="K110" s="732"/>
      <c r="L110" s="732"/>
      <c r="M110" s="732"/>
      <c r="N110" s="732"/>
      <c r="O110" s="732"/>
    </row>
    <row r="111" spans="1:15" ht="21" customHeight="1" x14ac:dyDescent="0.3">
      <c r="A111" s="296"/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</row>
    <row r="112" spans="1:15" ht="16.2" thickBot="1" x14ac:dyDescent="0.35">
      <c r="O112" s="334" t="s">
        <v>615</v>
      </c>
    </row>
    <row r="113" spans="1:15" s="333" customFormat="1" ht="31.5" customHeight="1" thickBot="1" x14ac:dyDescent="0.35">
      <c r="A113" s="58" t="s">
        <v>14</v>
      </c>
      <c r="B113" s="59" t="s">
        <v>59</v>
      </c>
      <c r="C113" s="59" t="s">
        <v>71</v>
      </c>
      <c r="D113" s="59" t="s">
        <v>72</v>
      </c>
      <c r="E113" s="59" t="s">
        <v>73</v>
      </c>
      <c r="F113" s="59" t="s">
        <v>74</v>
      </c>
      <c r="G113" s="59" t="s">
        <v>75</v>
      </c>
      <c r="H113" s="59" t="s">
        <v>76</v>
      </c>
      <c r="I113" s="59" t="s">
        <v>77</v>
      </c>
      <c r="J113" s="59" t="s">
        <v>78</v>
      </c>
      <c r="K113" s="59" t="s">
        <v>79</v>
      </c>
      <c r="L113" s="59" t="s">
        <v>80</v>
      </c>
      <c r="M113" s="59" t="s">
        <v>81</v>
      </c>
      <c r="N113" s="59" t="s">
        <v>82</v>
      </c>
      <c r="O113" s="60" t="s">
        <v>48</v>
      </c>
    </row>
    <row r="114" spans="1:15" s="336" customFormat="1" ht="15" customHeight="1" thickBot="1" x14ac:dyDescent="0.3">
      <c r="A114" s="335"/>
      <c r="B114" s="734" t="s">
        <v>54</v>
      </c>
      <c r="C114" s="735"/>
      <c r="D114" s="735"/>
      <c r="E114" s="735"/>
      <c r="F114" s="735"/>
      <c r="G114" s="735"/>
      <c r="H114" s="735"/>
      <c r="I114" s="735"/>
      <c r="J114" s="735"/>
      <c r="K114" s="735"/>
      <c r="L114" s="735"/>
      <c r="M114" s="735"/>
      <c r="N114" s="735"/>
      <c r="O114" s="736"/>
    </row>
    <row r="115" spans="1:15" s="340" customFormat="1" x14ac:dyDescent="0.25">
      <c r="A115" s="337" t="s">
        <v>16</v>
      </c>
      <c r="B115" s="338" t="s">
        <v>377</v>
      </c>
      <c r="C115" s="339">
        <v>18370000</v>
      </c>
      <c r="D115" s="339">
        <v>18716000</v>
      </c>
      <c r="E115" s="339">
        <v>18364000</v>
      </c>
      <c r="F115" s="339">
        <v>18364000</v>
      </c>
      <c r="G115" s="339">
        <f>20322000+342000-914933</f>
        <v>19749067</v>
      </c>
      <c r="H115" s="339">
        <v>18364000</v>
      </c>
      <c r="I115" s="339">
        <f>18364000+738759</f>
        <v>19102759</v>
      </c>
      <c r="J115" s="339">
        <f>18364000+15721200+342000</f>
        <v>34427200</v>
      </c>
      <c r="K115" s="339">
        <f>8364000+69+10000000</f>
        <v>18364069</v>
      </c>
      <c r="L115" s="339">
        <v>18364000</v>
      </c>
      <c r="M115" s="339">
        <f>18364000+64140+114000+1373593+655828</f>
        <v>20571561</v>
      </c>
      <c r="N115" s="339">
        <v>18364000</v>
      </c>
      <c r="O115" s="359">
        <f t="shared" ref="O115:O124" si="15">SUM(C115:N115)</f>
        <v>241120656</v>
      </c>
    </row>
    <row r="116" spans="1:15" s="344" customFormat="1" x14ac:dyDescent="0.25">
      <c r="A116" s="341" t="s">
        <v>17</v>
      </c>
      <c r="B116" s="342" t="s">
        <v>423</v>
      </c>
      <c r="C116" s="343">
        <v>4347000</v>
      </c>
      <c r="D116" s="343">
        <v>4351000</v>
      </c>
      <c r="E116" s="343">
        <v>3807000</v>
      </c>
      <c r="F116" s="343">
        <v>3807000</v>
      </c>
      <c r="G116" s="343">
        <v>9507000</v>
      </c>
      <c r="H116" s="343">
        <v>3807000</v>
      </c>
      <c r="I116" s="343">
        <v>3807000</v>
      </c>
      <c r="J116" s="343">
        <f>3807000+110200+289100</f>
        <v>4206300</v>
      </c>
      <c r="K116" s="343">
        <f>3807000+339</f>
        <v>3807339</v>
      </c>
      <c r="L116" s="343">
        <v>3807000</v>
      </c>
      <c r="M116" s="343">
        <f>3807000+98600+482744+2812727-74627</f>
        <v>7126444</v>
      </c>
      <c r="N116" s="343">
        <v>3807000</v>
      </c>
      <c r="O116" s="360">
        <f t="shared" si="15"/>
        <v>56187083</v>
      </c>
    </row>
    <row r="117" spans="1:15" s="344" customFormat="1" x14ac:dyDescent="0.25">
      <c r="A117" s="341" t="s">
        <v>18</v>
      </c>
      <c r="B117" s="345" t="s">
        <v>424</v>
      </c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61">
        <f t="shared" si="15"/>
        <v>0</v>
      </c>
    </row>
    <row r="118" spans="1:15" s="344" customFormat="1" ht="14.1" customHeight="1" x14ac:dyDescent="0.25">
      <c r="A118" s="341" t="s">
        <v>19</v>
      </c>
      <c r="B118" s="347" t="s">
        <v>168</v>
      </c>
      <c r="C118" s="343">
        <v>4821000</v>
      </c>
      <c r="D118" s="343">
        <v>4821000</v>
      </c>
      <c r="E118" s="343">
        <f>36160000</f>
        <v>36160000</v>
      </c>
      <c r="F118" s="343">
        <v>4821000</v>
      </c>
      <c r="G118" s="343">
        <v>4821000</v>
      </c>
      <c r="H118" s="343">
        <v>4821000</v>
      </c>
      <c r="I118" s="343">
        <v>4821000</v>
      </c>
      <c r="J118" s="343">
        <v>4821000</v>
      </c>
      <c r="K118" s="343">
        <v>36160000</v>
      </c>
      <c r="L118" s="343">
        <v>4821000</v>
      </c>
      <c r="M118" s="343">
        <v>4821000</v>
      </c>
      <c r="N118" s="343">
        <v>4821000</v>
      </c>
      <c r="O118" s="360">
        <f t="shared" si="15"/>
        <v>120530000</v>
      </c>
    </row>
    <row r="119" spans="1:15" s="344" customFormat="1" ht="14.1" customHeight="1" x14ac:dyDescent="0.25">
      <c r="A119" s="341" t="s">
        <v>20</v>
      </c>
      <c r="B119" s="347" t="s">
        <v>425</v>
      </c>
      <c r="C119" s="343">
        <v>2170000</v>
      </c>
      <c r="D119" s="343">
        <v>2170000</v>
      </c>
      <c r="E119" s="343">
        <v>2170000</v>
      </c>
      <c r="F119" s="343">
        <v>2170000</v>
      </c>
      <c r="G119" s="343">
        <v>4488000</v>
      </c>
      <c r="H119" s="343">
        <v>30497000</v>
      </c>
      <c r="I119" s="343">
        <v>30497000</v>
      </c>
      <c r="J119" s="343">
        <f>30497000+12700000</f>
        <v>43197000</v>
      </c>
      <c r="K119" s="343">
        <f>2177000+842+166000-360</f>
        <v>2343482</v>
      </c>
      <c r="L119" s="343">
        <v>2170000</v>
      </c>
      <c r="M119" s="343">
        <f>2170000+127000+457200+380400+16299920</f>
        <v>19434520</v>
      </c>
      <c r="N119" s="343">
        <v>2170000</v>
      </c>
      <c r="O119" s="360">
        <f t="shared" si="15"/>
        <v>143477002</v>
      </c>
    </row>
    <row r="120" spans="1:15" s="344" customFormat="1" ht="14.1" customHeight="1" x14ac:dyDescent="0.25">
      <c r="A120" s="341" t="s">
        <v>21</v>
      </c>
      <c r="B120" s="347" t="s">
        <v>10</v>
      </c>
      <c r="C120" s="343">
        <v>28000</v>
      </c>
      <c r="D120" s="343">
        <v>28000</v>
      </c>
      <c r="E120" s="343">
        <v>28000</v>
      </c>
      <c r="F120" s="343">
        <v>28000</v>
      </c>
      <c r="G120" s="343">
        <v>28000</v>
      </c>
      <c r="H120" s="343">
        <v>28000</v>
      </c>
      <c r="I120" s="343">
        <v>28000</v>
      </c>
      <c r="J120" s="343">
        <v>28000</v>
      </c>
      <c r="K120" s="343">
        <v>28000</v>
      </c>
      <c r="L120" s="343">
        <v>28000</v>
      </c>
      <c r="M120" s="343">
        <v>28000</v>
      </c>
      <c r="N120" s="343">
        <v>28000</v>
      </c>
      <c r="O120" s="360">
        <f t="shared" si="15"/>
        <v>336000</v>
      </c>
    </row>
    <row r="121" spans="1:15" s="344" customFormat="1" ht="14.1" customHeight="1" x14ac:dyDescent="0.25">
      <c r="A121" s="341" t="s">
        <v>22</v>
      </c>
      <c r="B121" s="347" t="s">
        <v>379</v>
      </c>
      <c r="C121" s="343"/>
      <c r="D121" s="343"/>
      <c r="E121" s="343"/>
      <c r="F121" s="343"/>
      <c r="G121" s="343">
        <f>50000+100000</f>
        <v>150000</v>
      </c>
      <c r="H121" s="343"/>
      <c r="I121" s="343"/>
      <c r="J121" s="343"/>
      <c r="K121" s="343"/>
      <c r="L121" s="343"/>
      <c r="M121" s="343"/>
      <c r="N121" s="343"/>
      <c r="O121" s="360">
        <f t="shared" si="15"/>
        <v>150000</v>
      </c>
    </row>
    <row r="122" spans="1:15" s="344" customFormat="1" x14ac:dyDescent="0.25">
      <c r="A122" s="341" t="s">
        <v>23</v>
      </c>
      <c r="B122" s="342" t="s">
        <v>411</v>
      </c>
      <c r="C122" s="343">
        <v>6000</v>
      </c>
      <c r="D122" s="343">
        <v>5000</v>
      </c>
      <c r="E122" s="343">
        <v>4705000</v>
      </c>
      <c r="F122" s="343">
        <v>5000</v>
      </c>
      <c r="G122" s="343">
        <v>5000</v>
      </c>
      <c r="H122" s="343">
        <v>5000</v>
      </c>
      <c r="I122" s="343">
        <v>5000</v>
      </c>
      <c r="J122" s="343">
        <v>5000</v>
      </c>
      <c r="K122" s="343">
        <f>5000-424+9424</f>
        <v>14000</v>
      </c>
      <c r="L122" s="343">
        <v>5000</v>
      </c>
      <c r="M122" s="343">
        <f>5000+40000</f>
        <v>45000</v>
      </c>
      <c r="N122" s="343">
        <v>5000</v>
      </c>
      <c r="O122" s="360">
        <f t="shared" si="15"/>
        <v>4810000</v>
      </c>
    </row>
    <row r="123" spans="1:15" s="344" customFormat="1" ht="14.1" customHeight="1" thickBot="1" x14ac:dyDescent="0.3">
      <c r="A123" s="348" t="s">
        <v>24</v>
      </c>
      <c r="B123" s="347" t="s">
        <v>11</v>
      </c>
      <c r="C123" s="343">
        <v>159250000</v>
      </c>
      <c r="D123" s="343"/>
      <c r="E123" s="343"/>
      <c r="F123" s="343"/>
      <c r="G123" s="343">
        <f>12879000-466</f>
        <v>12878534</v>
      </c>
      <c r="H123" s="343"/>
      <c r="I123" s="343"/>
      <c r="J123" s="343"/>
      <c r="K123" s="343"/>
      <c r="L123" s="343"/>
      <c r="M123" s="343"/>
      <c r="N123" s="343"/>
      <c r="O123" s="360">
        <f t="shared" si="15"/>
        <v>172128534</v>
      </c>
    </row>
    <row r="124" spans="1:15" s="340" customFormat="1" ht="15.9" customHeight="1" thickBot="1" x14ac:dyDescent="0.3">
      <c r="A124" s="349"/>
      <c r="B124" s="350" t="s">
        <v>107</v>
      </c>
      <c r="C124" s="351">
        <f t="shared" ref="C124:N124" si="16">SUM(C115:C123)</f>
        <v>188992000</v>
      </c>
      <c r="D124" s="351">
        <f t="shared" si="16"/>
        <v>30091000</v>
      </c>
      <c r="E124" s="351">
        <f t="shared" si="16"/>
        <v>65234000</v>
      </c>
      <c r="F124" s="351">
        <f t="shared" si="16"/>
        <v>29195000</v>
      </c>
      <c r="G124" s="351">
        <f t="shared" si="16"/>
        <v>51626601</v>
      </c>
      <c r="H124" s="351">
        <f t="shared" si="16"/>
        <v>57522000</v>
      </c>
      <c r="I124" s="351">
        <f t="shared" si="16"/>
        <v>58260759</v>
      </c>
      <c r="J124" s="351">
        <f t="shared" si="16"/>
        <v>86684500</v>
      </c>
      <c r="K124" s="351">
        <f t="shared" si="16"/>
        <v>60716890</v>
      </c>
      <c r="L124" s="351">
        <f t="shared" si="16"/>
        <v>29195000</v>
      </c>
      <c r="M124" s="351">
        <f t="shared" si="16"/>
        <v>52026525</v>
      </c>
      <c r="N124" s="351">
        <f t="shared" si="16"/>
        <v>29195000</v>
      </c>
      <c r="O124" s="352">
        <f t="shared" si="15"/>
        <v>738739275</v>
      </c>
    </row>
    <row r="125" spans="1:15" s="340" customFormat="1" ht="15.9" customHeight="1" thickBot="1" x14ac:dyDescent="0.3">
      <c r="A125" s="353"/>
      <c r="B125" s="354"/>
      <c r="C125" s="355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</row>
    <row r="126" spans="1:15" s="336" customFormat="1" ht="15" customHeight="1" thickBot="1" x14ac:dyDescent="0.3">
      <c r="A126" s="335"/>
      <c r="B126" s="734" t="s">
        <v>55</v>
      </c>
      <c r="C126" s="735"/>
      <c r="D126" s="735"/>
      <c r="E126" s="735"/>
      <c r="F126" s="735"/>
      <c r="G126" s="735"/>
      <c r="H126" s="735"/>
      <c r="I126" s="735"/>
      <c r="J126" s="735"/>
      <c r="K126" s="735"/>
      <c r="L126" s="735"/>
      <c r="M126" s="735"/>
      <c r="N126" s="735"/>
      <c r="O126" s="736"/>
    </row>
    <row r="127" spans="1:15" s="344" customFormat="1" ht="14.1" customHeight="1" x14ac:dyDescent="0.25">
      <c r="A127" s="356" t="s">
        <v>16</v>
      </c>
      <c r="B127" s="357" t="s">
        <v>60</v>
      </c>
      <c r="C127" s="346">
        <v>5206000</v>
      </c>
      <c r="D127" s="346">
        <v>5206000</v>
      </c>
      <c r="E127" s="346">
        <v>5206000</v>
      </c>
      <c r="F127" s="346">
        <v>5206000</v>
      </c>
      <c r="G127" s="346">
        <v>10164000</v>
      </c>
      <c r="H127" s="346">
        <v>8730000</v>
      </c>
      <c r="I127" s="346">
        <f>8730000+384300+26000-26000</f>
        <v>9114300</v>
      </c>
      <c r="J127" s="346">
        <f>8730000+227638</f>
        <v>8957638</v>
      </c>
      <c r="K127" s="346">
        <f>5206000+488+40112+85275+640500-3000+2198950-173700</f>
        <v>7994625</v>
      </c>
      <c r="L127" s="346">
        <v>5206000</v>
      </c>
      <c r="M127" s="346">
        <f>5206000+471000+70650+224350+200000</f>
        <v>6172000</v>
      </c>
      <c r="N127" s="346">
        <v>5206000</v>
      </c>
      <c r="O127" s="361">
        <f t="shared" ref="O127:O137" si="17">SUM(C127:N127)</f>
        <v>82368563</v>
      </c>
    </row>
    <row r="128" spans="1:15" s="344" customFormat="1" ht="27" customHeight="1" x14ac:dyDescent="0.25">
      <c r="A128" s="356" t="s">
        <v>17</v>
      </c>
      <c r="B128" s="342" t="s">
        <v>177</v>
      </c>
      <c r="C128" s="343">
        <v>1717000</v>
      </c>
      <c r="D128" s="343">
        <v>1717000</v>
      </c>
      <c r="E128" s="343">
        <v>1717000</v>
      </c>
      <c r="F128" s="343">
        <v>1717000</v>
      </c>
      <c r="G128" s="343">
        <v>2396000</v>
      </c>
      <c r="H128" s="343">
        <v>2722000</v>
      </c>
      <c r="I128" s="343">
        <f>2722000+103761+7020-7020</f>
        <v>2825761</v>
      </c>
      <c r="J128" s="343">
        <f>2723000+61462</f>
        <v>2784462</v>
      </c>
      <c r="K128" s="343">
        <f>1717000+233+10832+23025+172935+20000+2002+593726-46895</f>
        <v>2492858</v>
      </c>
      <c r="L128" s="343">
        <v>1717000</v>
      </c>
      <c r="M128" s="343">
        <f>1717000+127170+19076+60575+102340</f>
        <v>2026161</v>
      </c>
      <c r="N128" s="343">
        <v>1717000</v>
      </c>
      <c r="O128" s="360">
        <f t="shared" si="17"/>
        <v>25549242</v>
      </c>
    </row>
    <row r="129" spans="1:15" s="344" customFormat="1" ht="14.1" customHeight="1" x14ac:dyDescent="0.25">
      <c r="A129" s="356" t="s">
        <v>18</v>
      </c>
      <c r="B129" s="347" t="s">
        <v>135</v>
      </c>
      <c r="C129" s="343">
        <v>9883000</v>
      </c>
      <c r="D129" s="343">
        <v>9883000</v>
      </c>
      <c r="E129" s="343">
        <v>9883000</v>
      </c>
      <c r="F129" s="343">
        <v>9883000</v>
      </c>
      <c r="G129" s="343">
        <f>11417000-280889</f>
        <v>11136111</v>
      </c>
      <c r="H129" s="343">
        <v>29216000</v>
      </c>
      <c r="I129" s="343">
        <v>29216000</v>
      </c>
      <c r="J129" s="343">
        <v>29217000</v>
      </c>
      <c r="K129" s="343">
        <f>9882000+582-1435608+2286000+718947+228600-80000-20000-1000</f>
        <v>11579521</v>
      </c>
      <c r="L129" s="343">
        <v>9882000</v>
      </c>
      <c r="M129" s="343">
        <f>9882000+457200-302340+380400+150000+762000</f>
        <v>11329260</v>
      </c>
      <c r="N129" s="343">
        <v>9882000</v>
      </c>
      <c r="O129" s="360">
        <f t="shared" si="17"/>
        <v>180989892</v>
      </c>
    </row>
    <row r="130" spans="1:15" s="344" customFormat="1" ht="14.1" customHeight="1" x14ac:dyDescent="0.25">
      <c r="A130" s="356" t="s">
        <v>19</v>
      </c>
      <c r="B130" s="347" t="s">
        <v>178</v>
      </c>
      <c r="C130" s="343">
        <v>502000</v>
      </c>
      <c r="D130" s="343">
        <v>502000</v>
      </c>
      <c r="E130" s="343">
        <v>501000</v>
      </c>
      <c r="F130" s="343">
        <v>501000</v>
      </c>
      <c r="G130" s="343">
        <v>508000</v>
      </c>
      <c r="H130" s="343">
        <v>501000</v>
      </c>
      <c r="I130" s="343">
        <v>501000</v>
      </c>
      <c r="J130" s="343">
        <f>501000+110200</f>
        <v>611200</v>
      </c>
      <c r="K130" s="343">
        <f>501000+600+1020+284480+2050000</f>
        <v>2837100</v>
      </c>
      <c r="L130" s="343">
        <v>501000</v>
      </c>
      <c r="M130" s="343">
        <f>501000+98600+3307500+1055000</f>
        <v>4962100</v>
      </c>
      <c r="N130" s="343">
        <v>501000</v>
      </c>
      <c r="O130" s="360">
        <f t="shared" si="17"/>
        <v>12928400</v>
      </c>
    </row>
    <row r="131" spans="1:15" s="344" customFormat="1" ht="14.1" customHeight="1" x14ac:dyDescent="0.25">
      <c r="A131" s="356" t="s">
        <v>20</v>
      </c>
      <c r="B131" s="347" t="s">
        <v>179</v>
      </c>
      <c r="C131" s="343">
        <v>9197000</v>
      </c>
      <c r="D131" s="343">
        <v>9197000</v>
      </c>
      <c r="E131" s="343">
        <v>9197000</v>
      </c>
      <c r="F131" s="343">
        <v>9197000</v>
      </c>
      <c r="G131" s="343">
        <f>8542000+280889</f>
        <v>8822889</v>
      </c>
      <c r="H131" s="343">
        <v>9198000</v>
      </c>
      <c r="I131" s="343">
        <f>9198000+152781</f>
        <v>9350781</v>
      </c>
      <c r="J131" s="343">
        <f>9198000+15721200</f>
        <v>24919200</v>
      </c>
      <c r="K131" s="343">
        <f>9198000-326+80000+254635-137+707187+72390</f>
        <v>10311749</v>
      </c>
      <c r="L131" s="343">
        <v>9198000</v>
      </c>
      <c r="M131" s="343">
        <f>9198000+100000+3198+5600000</f>
        <v>14901198</v>
      </c>
      <c r="N131" s="343">
        <v>9198000</v>
      </c>
      <c r="O131" s="360">
        <f t="shared" si="17"/>
        <v>132687817</v>
      </c>
    </row>
    <row r="132" spans="1:15" s="344" customFormat="1" ht="14.1" customHeight="1" x14ac:dyDescent="0.25">
      <c r="A132" s="356" t="s">
        <v>21</v>
      </c>
      <c r="B132" s="347" t="s">
        <v>566</v>
      </c>
      <c r="C132" s="343"/>
      <c r="D132" s="343"/>
      <c r="E132" s="343"/>
      <c r="F132" s="343"/>
      <c r="G132" s="343">
        <f>9199000+342000-914933+100000</f>
        <v>8726067</v>
      </c>
      <c r="H132" s="343"/>
      <c r="I132" s="343">
        <f>-33020+33020</f>
        <v>0</v>
      </c>
      <c r="J132" s="343">
        <f>342000+12700000</f>
        <v>13042000</v>
      </c>
      <c r="K132" s="343">
        <f>-2814772-2286000-718947-228600-1020-10832+166000-108300-254635-14605-125673-4315355-813435+9424-40472+2186-707187-284480-2792676+2428907+220595-2050000-72390</f>
        <v>-14812267</v>
      </c>
      <c r="L132" s="343"/>
      <c r="M132" s="343">
        <f>127000-100000-598170-89726-284925-3198+64140+482744+114000-5600000-495500-3307500-3150000+1373593+2812727-74627-1055000-400000+655828+16339920-150000-762000</f>
        <v>5899306</v>
      </c>
      <c r="N132" s="343">
        <f>25840000-1152</f>
        <v>25838848</v>
      </c>
      <c r="O132" s="360">
        <f t="shared" si="17"/>
        <v>38693954</v>
      </c>
    </row>
    <row r="133" spans="1:15" s="344" customFormat="1" ht="14.1" customHeight="1" x14ac:dyDescent="0.25">
      <c r="A133" s="356" t="s">
        <v>22</v>
      </c>
      <c r="B133" s="347" t="s">
        <v>222</v>
      </c>
      <c r="C133" s="343">
        <v>5411000</v>
      </c>
      <c r="D133" s="343">
        <f>5411000</f>
        <v>5411000</v>
      </c>
      <c r="E133" s="343">
        <v>10111000</v>
      </c>
      <c r="F133" s="343">
        <v>5411000</v>
      </c>
      <c r="G133" s="343">
        <v>15412000</v>
      </c>
      <c r="H133" s="343">
        <v>5411000</v>
      </c>
      <c r="I133" s="343">
        <v>5411000</v>
      </c>
      <c r="J133" s="343">
        <v>5411000</v>
      </c>
      <c r="K133" s="343">
        <f>5411000+1032+1435608+2814772+1</f>
        <v>9662413</v>
      </c>
      <c r="L133" s="343">
        <v>5411000</v>
      </c>
      <c r="M133" s="343">
        <f>5411000+495500+3150000</f>
        <v>9056500</v>
      </c>
      <c r="N133" s="343">
        <v>5411000</v>
      </c>
      <c r="O133" s="360">
        <f t="shared" si="17"/>
        <v>87529913</v>
      </c>
    </row>
    <row r="134" spans="1:15" s="344" customFormat="1" x14ac:dyDescent="0.25">
      <c r="A134" s="356" t="s">
        <v>23</v>
      </c>
      <c r="B134" s="342" t="s">
        <v>181</v>
      </c>
      <c r="C134" s="343">
        <v>529000</v>
      </c>
      <c r="D134" s="343">
        <v>530000</v>
      </c>
      <c r="E134" s="343">
        <v>530000</v>
      </c>
      <c r="F134" s="343">
        <v>530000</v>
      </c>
      <c r="G134" s="343">
        <v>530000</v>
      </c>
      <c r="H134" s="343">
        <v>530000</v>
      </c>
      <c r="I134" s="343">
        <v>530000</v>
      </c>
      <c r="J134" s="343">
        <v>530000</v>
      </c>
      <c r="K134" s="343">
        <f>530000-374</f>
        <v>529626</v>
      </c>
      <c r="L134" s="343">
        <v>530000</v>
      </c>
      <c r="M134" s="343">
        <v>530000</v>
      </c>
      <c r="N134" s="343">
        <v>530000</v>
      </c>
      <c r="O134" s="360">
        <f t="shared" si="17"/>
        <v>6358626</v>
      </c>
    </row>
    <row r="135" spans="1:15" s="344" customFormat="1" ht="14.1" customHeight="1" x14ac:dyDescent="0.25">
      <c r="A135" s="356" t="s">
        <v>24</v>
      </c>
      <c r="B135" s="347" t="s">
        <v>225</v>
      </c>
      <c r="C135" s="343"/>
      <c r="D135" s="343"/>
      <c r="E135" s="343">
        <v>2000000</v>
      </c>
      <c r="F135" s="343"/>
      <c r="G135" s="343">
        <f>6166000-167</f>
        <v>6165833</v>
      </c>
      <c r="H135" s="343">
        <v>400000</v>
      </c>
      <c r="I135" s="343"/>
      <c r="J135" s="343"/>
      <c r="K135" s="343"/>
      <c r="L135" s="343"/>
      <c r="M135" s="343">
        <v>400000</v>
      </c>
      <c r="N135" s="343"/>
      <c r="O135" s="360">
        <f t="shared" si="17"/>
        <v>8965833</v>
      </c>
    </row>
    <row r="136" spans="1:15" s="344" customFormat="1" ht="14.1" customHeight="1" thickBot="1" x14ac:dyDescent="0.3">
      <c r="A136" s="356" t="s">
        <v>25</v>
      </c>
      <c r="B136" s="347" t="s">
        <v>12</v>
      </c>
      <c r="C136" s="343">
        <v>20852444</v>
      </c>
      <c r="D136" s="343">
        <v>12741000</v>
      </c>
      <c r="E136" s="343">
        <v>12741000</v>
      </c>
      <c r="F136" s="343">
        <v>12741000</v>
      </c>
      <c r="G136" s="343">
        <v>12280000</v>
      </c>
      <c r="H136" s="343">
        <v>12741000</v>
      </c>
      <c r="I136" s="343">
        <f>12741000+8763+89154</f>
        <v>12838917</v>
      </c>
      <c r="J136" s="343">
        <v>12741000</v>
      </c>
      <c r="K136" s="343">
        <f>12741000+14605+125673+4315355-52-2428907</f>
        <v>14767674</v>
      </c>
      <c r="L136" s="343">
        <v>12741000</v>
      </c>
      <c r="M136" s="343">
        <v>12741000</v>
      </c>
      <c r="N136" s="343">
        <v>12741000</v>
      </c>
      <c r="O136" s="360">
        <f t="shared" si="17"/>
        <v>162667035</v>
      </c>
    </row>
    <row r="137" spans="1:15" s="340" customFormat="1" ht="15.9" customHeight="1" thickBot="1" x14ac:dyDescent="0.3">
      <c r="A137" s="349"/>
      <c r="B137" s="350" t="s">
        <v>108</v>
      </c>
      <c r="C137" s="351">
        <f t="shared" ref="C137:N137" si="18">SUM(C127:C136)</f>
        <v>53297444</v>
      </c>
      <c r="D137" s="351">
        <f t="shared" si="18"/>
        <v>45187000</v>
      </c>
      <c r="E137" s="351">
        <f t="shared" si="18"/>
        <v>51886000</v>
      </c>
      <c r="F137" s="351">
        <f t="shared" si="18"/>
        <v>45186000</v>
      </c>
      <c r="G137" s="351">
        <f t="shared" si="18"/>
        <v>76140900</v>
      </c>
      <c r="H137" s="351">
        <f t="shared" si="18"/>
        <v>69449000</v>
      </c>
      <c r="I137" s="351">
        <f t="shared" si="18"/>
        <v>69787759</v>
      </c>
      <c r="J137" s="351">
        <f t="shared" si="18"/>
        <v>98213500</v>
      </c>
      <c r="K137" s="351">
        <f t="shared" si="18"/>
        <v>45363299</v>
      </c>
      <c r="L137" s="351">
        <f t="shared" si="18"/>
        <v>45186000</v>
      </c>
      <c r="M137" s="351">
        <f t="shared" si="18"/>
        <v>68017525</v>
      </c>
      <c r="N137" s="351">
        <f t="shared" si="18"/>
        <v>71024848</v>
      </c>
      <c r="O137" s="352">
        <f t="shared" si="17"/>
        <v>738739275</v>
      </c>
    </row>
    <row r="138" spans="1:15" s="340" customFormat="1" ht="15.9" customHeight="1" thickBot="1" x14ac:dyDescent="0.3">
      <c r="A138" s="358"/>
      <c r="B138" s="354"/>
      <c r="C138" s="355"/>
      <c r="D138" s="355"/>
      <c r="E138" s="355"/>
      <c r="F138" s="355"/>
      <c r="G138" s="355"/>
      <c r="H138" s="355"/>
      <c r="I138" s="355"/>
      <c r="J138" s="355"/>
      <c r="K138" s="355"/>
      <c r="L138" s="355"/>
      <c r="M138" s="355"/>
      <c r="N138" s="355"/>
      <c r="O138" s="355"/>
    </row>
    <row r="139" spans="1:15" ht="16.2" thickBot="1" x14ac:dyDescent="0.35">
      <c r="A139" s="349"/>
      <c r="B139" s="350" t="s">
        <v>109</v>
      </c>
      <c r="C139" s="351">
        <f t="shared" ref="C139:O139" si="19">C124-C137</f>
        <v>135694556</v>
      </c>
      <c r="D139" s="351">
        <f t="shared" si="19"/>
        <v>-15096000</v>
      </c>
      <c r="E139" s="351">
        <f t="shared" si="19"/>
        <v>13348000</v>
      </c>
      <c r="F139" s="351">
        <f t="shared" si="19"/>
        <v>-15991000</v>
      </c>
      <c r="G139" s="351">
        <f t="shared" si="19"/>
        <v>-24514299</v>
      </c>
      <c r="H139" s="351">
        <f t="shared" si="19"/>
        <v>-11927000</v>
      </c>
      <c r="I139" s="351">
        <f t="shared" si="19"/>
        <v>-11527000</v>
      </c>
      <c r="J139" s="351">
        <f t="shared" si="19"/>
        <v>-11529000</v>
      </c>
      <c r="K139" s="351">
        <f t="shared" si="19"/>
        <v>15353591</v>
      </c>
      <c r="L139" s="351">
        <f t="shared" si="19"/>
        <v>-15991000</v>
      </c>
      <c r="M139" s="351">
        <f t="shared" si="19"/>
        <v>-15991000</v>
      </c>
      <c r="N139" s="351">
        <f t="shared" si="19"/>
        <v>-41829848</v>
      </c>
      <c r="O139" s="352">
        <f t="shared" si="19"/>
        <v>0</v>
      </c>
    </row>
    <row r="143" spans="1:15" ht="20.25" customHeight="1" x14ac:dyDescent="0.3">
      <c r="A143" s="732" t="s">
        <v>624</v>
      </c>
      <c r="B143" s="733"/>
      <c r="C143" s="733"/>
      <c r="D143" s="733"/>
      <c r="E143" s="733"/>
      <c r="F143" s="733"/>
      <c r="G143" s="733"/>
      <c r="H143" s="733"/>
      <c r="I143" s="733"/>
      <c r="J143" s="733"/>
      <c r="K143" s="733"/>
      <c r="L143" s="733"/>
      <c r="M143" s="733"/>
      <c r="N143" s="733"/>
      <c r="O143" s="733"/>
    </row>
    <row r="144" spans="1:15" ht="21" customHeight="1" x14ac:dyDescent="0.3">
      <c r="A144" s="732" t="s">
        <v>722</v>
      </c>
      <c r="B144" s="732"/>
      <c r="C144" s="732"/>
      <c r="D144" s="732"/>
      <c r="E144" s="732"/>
      <c r="F144" s="732"/>
      <c r="G144" s="732"/>
      <c r="H144" s="732"/>
      <c r="I144" s="732"/>
      <c r="J144" s="732"/>
      <c r="K144" s="732"/>
      <c r="L144" s="732"/>
      <c r="M144" s="732"/>
      <c r="N144" s="732"/>
      <c r="O144" s="732"/>
    </row>
    <row r="145" spans="1:15" ht="21" customHeight="1" x14ac:dyDescent="0.3">
      <c r="A145" s="296"/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</row>
    <row r="146" spans="1:15" ht="16.2" thickBot="1" x14ac:dyDescent="0.35">
      <c r="O146" s="334" t="s">
        <v>615</v>
      </c>
    </row>
    <row r="147" spans="1:15" s="333" customFormat="1" ht="31.5" customHeight="1" thickBot="1" x14ac:dyDescent="0.35">
      <c r="A147" s="58" t="s">
        <v>14</v>
      </c>
      <c r="B147" s="59" t="s">
        <v>59</v>
      </c>
      <c r="C147" s="59" t="s">
        <v>71</v>
      </c>
      <c r="D147" s="59" t="s">
        <v>72</v>
      </c>
      <c r="E147" s="59" t="s">
        <v>73</v>
      </c>
      <c r="F147" s="59" t="s">
        <v>74</v>
      </c>
      <c r="G147" s="59" t="s">
        <v>75</v>
      </c>
      <c r="H147" s="59" t="s">
        <v>76</v>
      </c>
      <c r="I147" s="59" t="s">
        <v>77</v>
      </c>
      <c r="J147" s="59" t="s">
        <v>78</v>
      </c>
      <c r="K147" s="59" t="s">
        <v>79</v>
      </c>
      <c r="L147" s="59" t="s">
        <v>80</v>
      </c>
      <c r="M147" s="59" t="s">
        <v>81</v>
      </c>
      <c r="N147" s="59" t="s">
        <v>82</v>
      </c>
      <c r="O147" s="60" t="s">
        <v>48</v>
      </c>
    </row>
    <row r="148" spans="1:15" s="336" customFormat="1" ht="15" customHeight="1" thickBot="1" x14ac:dyDescent="0.3">
      <c r="A148" s="335"/>
      <c r="B148" s="734" t="s">
        <v>54</v>
      </c>
      <c r="C148" s="735"/>
      <c r="D148" s="735"/>
      <c r="E148" s="735"/>
      <c r="F148" s="735"/>
      <c r="G148" s="735"/>
      <c r="H148" s="735"/>
      <c r="I148" s="735"/>
      <c r="J148" s="735"/>
      <c r="K148" s="735"/>
      <c r="L148" s="735"/>
      <c r="M148" s="735"/>
      <c r="N148" s="735"/>
      <c r="O148" s="736"/>
    </row>
    <row r="149" spans="1:15" s="340" customFormat="1" x14ac:dyDescent="0.25">
      <c r="A149" s="337" t="s">
        <v>16</v>
      </c>
      <c r="B149" s="338" t="s">
        <v>377</v>
      </c>
      <c r="C149" s="339">
        <v>18370000</v>
      </c>
      <c r="D149" s="339">
        <v>18716000</v>
      </c>
      <c r="E149" s="339">
        <v>18364000</v>
      </c>
      <c r="F149" s="339">
        <v>18364000</v>
      </c>
      <c r="G149" s="339">
        <f>20322000+342000-914933</f>
        <v>19749067</v>
      </c>
      <c r="H149" s="339">
        <v>18364000</v>
      </c>
      <c r="I149" s="339">
        <f>18364000+738759</f>
        <v>19102759</v>
      </c>
      <c r="J149" s="339">
        <f>18364000+15721200+342000</f>
        <v>34427200</v>
      </c>
      <c r="K149" s="339">
        <f>8364000+69+10000000</f>
        <v>18364069</v>
      </c>
      <c r="L149" s="339">
        <v>18364000</v>
      </c>
      <c r="M149" s="339">
        <f>18364000+64140+114000+1373593+655828</f>
        <v>20571561</v>
      </c>
      <c r="N149" s="339">
        <f>18364000+1182674</f>
        <v>19546674</v>
      </c>
      <c r="O149" s="359">
        <f t="shared" ref="O149:O158" si="20">SUM(C149:N149)</f>
        <v>242303330</v>
      </c>
    </row>
    <row r="150" spans="1:15" s="344" customFormat="1" x14ac:dyDescent="0.25">
      <c r="A150" s="341" t="s">
        <v>17</v>
      </c>
      <c r="B150" s="342" t="s">
        <v>423</v>
      </c>
      <c r="C150" s="343">
        <v>4347000</v>
      </c>
      <c r="D150" s="343">
        <v>4351000</v>
      </c>
      <c r="E150" s="343">
        <v>3807000</v>
      </c>
      <c r="F150" s="343">
        <v>3807000</v>
      </c>
      <c r="G150" s="343">
        <v>9507000</v>
      </c>
      <c r="H150" s="343">
        <v>3807000</v>
      </c>
      <c r="I150" s="343">
        <v>3807000</v>
      </c>
      <c r="J150" s="343">
        <f>3807000+110200+289100</f>
        <v>4206300</v>
      </c>
      <c r="K150" s="343">
        <f>3807000+339</f>
        <v>3807339</v>
      </c>
      <c r="L150" s="343">
        <v>3807000</v>
      </c>
      <c r="M150" s="343">
        <f>3807000+98600+482744+2812727-74627</f>
        <v>7126444</v>
      </c>
      <c r="N150" s="343">
        <f>3807000+3850000</f>
        <v>7657000</v>
      </c>
      <c r="O150" s="360">
        <f t="shared" si="20"/>
        <v>60037083</v>
      </c>
    </row>
    <row r="151" spans="1:15" s="344" customFormat="1" x14ac:dyDescent="0.25">
      <c r="A151" s="341" t="s">
        <v>18</v>
      </c>
      <c r="B151" s="345" t="s">
        <v>424</v>
      </c>
      <c r="C151" s="346"/>
      <c r="D151" s="346"/>
      <c r="E151" s="346"/>
      <c r="F151" s="346"/>
      <c r="G151" s="346"/>
      <c r="H151" s="346"/>
      <c r="I151" s="346"/>
      <c r="J151" s="346"/>
      <c r="K151" s="346"/>
      <c r="L151" s="346"/>
      <c r="M151" s="346"/>
      <c r="N151" s="346"/>
      <c r="O151" s="361">
        <f t="shared" si="20"/>
        <v>0</v>
      </c>
    </row>
    <row r="152" spans="1:15" s="344" customFormat="1" ht="14.1" customHeight="1" x14ac:dyDescent="0.25">
      <c r="A152" s="341" t="s">
        <v>19</v>
      </c>
      <c r="B152" s="347" t="s">
        <v>168</v>
      </c>
      <c r="C152" s="343">
        <v>4821000</v>
      </c>
      <c r="D152" s="343">
        <v>4821000</v>
      </c>
      <c r="E152" s="343">
        <f>36160000</f>
        <v>36160000</v>
      </c>
      <c r="F152" s="343">
        <v>4821000</v>
      </c>
      <c r="G152" s="343">
        <v>4821000</v>
      </c>
      <c r="H152" s="343">
        <v>4821000</v>
      </c>
      <c r="I152" s="343">
        <v>4821000</v>
      </c>
      <c r="J152" s="343">
        <v>4821000</v>
      </c>
      <c r="K152" s="343">
        <v>36160000</v>
      </c>
      <c r="L152" s="343">
        <v>4821000</v>
      </c>
      <c r="M152" s="343">
        <v>4821000</v>
      </c>
      <c r="N152" s="343">
        <f>4821000+5735000</f>
        <v>10556000</v>
      </c>
      <c r="O152" s="360">
        <f t="shared" si="20"/>
        <v>126265000</v>
      </c>
    </row>
    <row r="153" spans="1:15" s="344" customFormat="1" ht="14.1" customHeight="1" x14ac:dyDescent="0.25">
      <c r="A153" s="341" t="s">
        <v>20</v>
      </c>
      <c r="B153" s="347" t="s">
        <v>425</v>
      </c>
      <c r="C153" s="343">
        <v>2170000</v>
      </c>
      <c r="D153" s="343">
        <v>2170000</v>
      </c>
      <c r="E153" s="343">
        <v>2170000</v>
      </c>
      <c r="F153" s="343">
        <v>2170000</v>
      </c>
      <c r="G153" s="343">
        <v>4488000</v>
      </c>
      <c r="H153" s="343">
        <v>30497000</v>
      </c>
      <c r="I153" s="343">
        <v>30497000</v>
      </c>
      <c r="J153" s="343">
        <f>30497000+12700000</f>
        <v>43197000</v>
      </c>
      <c r="K153" s="343">
        <f>2177000+842+166000-360</f>
        <v>2343482</v>
      </c>
      <c r="L153" s="343">
        <v>2170000</v>
      </c>
      <c r="M153" s="343">
        <f>2170000+127000+457200+380400+16299920</f>
        <v>19434520</v>
      </c>
      <c r="N153" s="343">
        <f>2170000+2164583</f>
        <v>4334583</v>
      </c>
      <c r="O153" s="360">
        <f t="shared" si="20"/>
        <v>145641585</v>
      </c>
    </row>
    <row r="154" spans="1:15" s="344" customFormat="1" ht="14.1" customHeight="1" x14ac:dyDescent="0.25">
      <c r="A154" s="341" t="s">
        <v>21</v>
      </c>
      <c r="B154" s="347" t="s">
        <v>10</v>
      </c>
      <c r="C154" s="343">
        <v>28000</v>
      </c>
      <c r="D154" s="343">
        <v>28000</v>
      </c>
      <c r="E154" s="343">
        <v>28000</v>
      </c>
      <c r="F154" s="343">
        <v>28000</v>
      </c>
      <c r="G154" s="343">
        <v>28000</v>
      </c>
      <c r="H154" s="343">
        <v>28000</v>
      </c>
      <c r="I154" s="343">
        <v>28000</v>
      </c>
      <c r="J154" s="343">
        <v>28000</v>
      </c>
      <c r="K154" s="343">
        <v>28000</v>
      </c>
      <c r="L154" s="343">
        <v>28000</v>
      </c>
      <c r="M154" s="343">
        <v>28000</v>
      </c>
      <c r="N154" s="343">
        <f>28000+43811784+3150000</f>
        <v>46989784</v>
      </c>
      <c r="O154" s="360">
        <f t="shared" si="20"/>
        <v>47297784</v>
      </c>
    </row>
    <row r="155" spans="1:15" s="344" customFormat="1" ht="14.1" customHeight="1" x14ac:dyDescent="0.25">
      <c r="A155" s="341" t="s">
        <v>22</v>
      </c>
      <c r="B155" s="347" t="s">
        <v>379</v>
      </c>
      <c r="C155" s="343"/>
      <c r="D155" s="343"/>
      <c r="E155" s="343"/>
      <c r="F155" s="343"/>
      <c r="G155" s="343">
        <f>50000+100000</f>
        <v>150000</v>
      </c>
      <c r="H155" s="343"/>
      <c r="I155" s="343"/>
      <c r="J155" s="343"/>
      <c r="K155" s="343"/>
      <c r="L155" s="343"/>
      <c r="M155" s="343"/>
      <c r="N155" s="343"/>
      <c r="O155" s="360">
        <f t="shared" si="20"/>
        <v>150000</v>
      </c>
    </row>
    <row r="156" spans="1:15" s="344" customFormat="1" x14ac:dyDescent="0.25">
      <c r="A156" s="341" t="s">
        <v>23</v>
      </c>
      <c r="B156" s="342" t="s">
        <v>411</v>
      </c>
      <c r="C156" s="343">
        <v>6000</v>
      </c>
      <c r="D156" s="343">
        <v>5000</v>
      </c>
      <c r="E156" s="343">
        <v>4705000</v>
      </c>
      <c r="F156" s="343">
        <v>5000</v>
      </c>
      <c r="G156" s="343">
        <v>5000</v>
      </c>
      <c r="H156" s="343">
        <v>5000</v>
      </c>
      <c r="I156" s="343">
        <v>5000</v>
      </c>
      <c r="J156" s="343">
        <v>5000</v>
      </c>
      <c r="K156" s="343">
        <f>5000-424+9424</f>
        <v>14000</v>
      </c>
      <c r="L156" s="343">
        <v>5000</v>
      </c>
      <c r="M156" s="343">
        <f>5000+40000</f>
        <v>45000</v>
      </c>
      <c r="N156" s="343">
        <v>5000</v>
      </c>
      <c r="O156" s="360">
        <f t="shared" si="20"/>
        <v>4810000</v>
      </c>
    </row>
    <row r="157" spans="1:15" s="344" customFormat="1" ht="14.1" customHeight="1" thickBot="1" x14ac:dyDescent="0.3">
      <c r="A157" s="348" t="s">
        <v>24</v>
      </c>
      <c r="B157" s="347" t="s">
        <v>11</v>
      </c>
      <c r="C157" s="343">
        <v>159250000</v>
      </c>
      <c r="D157" s="343"/>
      <c r="E157" s="343"/>
      <c r="F157" s="343"/>
      <c r="G157" s="343">
        <f>12879000-466</f>
        <v>12878534</v>
      </c>
      <c r="H157" s="343"/>
      <c r="I157" s="343"/>
      <c r="J157" s="343"/>
      <c r="K157" s="343"/>
      <c r="L157" s="343"/>
      <c r="M157" s="343"/>
      <c r="N157" s="343">
        <v>7777206</v>
      </c>
      <c r="O157" s="360">
        <f t="shared" si="20"/>
        <v>179905740</v>
      </c>
    </row>
    <row r="158" spans="1:15" s="340" customFormat="1" ht="15.9" customHeight="1" thickBot="1" x14ac:dyDescent="0.3">
      <c r="A158" s="349"/>
      <c r="B158" s="350" t="s">
        <v>107</v>
      </c>
      <c r="C158" s="351">
        <f t="shared" ref="C158:N158" si="21">SUM(C149:C157)</f>
        <v>188992000</v>
      </c>
      <c r="D158" s="351">
        <f t="shared" si="21"/>
        <v>30091000</v>
      </c>
      <c r="E158" s="351">
        <f t="shared" si="21"/>
        <v>65234000</v>
      </c>
      <c r="F158" s="351">
        <f t="shared" si="21"/>
        <v>29195000</v>
      </c>
      <c r="G158" s="351">
        <f t="shared" si="21"/>
        <v>51626601</v>
      </c>
      <c r="H158" s="351">
        <f t="shared" si="21"/>
        <v>57522000</v>
      </c>
      <c r="I158" s="351">
        <f t="shared" si="21"/>
        <v>58260759</v>
      </c>
      <c r="J158" s="351">
        <f t="shared" si="21"/>
        <v>86684500</v>
      </c>
      <c r="K158" s="351">
        <f t="shared" si="21"/>
        <v>60716890</v>
      </c>
      <c r="L158" s="351">
        <f t="shared" si="21"/>
        <v>29195000</v>
      </c>
      <c r="M158" s="351">
        <f t="shared" si="21"/>
        <v>52026525</v>
      </c>
      <c r="N158" s="351">
        <f t="shared" si="21"/>
        <v>96866247</v>
      </c>
      <c r="O158" s="352">
        <f t="shared" si="20"/>
        <v>806410522</v>
      </c>
    </row>
    <row r="159" spans="1:15" s="340" customFormat="1" ht="15.9" customHeight="1" thickBot="1" x14ac:dyDescent="0.3">
      <c r="A159" s="353"/>
      <c r="B159" s="354"/>
      <c r="C159" s="355"/>
      <c r="D159" s="355"/>
      <c r="E159" s="355"/>
      <c r="F159" s="355"/>
      <c r="G159" s="355"/>
      <c r="H159" s="355"/>
      <c r="I159" s="355"/>
      <c r="J159" s="355"/>
      <c r="K159" s="355"/>
      <c r="L159" s="355"/>
      <c r="M159" s="355"/>
      <c r="N159" s="355"/>
      <c r="O159" s="355"/>
    </row>
    <row r="160" spans="1:15" s="336" customFormat="1" ht="15" customHeight="1" thickBot="1" x14ac:dyDescent="0.3">
      <c r="A160" s="335"/>
      <c r="B160" s="734" t="s">
        <v>55</v>
      </c>
      <c r="C160" s="735"/>
      <c r="D160" s="735"/>
      <c r="E160" s="735"/>
      <c r="F160" s="735"/>
      <c r="G160" s="735"/>
      <c r="H160" s="735"/>
      <c r="I160" s="735"/>
      <c r="J160" s="735"/>
      <c r="K160" s="735"/>
      <c r="L160" s="735"/>
      <c r="M160" s="735"/>
      <c r="N160" s="735"/>
      <c r="O160" s="736"/>
    </row>
    <row r="161" spans="1:15" s="344" customFormat="1" ht="14.1" customHeight="1" x14ac:dyDescent="0.25">
      <c r="A161" s="356" t="s">
        <v>16</v>
      </c>
      <c r="B161" s="357" t="s">
        <v>60</v>
      </c>
      <c r="C161" s="346">
        <v>5206000</v>
      </c>
      <c r="D161" s="346">
        <v>5206000</v>
      </c>
      <c r="E161" s="346">
        <v>5206000</v>
      </c>
      <c r="F161" s="346">
        <v>5206000</v>
      </c>
      <c r="G161" s="346">
        <v>10164000</v>
      </c>
      <c r="H161" s="346">
        <v>8730000</v>
      </c>
      <c r="I161" s="346">
        <f>8730000+384300+26000-26000</f>
        <v>9114300</v>
      </c>
      <c r="J161" s="346">
        <f>8730000+227638</f>
        <v>8957638</v>
      </c>
      <c r="K161" s="346">
        <f>5206000+488+40112+85275+640500-3000+2198950-173700</f>
        <v>7994625</v>
      </c>
      <c r="L161" s="346">
        <v>5206000</v>
      </c>
      <c r="M161" s="346">
        <f>5206000+471000+70650+224350+200000</f>
        <v>6172000</v>
      </c>
      <c r="N161" s="346">
        <f>5206000+237795</f>
        <v>5443795</v>
      </c>
      <c r="O161" s="361">
        <f t="shared" ref="O161:O171" si="22">SUM(C161:N161)</f>
        <v>82606358</v>
      </c>
    </row>
    <row r="162" spans="1:15" s="344" customFormat="1" ht="27" customHeight="1" x14ac:dyDescent="0.25">
      <c r="A162" s="356" t="s">
        <v>17</v>
      </c>
      <c r="B162" s="342" t="s">
        <v>177</v>
      </c>
      <c r="C162" s="343">
        <v>1717000</v>
      </c>
      <c r="D162" s="343">
        <v>1717000</v>
      </c>
      <c r="E162" s="343">
        <v>1717000</v>
      </c>
      <c r="F162" s="343">
        <v>1717000</v>
      </c>
      <c r="G162" s="343">
        <v>2396000</v>
      </c>
      <c r="H162" s="343">
        <v>2722000</v>
      </c>
      <c r="I162" s="343">
        <f>2722000+103761+7020-7020</f>
        <v>2825761</v>
      </c>
      <c r="J162" s="343">
        <f>2723000+61462</f>
        <v>2784462</v>
      </c>
      <c r="K162" s="343">
        <f>1717000+233+10832+23025+172935+20000+2002+593726-46895</f>
        <v>2492858</v>
      </c>
      <c r="L162" s="343">
        <v>1717000</v>
      </c>
      <c r="M162" s="343">
        <f>1717000+127170+19076+60575+102340</f>
        <v>2026161</v>
      </c>
      <c r="N162" s="343">
        <f>1717000+64205</f>
        <v>1781205</v>
      </c>
      <c r="O162" s="360">
        <f t="shared" si="22"/>
        <v>25613447</v>
      </c>
    </row>
    <row r="163" spans="1:15" s="344" customFormat="1" ht="14.1" customHeight="1" x14ac:dyDescent="0.25">
      <c r="A163" s="356" t="s">
        <v>18</v>
      </c>
      <c r="B163" s="347" t="s">
        <v>135</v>
      </c>
      <c r="C163" s="343">
        <v>9883000</v>
      </c>
      <c r="D163" s="343">
        <v>9883000</v>
      </c>
      <c r="E163" s="343">
        <v>9883000</v>
      </c>
      <c r="F163" s="343">
        <v>9883000</v>
      </c>
      <c r="G163" s="343">
        <f>11417000-280889</f>
        <v>11136111</v>
      </c>
      <c r="H163" s="343">
        <v>29216000</v>
      </c>
      <c r="I163" s="343">
        <v>29216000</v>
      </c>
      <c r="J163" s="343">
        <v>29217000</v>
      </c>
      <c r="K163" s="343">
        <f>9882000+582-1435608+2286000+718947+228600-80000-20000-1000</f>
        <v>11579521</v>
      </c>
      <c r="L163" s="343">
        <v>9882000</v>
      </c>
      <c r="M163" s="343">
        <f>9882000+457200-302340+380400+150000+762000</f>
        <v>11329260</v>
      </c>
      <c r="N163" s="343">
        <f>9882000+3548000</f>
        <v>13430000</v>
      </c>
      <c r="O163" s="360">
        <f t="shared" si="22"/>
        <v>184537892</v>
      </c>
    </row>
    <row r="164" spans="1:15" s="344" customFormat="1" ht="14.1" customHeight="1" x14ac:dyDescent="0.25">
      <c r="A164" s="356" t="s">
        <v>19</v>
      </c>
      <c r="B164" s="347" t="s">
        <v>178</v>
      </c>
      <c r="C164" s="343">
        <v>502000</v>
      </c>
      <c r="D164" s="343">
        <v>502000</v>
      </c>
      <c r="E164" s="343">
        <v>501000</v>
      </c>
      <c r="F164" s="343">
        <v>501000</v>
      </c>
      <c r="G164" s="343">
        <v>508000</v>
      </c>
      <c r="H164" s="343">
        <v>501000</v>
      </c>
      <c r="I164" s="343">
        <v>501000</v>
      </c>
      <c r="J164" s="343">
        <f>501000+110200</f>
        <v>611200</v>
      </c>
      <c r="K164" s="343">
        <f>501000+600+1020+284480+2050000</f>
        <v>2837100</v>
      </c>
      <c r="L164" s="343">
        <v>501000</v>
      </c>
      <c r="M164" s="343">
        <f>501000+98600+3307500+1055000</f>
        <v>4962100</v>
      </c>
      <c r="N164" s="343">
        <f>501000+1277500</f>
        <v>1778500</v>
      </c>
      <c r="O164" s="360">
        <f t="shared" si="22"/>
        <v>14205900</v>
      </c>
    </row>
    <row r="165" spans="1:15" s="344" customFormat="1" ht="14.1" customHeight="1" x14ac:dyDescent="0.25">
      <c r="A165" s="356" t="s">
        <v>20</v>
      </c>
      <c r="B165" s="347" t="s">
        <v>179</v>
      </c>
      <c r="C165" s="343">
        <v>9197000</v>
      </c>
      <c r="D165" s="343">
        <v>9197000</v>
      </c>
      <c r="E165" s="343">
        <v>9197000</v>
      </c>
      <c r="F165" s="343">
        <v>9197000</v>
      </c>
      <c r="G165" s="343">
        <f>8542000+280889</f>
        <v>8822889</v>
      </c>
      <c r="H165" s="343">
        <v>9198000</v>
      </c>
      <c r="I165" s="343">
        <f>9198000+152781</f>
        <v>9350781</v>
      </c>
      <c r="J165" s="343">
        <f>9198000+15721200</f>
        <v>24919200</v>
      </c>
      <c r="K165" s="343">
        <f>9198000-326+80000+254635-137+707187+72390</f>
        <v>10311749</v>
      </c>
      <c r="L165" s="343">
        <v>9198000</v>
      </c>
      <c r="M165" s="343">
        <f>9198000+100000+3198+5600000</f>
        <v>14901198</v>
      </c>
      <c r="N165" s="343">
        <f>9198000-28-900000</f>
        <v>8297972</v>
      </c>
      <c r="O165" s="360">
        <f t="shared" si="22"/>
        <v>131787789</v>
      </c>
    </row>
    <row r="166" spans="1:15" s="344" customFormat="1" ht="14.1" customHeight="1" x14ac:dyDescent="0.25">
      <c r="A166" s="356" t="s">
        <v>21</v>
      </c>
      <c r="B166" s="347" t="s">
        <v>566</v>
      </c>
      <c r="C166" s="343"/>
      <c r="D166" s="343"/>
      <c r="E166" s="343"/>
      <c r="F166" s="343"/>
      <c r="G166" s="343">
        <f>9199000+342000-914933+100000</f>
        <v>8726067</v>
      </c>
      <c r="H166" s="343"/>
      <c r="I166" s="343">
        <f>-33020+33020</f>
        <v>0</v>
      </c>
      <c r="J166" s="343">
        <f>342000+12700000</f>
        <v>13042000</v>
      </c>
      <c r="K166" s="343">
        <f>-2814772-2286000-718947-228600-1020-10832+166000-108300-254635-14605-125673-4315355-813435+9424-40472+2186-707187-284480-2792676+2428907+220595-2050000-72390</f>
        <v>-14812267</v>
      </c>
      <c r="L166" s="343"/>
      <c r="M166" s="343">
        <f>127000-100000-598170-89726-284925-3198+64140+482744+114000-5600000-495500-3307500-3150000+1373593+2812727-74627-1055000-400000+655828+16339920-150000-762000</f>
        <v>5899306</v>
      </c>
      <c r="N166" s="343">
        <f>25840000-1152+19200280</f>
        <v>45039128</v>
      </c>
      <c r="O166" s="360">
        <f t="shared" si="22"/>
        <v>57894234</v>
      </c>
    </row>
    <row r="167" spans="1:15" s="344" customFormat="1" ht="14.1" customHeight="1" x14ac:dyDescent="0.25">
      <c r="A167" s="356" t="s">
        <v>22</v>
      </c>
      <c r="B167" s="347" t="s">
        <v>222</v>
      </c>
      <c r="C167" s="343">
        <v>5411000</v>
      </c>
      <c r="D167" s="343">
        <f>5411000</f>
        <v>5411000</v>
      </c>
      <c r="E167" s="343">
        <v>10111000</v>
      </c>
      <c r="F167" s="343">
        <v>5411000</v>
      </c>
      <c r="G167" s="343">
        <v>15412000</v>
      </c>
      <c r="H167" s="343">
        <v>5411000</v>
      </c>
      <c r="I167" s="343">
        <v>5411000</v>
      </c>
      <c r="J167" s="343">
        <v>5411000</v>
      </c>
      <c r="K167" s="343">
        <f>5411000+1032+1435608+2814772+1</f>
        <v>9662413</v>
      </c>
      <c r="L167" s="343">
        <v>5411000</v>
      </c>
      <c r="M167" s="343">
        <f>5411000+495500+3150000</f>
        <v>9056500</v>
      </c>
      <c r="N167" s="343">
        <f>5411000+480000</f>
        <v>5891000</v>
      </c>
      <c r="O167" s="360">
        <f t="shared" si="22"/>
        <v>88009913</v>
      </c>
    </row>
    <row r="168" spans="1:15" s="344" customFormat="1" x14ac:dyDescent="0.25">
      <c r="A168" s="356" t="s">
        <v>23</v>
      </c>
      <c r="B168" s="342" t="s">
        <v>181</v>
      </c>
      <c r="C168" s="343">
        <v>529000</v>
      </c>
      <c r="D168" s="343">
        <v>530000</v>
      </c>
      <c r="E168" s="343">
        <v>530000</v>
      </c>
      <c r="F168" s="343">
        <v>530000</v>
      </c>
      <c r="G168" s="343">
        <v>530000</v>
      </c>
      <c r="H168" s="343">
        <v>530000</v>
      </c>
      <c r="I168" s="343">
        <v>530000</v>
      </c>
      <c r="J168" s="343">
        <v>530000</v>
      </c>
      <c r="K168" s="343">
        <f>530000-374</f>
        <v>529626</v>
      </c>
      <c r="L168" s="343">
        <v>530000</v>
      </c>
      <c r="M168" s="343">
        <v>530000</v>
      </c>
      <c r="N168" s="343">
        <f>530000+43811784</f>
        <v>44341784</v>
      </c>
      <c r="O168" s="360">
        <f t="shared" si="22"/>
        <v>50170410</v>
      </c>
    </row>
    <row r="169" spans="1:15" s="344" customFormat="1" ht="14.1" customHeight="1" x14ac:dyDescent="0.25">
      <c r="A169" s="356" t="s">
        <v>24</v>
      </c>
      <c r="B169" s="347" t="s">
        <v>225</v>
      </c>
      <c r="C169" s="343"/>
      <c r="D169" s="343"/>
      <c r="E169" s="343">
        <v>2000000</v>
      </c>
      <c r="F169" s="343"/>
      <c r="G169" s="343">
        <f>6166000-167</f>
        <v>6165833</v>
      </c>
      <c r="H169" s="343">
        <v>400000</v>
      </c>
      <c r="I169" s="343"/>
      <c r="J169" s="343"/>
      <c r="K169" s="343"/>
      <c r="L169" s="343"/>
      <c r="M169" s="343">
        <v>400000</v>
      </c>
      <c r="N169" s="343"/>
      <c r="O169" s="360">
        <f t="shared" si="22"/>
        <v>8965833</v>
      </c>
    </row>
    <row r="170" spans="1:15" s="344" customFormat="1" ht="14.1" customHeight="1" thickBot="1" x14ac:dyDescent="0.3">
      <c r="A170" s="356" t="s">
        <v>25</v>
      </c>
      <c r="B170" s="347" t="s">
        <v>12</v>
      </c>
      <c r="C170" s="343">
        <v>20852444</v>
      </c>
      <c r="D170" s="343">
        <v>12741000</v>
      </c>
      <c r="E170" s="343">
        <v>12741000</v>
      </c>
      <c r="F170" s="343">
        <v>12741000</v>
      </c>
      <c r="G170" s="343">
        <v>12280000</v>
      </c>
      <c r="H170" s="343">
        <v>12741000</v>
      </c>
      <c r="I170" s="343">
        <f>12741000+8763+89154</f>
        <v>12838917</v>
      </c>
      <c r="J170" s="343">
        <v>12741000</v>
      </c>
      <c r="K170" s="343">
        <f>12741000+14605+125673+4315355-52-2428907</f>
        <v>14767674</v>
      </c>
      <c r="L170" s="343">
        <v>12741000</v>
      </c>
      <c r="M170" s="343">
        <v>12741000</v>
      </c>
      <c r="N170" s="343">
        <f>12741000-48289</f>
        <v>12692711</v>
      </c>
      <c r="O170" s="360">
        <f t="shared" si="22"/>
        <v>162618746</v>
      </c>
    </row>
    <row r="171" spans="1:15" s="340" customFormat="1" ht="15.9" customHeight="1" thickBot="1" x14ac:dyDescent="0.3">
      <c r="A171" s="349"/>
      <c r="B171" s="350" t="s">
        <v>108</v>
      </c>
      <c r="C171" s="351">
        <f t="shared" ref="C171:N171" si="23">SUM(C161:C170)</f>
        <v>53297444</v>
      </c>
      <c r="D171" s="351">
        <f t="shared" si="23"/>
        <v>45187000</v>
      </c>
      <c r="E171" s="351">
        <f t="shared" si="23"/>
        <v>51886000</v>
      </c>
      <c r="F171" s="351">
        <f t="shared" si="23"/>
        <v>45186000</v>
      </c>
      <c r="G171" s="351">
        <f t="shared" si="23"/>
        <v>76140900</v>
      </c>
      <c r="H171" s="351">
        <f t="shared" si="23"/>
        <v>69449000</v>
      </c>
      <c r="I171" s="351">
        <f t="shared" si="23"/>
        <v>69787759</v>
      </c>
      <c r="J171" s="351">
        <f t="shared" si="23"/>
        <v>98213500</v>
      </c>
      <c r="K171" s="351">
        <f t="shared" si="23"/>
        <v>45363299</v>
      </c>
      <c r="L171" s="351">
        <f t="shared" si="23"/>
        <v>45186000</v>
      </c>
      <c r="M171" s="351">
        <f t="shared" si="23"/>
        <v>68017525</v>
      </c>
      <c r="N171" s="351">
        <f t="shared" si="23"/>
        <v>138696095</v>
      </c>
      <c r="O171" s="352">
        <f t="shared" si="22"/>
        <v>806410522</v>
      </c>
    </row>
    <row r="172" spans="1:15" s="340" customFormat="1" ht="15.9" customHeight="1" thickBot="1" x14ac:dyDescent="0.3">
      <c r="A172" s="358"/>
      <c r="B172" s="354"/>
      <c r="C172" s="355"/>
      <c r="D172" s="355"/>
      <c r="E172" s="355"/>
      <c r="F172" s="355"/>
      <c r="G172" s="355"/>
      <c r="H172" s="355"/>
      <c r="I172" s="355"/>
      <c r="J172" s="355"/>
      <c r="K172" s="355"/>
      <c r="L172" s="355"/>
      <c r="M172" s="355"/>
      <c r="N172" s="355"/>
      <c r="O172" s="355"/>
    </row>
    <row r="173" spans="1:15" ht="16.2" thickBot="1" x14ac:dyDescent="0.35">
      <c r="A173" s="349"/>
      <c r="B173" s="350" t="s">
        <v>109</v>
      </c>
      <c r="C173" s="351">
        <f t="shared" ref="C173:O173" si="24">C158-C171</f>
        <v>135694556</v>
      </c>
      <c r="D173" s="351">
        <f t="shared" si="24"/>
        <v>-15096000</v>
      </c>
      <c r="E173" s="351">
        <f t="shared" si="24"/>
        <v>13348000</v>
      </c>
      <c r="F173" s="351">
        <f t="shared" si="24"/>
        <v>-15991000</v>
      </c>
      <c r="G173" s="351">
        <f t="shared" si="24"/>
        <v>-24514299</v>
      </c>
      <c r="H173" s="351">
        <f t="shared" si="24"/>
        <v>-11927000</v>
      </c>
      <c r="I173" s="351">
        <f t="shared" si="24"/>
        <v>-11527000</v>
      </c>
      <c r="J173" s="351">
        <f t="shared" si="24"/>
        <v>-11529000</v>
      </c>
      <c r="K173" s="351">
        <f t="shared" si="24"/>
        <v>15353591</v>
      </c>
      <c r="L173" s="351">
        <f t="shared" si="24"/>
        <v>-15991000</v>
      </c>
      <c r="M173" s="351">
        <f t="shared" si="24"/>
        <v>-15991000</v>
      </c>
      <c r="N173" s="351">
        <f t="shared" si="24"/>
        <v>-41829848</v>
      </c>
      <c r="O173" s="352">
        <f t="shared" si="24"/>
        <v>0</v>
      </c>
    </row>
  </sheetData>
  <mergeCells count="20">
    <mergeCell ref="B148:O148"/>
    <mergeCell ref="B160:O160"/>
    <mergeCell ref="A109:O109"/>
    <mergeCell ref="A110:O110"/>
    <mergeCell ref="B114:O114"/>
    <mergeCell ref="B126:O126"/>
    <mergeCell ref="A143:O143"/>
    <mergeCell ref="A144:O144"/>
    <mergeCell ref="A68:O68"/>
    <mergeCell ref="B72:O72"/>
    <mergeCell ref="B84:O84"/>
    <mergeCell ref="A34:O34"/>
    <mergeCell ref="A35:O35"/>
    <mergeCell ref="B39:O39"/>
    <mergeCell ref="B51:O51"/>
    <mergeCell ref="A1:O1"/>
    <mergeCell ref="A2:O2"/>
    <mergeCell ref="B6:O6"/>
    <mergeCell ref="B18:O18"/>
    <mergeCell ref="A67:O67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81" orientation="landscape" r:id="rId1"/>
  <headerFooter alignWithMargins="0">
    <oddHeader>&amp;LVonyarcvashegy Nagyközség Önkormányzata
&amp;R&amp;"Times New Roman CE,Félkövér dőlt"&amp;11 4. tájékoztató tábla</oddHeader>
    <oddFooter>&amp;P. oldal, összesen: &amp;N</oddFooter>
  </headerFooter>
  <rowBreaks count="2" manualBreakCount="2">
    <brk id="33" max="16383" man="1"/>
    <brk id="6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pageSetUpPr fitToPage="1"/>
  </sheetPr>
  <dimension ref="A1:G97"/>
  <sheetViews>
    <sheetView topLeftCell="C31" zoomScaleNormal="100" workbookViewId="0">
      <selection activeCell="D48" sqref="D48"/>
    </sheetView>
  </sheetViews>
  <sheetFormatPr defaultColWidth="9.33203125" defaultRowHeight="15.6" x14ac:dyDescent="0.3"/>
  <cols>
    <col min="1" max="1" width="109.44140625" style="311" bestFit="1" customWidth="1"/>
    <col min="2" max="6" width="35.33203125" style="311" bestFit="1" customWidth="1"/>
    <col min="7" max="16384" width="9.33203125" style="311"/>
  </cols>
  <sheetData>
    <row r="1" spans="1:6" ht="47.25" customHeight="1" x14ac:dyDescent="0.3">
      <c r="A1" s="312" t="s">
        <v>622</v>
      </c>
    </row>
    <row r="2" spans="1:6" ht="47.25" customHeight="1" x14ac:dyDescent="0.3">
      <c r="A2" s="522" t="e">
        <f>+CONCATENATE("A ",LEFT([3]ÖSSZEFÜGGÉSEK!A6,4),"2016. évi működési és felhalmozási feladatok állami támogatásának alakulása jogcímenként")</f>
        <v>#REF!</v>
      </c>
      <c r="B2" s="522"/>
      <c r="C2" s="522"/>
      <c r="D2" s="522"/>
      <c r="E2" s="522"/>
      <c r="F2" s="522"/>
    </row>
    <row r="3" spans="1:6" ht="22.5" customHeight="1" x14ac:dyDescent="0.35">
      <c r="A3" s="212"/>
      <c r="B3" s="310" t="s">
        <v>615</v>
      </c>
      <c r="C3" s="310" t="s">
        <v>615</v>
      </c>
      <c r="D3" s="310" t="s">
        <v>615</v>
      </c>
      <c r="E3" s="310" t="s">
        <v>615</v>
      </c>
      <c r="F3" s="310" t="s">
        <v>615</v>
      </c>
    </row>
    <row r="4" spans="1:6" s="313" customFormat="1" ht="24" customHeight="1" x14ac:dyDescent="0.3">
      <c r="A4" s="315" t="s">
        <v>49</v>
      </c>
      <c r="B4" s="315" t="s">
        <v>623</v>
      </c>
      <c r="C4" s="315" t="s">
        <v>684</v>
      </c>
      <c r="D4" s="315" t="s">
        <v>698</v>
      </c>
      <c r="E4" s="315" t="s">
        <v>708</v>
      </c>
      <c r="F4" s="315" t="s">
        <v>721</v>
      </c>
    </row>
    <row r="5" spans="1:6" s="314" customFormat="1" x14ac:dyDescent="0.25">
      <c r="A5" s="316" t="s">
        <v>494</v>
      </c>
      <c r="B5" s="316" t="s">
        <v>495</v>
      </c>
      <c r="C5" s="316" t="s">
        <v>495</v>
      </c>
      <c r="D5" s="316" t="s">
        <v>495</v>
      </c>
      <c r="E5" s="316" t="s">
        <v>495</v>
      </c>
      <c r="F5" s="316" t="s">
        <v>495</v>
      </c>
    </row>
    <row r="6" spans="1:6" x14ac:dyDescent="0.3">
      <c r="A6" s="317" t="s">
        <v>571</v>
      </c>
      <c r="B6" s="318">
        <f>SUM(B7+B8+B13+B15+B14)</f>
        <v>130036203</v>
      </c>
      <c r="C6" s="318">
        <f>SUM(C7+C8+C13+C15+C14)</f>
        <v>130036203</v>
      </c>
      <c r="D6" s="318">
        <f>SUM(D7+D8+D13+D15+D14)</f>
        <v>130036203</v>
      </c>
      <c r="E6" s="318">
        <f>SUM(E7+E8+E13+E15+E14)</f>
        <v>130036203</v>
      </c>
      <c r="F6" s="318">
        <f>SUM(F7+F8+F13+F15+F14)</f>
        <v>130036203</v>
      </c>
    </row>
    <row r="7" spans="1:6" ht="15.75" customHeight="1" x14ac:dyDescent="0.3">
      <c r="A7" s="319" t="s">
        <v>572</v>
      </c>
      <c r="B7" s="320">
        <v>47357200</v>
      </c>
      <c r="C7" s="320">
        <v>47357200</v>
      </c>
      <c r="D7" s="320">
        <v>47357200</v>
      </c>
      <c r="E7" s="320">
        <v>47357200</v>
      </c>
      <c r="F7" s="320">
        <v>47357200</v>
      </c>
    </row>
    <row r="8" spans="1:6" x14ac:dyDescent="0.3">
      <c r="A8" s="319" t="s">
        <v>573</v>
      </c>
      <c r="B8" s="320">
        <f>B9+B10+B11+B12</f>
        <v>32810004</v>
      </c>
      <c r="C8" s="320">
        <f>C9+C10+C11+C12</f>
        <v>32810004</v>
      </c>
      <c r="D8" s="320">
        <f>D9+D10+D11+D12</f>
        <v>32810004</v>
      </c>
      <c r="E8" s="320">
        <f>E9+E10+E11+E12</f>
        <v>32810004</v>
      </c>
      <c r="F8" s="320">
        <f>F9+F10+F11+F12</f>
        <v>32810004</v>
      </c>
    </row>
    <row r="9" spans="1:6" x14ac:dyDescent="0.3">
      <c r="A9" s="321" t="s">
        <v>574</v>
      </c>
      <c r="B9" s="320">
        <v>7361230</v>
      </c>
      <c r="C9" s="320">
        <v>7361230</v>
      </c>
      <c r="D9" s="320">
        <v>7361230</v>
      </c>
      <c r="E9" s="320">
        <v>7361230</v>
      </c>
      <c r="F9" s="320">
        <v>7361230</v>
      </c>
    </row>
    <row r="10" spans="1:6" x14ac:dyDescent="0.3">
      <c r="A10" s="321" t="s">
        <v>575</v>
      </c>
      <c r="B10" s="320">
        <v>14400000</v>
      </c>
      <c r="C10" s="320">
        <v>14400000</v>
      </c>
      <c r="D10" s="320">
        <v>14400000</v>
      </c>
      <c r="E10" s="320">
        <v>14400000</v>
      </c>
      <c r="F10" s="320">
        <v>14400000</v>
      </c>
    </row>
    <row r="11" spans="1:6" x14ac:dyDescent="0.3">
      <c r="A11" s="321" t="s">
        <v>576</v>
      </c>
      <c r="B11" s="320">
        <v>1744044</v>
      </c>
      <c r="C11" s="320">
        <v>1744044</v>
      </c>
      <c r="D11" s="320">
        <v>1744044</v>
      </c>
      <c r="E11" s="320">
        <v>1744044</v>
      </c>
      <c r="F11" s="320">
        <v>1744044</v>
      </c>
    </row>
    <row r="12" spans="1:6" x14ac:dyDescent="0.3">
      <c r="A12" s="321" t="s">
        <v>577</v>
      </c>
      <c r="B12" s="320">
        <v>9304730</v>
      </c>
      <c r="C12" s="320">
        <v>9304730</v>
      </c>
      <c r="D12" s="320">
        <v>9304730</v>
      </c>
      <c r="E12" s="320">
        <v>9304730</v>
      </c>
      <c r="F12" s="320">
        <v>9304730</v>
      </c>
    </row>
    <row r="13" spans="1:6" x14ac:dyDescent="0.3">
      <c r="A13" s="319" t="s">
        <v>617</v>
      </c>
      <c r="B13" s="320">
        <v>5547851</v>
      </c>
      <c r="C13" s="320">
        <v>5547851</v>
      </c>
      <c r="D13" s="320">
        <v>5547851</v>
      </c>
      <c r="E13" s="320">
        <v>5547851</v>
      </c>
      <c r="F13" s="320">
        <v>5547851</v>
      </c>
    </row>
    <row r="14" spans="1:6" x14ac:dyDescent="0.3">
      <c r="A14" s="319" t="s">
        <v>588</v>
      </c>
      <c r="B14" s="322">
        <v>43968850</v>
      </c>
      <c r="C14" s="322">
        <v>43968850</v>
      </c>
      <c r="D14" s="322">
        <v>43968850</v>
      </c>
      <c r="E14" s="322">
        <v>43968850</v>
      </c>
      <c r="F14" s="322">
        <v>43968850</v>
      </c>
    </row>
    <row r="15" spans="1:6" x14ac:dyDescent="0.3">
      <c r="A15" s="319" t="s">
        <v>678</v>
      </c>
      <c r="B15" s="322">
        <v>352298</v>
      </c>
      <c r="C15" s="322">
        <v>352298</v>
      </c>
      <c r="D15" s="322">
        <v>352298</v>
      </c>
      <c r="E15" s="322">
        <v>352298</v>
      </c>
      <c r="F15" s="322">
        <v>352298</v>
      </c>
    </row>
    <row r="16" spans="1:6" ht="12.75" customHeight="1" x14ac:dyDescent="0.3">
      <c r="A16" s="323" t="s">
        <v>578</v>
      </c>
      <c r="B16" s="324">
        <f>SUM(B17:B18)</f>
        <v>51222140</v>
      </c>
      <c r="C16" s="324">
        <f>SUM(C17:C18)</f>
        <v>51222140</v>
      </c>
      <c r="D16" s="324">
        <f>SUM(D17:D18)</f>
        <v>50307207</v>
      </c>
      <c r="E16" s="324">
        <f>SUM(E17:E18)</f>
        <v>51550240</v>
      </c>
      <c r="F16" s="324">
        <f>SUM(F17:F18)</f>
        <v>51550240</v>
      </c>
    </row>
    <row r="17" spans="1:6" x14ac:dyDescent="0.3">
      <c r="A17" s="319" t="s">
        <v>618</v>
      </c>
      <c r="B17" s="320">
        <f>43358500+1543640</f>
        <v>44902140</v>
      </c>
      <c r="C17" s="320">
        <f>43358500+1543640</f>
        <v>44902140</v>
      </c>
      <c r="D17" s="320">
        <f>44902140-861600</f>
        <v>44040540</v>
      </c>
      <c r="E17" s="320">
        <f>44040540+1029700</f>
        <v>45070240</v>
      </c>
      <c r="F17" s="320">
        <f>44040540+1029700</f>
        <v>45070240</v>
      </c>
    </row>
    <row r="18" spans="1:6" x14ac:dyDescent="0.3">
      <c r="A18" s="319" t="s">
        <v>579</v>
      </c>
      <c r="B18" s="320">
        <v>6320000</v>
      </c>
      <c r="C18" s="320">
        <v>6320000</v>
      </c>
      <c r="D18" s="320">
        <f>6320000-53333</f>
        <v>6266667</v>
      </c>
      <c r="E18" s="320">
        <f>6266667+213333</f>
        <v>6480000</v>
      </c>
      <c r="F18" s="320">
        <f>6266667+213333</f>
        <v>6480000</v>
      </c>
    </row>
    <row r="19" spans="1:6" x14ac:dyDescent="0.3">
      <c r="A19" s="323" t="s">
        <v>620</v>
      </c>
      <c r="B19" s="324">
        <f>B20+B21+B22+B23</f>
        <v>36662252</v>
      </c>
      <c r="C19" s="324">
        <f>C20+C21+C22+C23</f>
        <v>36662252</v>
      </c>
      <c r="D19" s="324">
        <f>D20+D21+D22+D23</f>
        <v>36662252</v>
      </c>
      <c r="E19" s="324">
        <f>E20+E21+E22+E23</f>
        <v>36792812</v>
      </c>
      <c r="F19" s="324">
        <f>F20+F21+F22+F23</f>
        <v>37735302</v>
      </c>
    </row>
    <row r="20" spans="1:6" x14ac:dyDescent="0.3">
      <c r="A20" s="327" t="s">
        <v>580</v>
      </c>
      <c r="B20" s="328">
        <v>14496438</v>
      </c>
      <c r="C20" s="328">
        <v>14496438</v>
      </c>
      <c r="D20" s="328">
        <v>14496438</v>
      </c>
      <c r="E20" s="328">
        <v>14496438</v>
      </c>
      <c r="F20" s="328">
        <v>14496438</v>
      </c>
    </row>
    <row r="21" spans="1:6" x14ac:dyDescent="0.3">
      <c r="A21" s="325" t="s">
        <v>581</v>
      </c>
      <c r="B21" s="326">
        <v>996480</v>
      </c>
      <c r="C21" s="326">
        <v>996480</v>
      </c>
      <c r="D21" s="326">
        <v>996480</v>
      </c>
      <c r="E21" s="326">
        <v>996480</v>
      </c>
      <c r="F21" s="326">
        <v>996480</v>
      </c>
    </row>
    <row r="22" spans="1:6" x14ac:dyDescent="0.3">
      <c r="A22" s="319" t="s">
        <v>586</v>
      </c>
      <c r="B22" s="322">
        <v>10167360</v>
      </c>
      <c r="C22" s="322">
        <v>10167360</v>
      </c>
      <c r="D22" s="322">
        <v>10167360</v>
      </c>
      <c r="E22" s="322">
        <f>10167360+130560</f>
        <v>10297920</v>
      </c>
      <c r="F22" s="322">
        <f>10297920+942490</f>
        <v>11240410</v>
      </c>
    </row>
    <row r="23" spans="1:6" x14ac:dyDescent="0.3">
      <c r="A23" s="319" t="s">
        <v>587</v>
      </c>
      <c r="B23" s="322">
        <v>11001974</v>
      </c>
      <c r="C23" s="322">
        <v>11001974</v>
      </c>
      <c r="D23" s="322">
        <v>11001974</v>
      </c>
      <c r="E23" s="322">
        <v>11001974</v>
      </c>
      <c r="F23" s="322">
        <v>11001974</v>
      </c>
    </row>
    <row r="24" spans="1:6" s="534" customFormat="1" x14ac:dyDescent="0.3">
      <c r="A24" s="532" t="s">
        <v>582</v>
      </c>
      <c r="B24" s="533">
        <f>B25+B27+B28+B26</f>
        <v>0</v>
      </c>
      <c r="C24" s="533">
        <f>C25+C27+C28+C26</f>
        <v>0</v>
      </c>
      <c r="D24" s="533">
        <f>D25+D27+D28+D26</f>
        <v>0</v>
      </c>
      <c r="E24" s="533">
        <f>E25+E27+E28+E26</f>
        <v>64140</v>
      </c>
      <c r="F24" s="533">
        <f>F25+F27+F28+F26</f>
        <v>64140</v>
      </c>
    </row>
    <row r="25" spans="1:6" x14ac:dyDescent="0.3">
      <c r="A25" s="325" t="s">
        <v>583</v>
      </c>
      <c r="B25" s="326"/>
      <c r="C25" s="326"/>
      <c r="D25" s="326"/>
      <c r="E25" s="326"/>
      <c r="F25" s="326"/>
    </row>
    <row r="26" spans="1:6" x14ac:dyDescent="0.3">
      <c r="A26" s="325" t="s">
        <v>584</v>
      </c>
      <c r="B26" s="326"/>
      <c r="C26" s="326"/>
      <c r="D26" s="326"/>
      <c r="E26" s="326"/>
      <c r="F26" s="326"/>
    </row>
    <row r="27" spans="1:6" x14ac:dyDescent="0.3">
      <c r="A27" s="325" t="s">
        <v>585</v>
      </c>
      <c r="B27" s="326"/>
      <c r="C27" s="326"/>
      <c r="D27" s="326"/>
      <c r="E27" s="326"/>
      <c r="F27" s="326"/>
    </row>
    <row r="28" spans="1:6" x14ac:dyDescent="0.3">
      <c r="A28" s="325" t="s">
        <v>616</v>
      </c>
      <c r="B28" s="326"/>
      <c r="C28" s="326"/>
      <c r="D28" s="326"/>
      <c r="E28" s="326">
        <v>64140</v>
      </c>
      <c r="F28" s="326">
        <v>64140</v>
      </c>
    </row>
    <row r="29" spans="1:6" x14ac:dyDescent="0.3">
      <c r="A29" s="323" t="s">
        <v>621</v>
      </c>
      <c r="B29" s="329">
        <f>B30+B31</f>
        <v>2805540</v>
      </c>
      <c r="C29" s="329">
        <f>C30+C31</f>
        <v>3495417</v>
      </c>
      <c r="D29" s="329">
        <f>D30+D31</f>
        <v>3495417</v>
      </c>
      <c r="E29" s="329">
        <f>E30+E31</f>
        <v>3495417</v>
      </c>
      <c r="F29" s="329">
        <f>F30+F31</f>
        <v>3495417</v>
      </c>
    </row>
    <row r="30" spans="1:6" x14ac:dyDescent="0.3">
      <c r="A30" s="325" t="s">
        <v>619</v>
      </c>
      <c r="B30" s="326">
        <v>2805540</v>
      </c>
      <c r="C30" s="326">
        <v>2805540</v>
      </c>
      <c r="D30" s="326">
        <v>2805540</v>
      </c>
      <c r="E30" s="326">
        <v>2805540</v>
      </c>
      <c r="F30" s="326">
        <v>2805540</v>
      </c>
    </row>
    <row r="31" spans="1:6" x14ac:dyDescent="0.3">
      <c r="A31" s="325" t="s">
        <v>686</v>
      </c>
      <c r="B31" s="326"/>
      <c r="C31" s="326">
        <v>689877</v>
      </c>
      <c r="D31" s="326">
        <v>689877</v>
      </c>
      <c r="E31" s="326">
        <v>689877</v>
      </c>
      <c r="F31" s="326">
        <v>689877</v>
      </c>
    </row>
    <row r="32" spans="1:6" s="330" customFormat="1" ht="19.5" customHeight="1" x14ac:dyDescent="0.25">
      <c r="A32" s="323" t="s">
        <v>701</v>
      </c>
      <c r="B32" s="329">
        <f>B33+B34+B35+B36</f>
        <v>0</v>
      </c>
      <c r="C32" s="329">
        <f>C33+C34+C35+C36</f>
        <v>1268057</v>
      </c>
      <c r="D32" s="329">
        <f>D33+D34+D35+D36</f>
        <v>18412016</v>
      </c>
      <c r="E32" s="329">
        <f>E33+E34+E35+E36</f>
        <v>19181844</v>
      </c>
      <c r="F32" s="329">
        <f>F33+F34+F35+F36</f>
        <v>19422028</v>
      </c>
    </row>
    <row r="33" spans="1:6" x14ac:dyDescent="0.3">
      <c r="A33" s="319" t="s">
        <v>596</v>
      </c>
      <c r="B33" s="322"/>
      <c r="C33" s="322"/>
      <c r="D33" s="322"/>
      <c r="E33" s="322"/>
      <c r="F33" s="322"/>
    </row>
    <row r="34" spans="1:6" x14ac:dyDescent="0.3">
      <c r="A34" s="319" t="s">
        <v>589</v>
      </c>
      <c r="B34" s="322"/>
      <c r="C34" s="322">
        <v>342000</v>
      </c>
      <c r="D34" s="322">
        <f>342000+342000+342000</f>
        <v>1026000</v>
      </c>
      <c r="E34" s="322">
        <f>1026000+114000</f>
        <v>1140000</v>
      </c>
      <c r="F34" s="322">
        <f>1026000+114000</f>
        <v>1140000</v>
      </c>
    </row>
    <row r="35" spans="1:6" x14ac:dyDescent="0.3">
      <c r="A35" s="319" t="s">
        <v>590</v>
      </c>
      <c r="B35" s="322"/>
      <c r="C35" s="322">
        <v>926057</v>
      </c>
      <c r="D35" s="322">
        <f>926057+738759</f>
        <v>1664816</v>
      </c>
      <c r="E35" s="322">
        <f>1664816+655828</f>
        <v>2320644</v>
      </c>
      <c r="F35" s="322">
        <f>2320644+240184</f>
        <v>2560828</v>
      </c>
    </row>
    <row r="36" spans="1:6" x14ac:dyDescent="0.3">
      <c r="A36" s="319" t="s">
        <v>591</v>
      </c>
      <c r="B36" s="322"/>
      <c r="C36" s="322"/>
      <c r="D36" s="322">
        <v>15721200</v>
      </c>
      <c r="E36" s="322">
        <v>15721200</v>
      </c>
      <c r="F36" s="322">
        <v>15721200</v>
      </c>
    </row>
    <row r="37" spans="1:6" x14ac:dyDescent="0.3">
      <c r="A37" s="323" t="s">
        <v>437</v>
      </c>
      <c r="B37" s="329">
        <f>B38</f>
        <v>0</v>
      </c>
      <c r="C37" s="329">
        <f>C38</f>
        <v>0</v>
      </c>
      <c r="D37" s="329">
        <f>D38</f>
        <v>0</v>
      </c>
      <c r="E37" s="329">
        <f>E38</f>
        <v>0</v>
      </c>
      <c r="F37" s="329">
        <f>F38</f>
        <v>0</v>
      </c>
    </row>
    <row r="38" spans="1:6" x14ac:dyDescent="0.3">
      <c r="A38" s="319"/>
      <c r="B38" s="322"/>
      <c r="C38" s="322"/>
      <c r="D38" s="322"/>
      <c r="E38" s="322"/>
      <c r="F38" s="322"/>
    </row>
    <row r="39" spans="1:6" x14ac:dyDescent="0.3">
      <c r="A39" s="319"/>
      <c r="B39" s="322"/>
      <c r="C39" s="322"/>
      <c r="D39" s="322"/>
      <c r="E39" s="322"/>
      <c r="F39" s="322"/>
    </row>
    <row r="40" spans="1:6" x14ac:dyDescent="0.3">
      <c r="A40" s="319"/>
      <c r="B40" s="322"/>
      <c r="C40" s="322"/>
      <c r="D40" s="322"/>
      <c r="E40" s="322"/>
      <c r="F40" s="322"/>
    </row>
    <row r="41" spans="1:6" x14ac:dyDescent="0.3">
      <c r="A41" s="331" t="s">
        <v>50</v>
      </c>
      <c r="B41" s="318">
        <f>B6+B16+B19+B24+B29+B32+B37</f>
        <v>220726135</v>
      </c>
      <c r="C41" s="318">
        <f>C6+C16+C19+C24+C29+C32+C37</f>
        <v>222684069</v>
      </c>
      <c r="D41" s="318">
        <f>D6+D16+D19+D24+D29+D32+D37</f>
        <v>238913095</v>
      </c>
      <c r="E41" s="318">
        <f>E6+E16+E19+E24+E29+E32+E37</f>
        <v>241120656</v>
      </c>
      <c r="F41" s="318">
        <f>F6+F16+F19+F24+F29+F32+F37</f>
        <v>242303330</v>
      </c>
    </row>
    <row r="97" spans="7:7" x14ac:dyDescent="0.3">
      <c r="G97" s="529"/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56" orientation="landscape" verticalDpi="300" r:id="rId1"/>
  <headerFooter alignWithMargins="0">
    <oddHeader>&amp;CVonyarcvashegy Nagyközség Önkormányzata&amp;R5. sz. tájékoztató tábla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H27"/>
  <sheetViews>
    <sheetView topLeftCell="A4" zoomScaleNormal="100" workbookViewId="0">
      <selection activeCell="I11" sqref="I11"/>
    </sheetView>
  </sheetViews>
  <sheetFormatPr defaultColWidth="14" defaultRowHeight="15.6" x14ac:dyDescent="0.3"/>
  <cols>
    <col min="1" max="1" width="10.44140625" style="298" bestFit="1" customWidth="1"/>
    <col min="2" max="2" width="78.33203125" style="298" bestFit="1" customWidth="1"/>
    <col min="3" max="3" width="80.33203125" style="298" bestFit="1" customWidth="1"/>
    <col min="4" max="5" width="14" style="298" bestFit="1" customWidth="1"/>
    <col min="6" max="6" width="15.33203125" style="298" bestFit="1" customWidth="1"/>
    <col min="7" max="8" width="16" style="298" bestFit="1" customWidth="1"/>
    <col min="9" max="16384" width="14" style="298"/>
  </cols>
  <sheetData>
    <row r="1" spans="1:8" ht="22.5" customHeight="1" x14ac:dyDescent="0.3">
      <c r="A1" s="738" t="s">
        <v>613</v>
      </c>
      <c r="B1" s="738"/>
      <c r="C1" s="738"/>
      <c r="D1" s="738"/>
    </row>
    <row r="2" spans="1:8" ht="17.25" customHeight="1" x14ac:dyDescent="0.3">
      <c r="A2" s="738" t="s">
        <v>614</v>
      </c>
      <c r="B2" s="738"/>
      <c r="C2" s="738"/>
      <c r="D2" s="738"/>
      <c r="E2" s="211"/>
      <c r="F2" s="211"/>
      <c r="G2" s="211"/>
      <c r="H2" s="211"/>
    </row>
    <row r="3" spans="1:8" ht="17.25" customHeight="1" x14ac:dyDescent="0.3">
      <c r="A3" s="211"/>
      <c r="B3" s="211"/>
      <c r="C3" s="211"/>
      <c r="D3" s="211"/>
      <c r="E3" s="211"/>
      <c r="F3" s="211"/>
      <c r="G3" s="211"/>
      <c r="H3" s="211"/>
    </row>
    <row r="4" spans="1:8" ht="16.8" thickBot="1" x14ac:dyDescent="0.4">
      <c r="A4" s="299"/>
      <c r="B4" s="299"/>
      <c r="C4" s="737" t="s">
        <v>606</v>
      </c>
      <c r="D4" s="737"/>
    </row>
    <row r="5" spans="1:8" ht="55.5" customHeight="1" thickBot="1" x14ac:dyDescent="0.35">
      <c r="A5" s="300" t="s">
        <v>608</v>
      </c>
      <c r="B5" s="300" t="s">
        <v>123</v>
      </c>
      <c r="C5" s="300" t="s">
        <v>124</v>
      </c>
      <c r="D5" s="301" t="s">
        <v>607</v>
      </c>
      <c r="E5" s="301" t="s">
        <v>685</v>
      </c>
      <c r="F5" s="301" t="s">
        <v>696</v>
      </c>
      <c r="G5" s="301" t="s">
        <v>707</v>
      </c>
      <c r="H5" s="301" t="s">
        <v>720</v>
      </c>
    </row>
    <row r="6" spans="1:8" ht="15.9" customHeight="1" x14ac:dyDescent="0.3">
      <c r="A6" s="302" t="s">
        <v>16</v>
      </c>
      <c r="B6" s="303" t="s">
        <v>554</v>
      </c>
      <c r="C6" s="303" t="s">
        <v>595</v>
      </c>
      <c r="D6" s="304">
        <v>200</v>
      </c>
      <c r="E6" s="304">
        <v>200</v>
      </c>
      <c r="F6" s="304">
        <v>200000</v>
      </c>
      <c r="G6" s="304">
        <v>200000</v>
      </c>
      <c r="H6" s="304">
        <v>200000</v>
      </c>
    </row>
    <row r="7" spans="1:8" ht="15.9" customHeight="1" x14ac:dyDescent="0.3">
      <c r="A7" s="302" t="s">
        <v>17</v>
      </c>
      <c r="B7" s="305" t="s">
        <v>555</v>
      </c>
      <c r="C7" s="305" t="s">
        <v>595</v>
      </c>
      <c r="D7" s="306">
        <v>100</v>
      </c>
      <c r="E7" s="306">
        <v>100</v>
      </c>
      <c r="F7" s="306">
        <v>100000</v>
      </c>
      <c r="G7" s="306">
        <v>100000</v>
      </c>
      <c r="H7" s="306">
        <v>100000</v>
      </c>
    </row>
    <row r="8" spans="1:8" ht="16.5" customHeight="1" x14ac:dyDescent="0.3">
      <c r="A8" s="302" t="s">
        <v>18</v>
      </c>
      <c r="B8" s="305" t="s">
        <v>556</v>
      </c>
      <c r="C8" s="305" t="s">
        <v>595</v>
      </c>
      <c r="D8" s="306">
        <v>700</v>
      </c>
      <c r="E8" s="306">
        <v>700</v>
      </c>
      <c r="F8" s="306">
        <v>700000</v>
      </c>
      <c r="G8" s="306">
        <v>700000</v>
      </c>
      <c r="H8" s="306">
        <v>700000</v>
      </c>
    </row>
    <row r="9" spans="1:8" ht="15.9" customHeight="1" x14ac:dyDescent="0.3">
      <c r="A9" s="302" t="s">
        <v>19</v>
      </c>
      <c r="B9" s="305" t="s">
        <v>558</v>
      </c>
      <c r="C9" s="305" t="s">
        <v>595</v>
      </c>
      <c r="D9" s="306">
        <v>200</v>
      </c>
      <c r="E9" s="306">
        <v>200</v>
      </c>
      <c r="F9" s="306">
        <v>200000</v>
      </c>
      <c r="G9" s="306">
        <v>200000</v>
      </c>
      <c r="H9" s="306">
        <v>200000</v>
      </c>
    </row>
    <row r="10" spans="1:8" ht="15.9" customHeight="1" x14ac:dyDescent="0.3">
      <c r="A10" s="302" t="s">
        <v>20</v>
      </c>
      <c r="B10" s="305" t="s">
        <v>559</v>
      </c>
      <c r="C10" s="305" t="s">
        <v>595</v>
      </c>
      <c r="D10" s="306">
        <v>7000</v>
      </c>
      <c r="E10" s="306">
        <v>7000</v>
      </c>
      <c r="F10" s="306">
        <v>7000000</v>
      </c>
      <c r="G10" s="306">
        <v>7000000</v>
      </c>
      <c r="H10" s="306">
        <v>7000000</v>
      </c>
    </row>
    <row r="11" spans="1:8" ht="15.9" customHeight="1" x14ac:dyDescent="0.3">
      <c r="A11" s="302" t="s">
        <v>21</v>
      </c>
      <c r="B11" s="305" t="s">
        <v>559</v>
      </c>
      <c r="C11" s="305" t="s">
        <v>705</v>
      </c>
      <c r="D11" s="306">
        <v>6250</v>
      </c>
      <c r="E11" s="306">
        <v>6250</v>
      </c>
      <c r="F11" s="306">
        <v>6250000</v>
      </c>
      <c r="G11" s="306">
        <v>6250000</v>
      </c>
      <c r="H11" s="306">
        <v>6250000</v>
      </c>
    </row>
    <row r="12" spans="1:8" ht="15.9" customHeight="1" x14ac:dyDescent="0.3">
      <c r="A12" s="302" t="s">
        <v>22</v>
      </c>
      <c r="B12" s="305" t="s">
        <v>560</v>
      </c>
      <c r="C12" s="305" t="s">
        <v>595</v>
      </c>
      <c r="D12" s="306">
        <v>700</v>
      </c>
      <c r="E12" s="306">
        <v>700</v>
      </c>
      <c r="F12" s="306">
        <v>700000</v>
      </c>
      <c r="G12" s="306">
        <v>700000</v>
      </c>
      <c r="H12" s="306">
        <v>700000</v>
      </c>
    </row>
    <row r="13" spans="1:8" ht="15.9" customHeight="1" x14ac:dyDescent="0.3">
      <c r="A13" s="302" t="s">
        <v>23</v>
      </c>
      <c r="B13" s="305" t="s">
        <v>561</v>
      </c>
      <c r="C13" s="305" t="s">
        <v>595</v>
      </c>
      <c r="D13" s="306">
        <v>5600</v>
      </c>
      <c r="E13" s="306">
        <v>5600</v>
      </c>
      <c r="F13" s="306">
        <v>5600000</v>
      </c>
      <c r="G13" s="306">
        <f>5600000+5600000</f>
        <v>11200000</v>
      </c>
      <c r="H13" s="306">
        <f>5600000+5600000</f>
        <v>11200000</v>
      </c>
    </row>
    <row r="14" spans="1:8" ht="15.9" customHeight="1" x14ac:dyDescent="0.3">
      <c r="A14" s="302" t="s">
        <v>24</v>
      </c>
      <c r="B14" s="305" t="s">
        <v>562</v>
      </c>
      <c r="C14" s="305" t="s">
        <v>595</v>
      </c>
      <c r="D14" s="306">
        <v>200</v>
      </c>
      <c r="E14" s="306">
        <v>200</v>
      </c>
      <c r="F14" s="306">
        <v>200000</v>
      </c>
      <c r="G14" s="306">
        <v>200000</v>
      </c>
      <c r="H14" s="306">
        <v>200000</v>
      </c>
    </row>
    <row r="15" spans="1:8" ht="15.9" customHeight="1" x14ac:dyDescent="0.3">
      <c r="A15" s="302" t="s">
        <v>25</v>
      </c>
      <c r="B15" s="305" t="s">
        <v>563</v>
      </c>
      <c r="C15" s="305" t="s">
        <v>595</v>
      </c>
      <c r="D15" s="306">
        <v>100</v>
      </c>
      <c r="E15" s="306">
        <v>100</v>
      </c>
      <c r="F15" s="306">
        <v>100000</v>
      </c>
      <c r="G15" s="306">
        <v>100000</v>
      </c>
      <c r="H15" s="306">
        <v>100000</v>
      </c>
    </row>
    <row r="16" spans="1:8" ht="18.75" customHeight="1" x14ac:dyDescent="0.3">
      <c r="A16" s="302" t="s">
        <v>26</v>
      </c>
      <c r="B16" s="307" t="s">
        <v>557</v>
      </c>
      <c r="C16" s="305" t="s">
        <v>595</v>
      </c>
      <c r="D16" s="306">
        <v>1100</v>
      </c>
      <c r="E16" s="306">
        <v>1100</v>
      </c>
      <c r="F16" s="306">
        <v>1100000</v>
      </c>
      <c r="G16" s="306">
        <v>1100000</v>
      </c>
      <c r="H16" s="306">
        <v>1100000</v>
      </c>
    </row>
    <row r="17" spans="1:8" ht="15.9" customHeight="1" x14ac:dyDescent="0.3">
      <c r="A17" s="302" t="s">
        <v>27</v>
      </c>
      <c r="B17" s="305" t="s">
        <v>594</v>
      </c>
      <c r="C17" s="305" t="s">
        <v>595</v>
      </c>
      <c r="D17" s="306">
        <v>250</v>
      </c>
      <c r="E17" s="306">
        <v>250</v>
      </c>
      <c r="F17" s="306">
        <v>250000</v>
      </c>
      <c r="G17" s="306">
        <v>250000</v>
      </c>
      <c r="H17" s="306">
        <v>250000</v>
      </c>
    </row>
    <row r="18" spans="1:8" ht="15.9" customHeight="1" x14ac:dyDescent="0.3">
      <c r="A18" s="302" t="s">
        <v>28</v>
      </c>
      <c r="B18" s="305" t="s">
        <v>611</v>
      </c>
      <c r="C18" s="305" t="s">
        <v>595</v>
      </c>
      <c r="D18" s="306">
        <v>600</v>
      </c>
      <c r="E18" s="306">
        <v>600</v>
      </c>
      <c r="F18" s="306">
        <v>600000</v>
      </c>
      <c r="G18" s="306">
        <v>600000</v>
      </c>
      <c r="H18" s="306">
        <v>600000</v>
      </c>
    </row>
    <row r="19" spans="1:8" ht="15.9" customHeight="1" x14ac:dyDescent="0.3">
      <c r="A19" s="302" t="s">
        <v>29</v>
      </c>
      <c r="B19" s="305" t="s">
        <v>593</v>
      </c>
      <c r="C19" s="305" t="s">
        <v>595</v>
      </c>
      <c r="D19" s="306">
        <v>15</v>
      </c>
      <c r="E19" s="306">
        <f>15+15</f>
        <v>30</v>
      </c>
      <c r="F19" s="306">
        <v>30000</v>
      </c>
      <c r="G19" s="306">
        <v>30000</v>
      </c>
      <c r="H19" s="306">
        <v>30000</v>
      </c>
    </row>
    <row r="20" spans="1:8" ht="15.9" customHeight="1" x14ac:dyDescent="0.3">
      <c r="A20" s="302" t="s">
        <v>30</v>
      </c>
      <c r="B20" s="305" t="s">
        <v>609</v>
      </c>
      <c r="C20" s="305" t="s">
        <v>595</v>
      </c>
      <c r="D20" s="306">
        <v>678</v>
      </c>
      <c r="E20" s="306">
        <v>678</v>
      </c>
      <c r="F20" s="306">
        <v>678000</v>
      </c>
      <c r="G20" s="306">
        <v>678000</v>
      </c>
      <c r="H20" s="306">
        <v>678000</v>
      </c>
    </row>
    <row r="21" spans="1:8" ht="15.9" customHeight="1" x14ac:dyDescent="0.3">
      <c r="A21" s="302" t="s">
        <v>31</v>
      </c>
      <c r="B21" s="305" t="s">
        <v>687</v>
      </c>
      <c r="C21" s="523" t="s">
        <v>688</v>
      </c>
      <c r="D21" s="306"/>
      <c r="E21" s="306">
        <v>10</v>
      </c>
      <c r="F21" s="306">
        <v>10000</v>
      </c>
      <c r="G21" s="306">
        <v>10000</v>
      </c>
      <c r="H21" s="306">
        <v>10000</v>
      </c>
    </row>
    <row r="22" spans="1:8" ht="15.9" customHeight="1" x14ac:dyDescent="0.3">
      <c r="A22" s="302" t="s">
        <v>32</v>
      </c>
      <c r="B22" s="305" t="s">
        <v>694</v>
      </c>
      <c r="C22" s="305" t="s">
        <v>695</v>
      </c>
      <c r="D22" s="306"/>
      <c r="E22" s="306">
        <v>75</v>
      </c>
      <c r="F22" s="306">
        <v>75000</v>
      </c>
      <c r="G22" s="306">
        <v>75000</v>
      </c>
      <c r="H22" s="306">
        <v>75000</v>
      </c>
    </row>
    <row r="23" spans="1:8" ht="15.9" customHeight="1" x14ac:dyDescent="0.3">
      <c r="A23" s="302" t="s">
        <v>33</v>
      </c>
      <c r="B23" s="305" t="s">
        <v>717</v>
      </c>
      <c r="C23" s="305" t="s">
        <v>718</v>
      </c>
      <c r="D23" s="306"/>
      <c r="E23" s="306"/>
      <c r="F23" s="306"/>
      <c r="G23" s="306">
        <v>100000</v>
      </c>
      <c r="H23" s="306">
        <v>100000</v>
      </c>
    </row>
    <row r="24" spans="1:8" ht="15.9" customHeight="1" x14ac:dyDescent="0.3">
      <c r="A24" s="302" t="s">
        <v>34</v>
      </c>
      <c r="B24" s="305" t="s">
        <v>612</v>
      </c>
      <c r="C24" s="305" t="s">
        <v>689</v>
      </c>
      <c r="D24" s="306">
        <v>5516</v>
      </c>
      <c r="E24" s="306">
        <v>5516</v>
      </c>
      <c r="F24" s="306">
        <v>5515833</v>
      </c>
      <c r="G24" s="306">
        <v>5515833</v>
      </c>
      <c r="H24" s="306">
        <v>5515833</v>
      </c>
    </row>
    <row r="25" spans="1:8" ht="15.9" customHeight="1" x14ac:dyDescent="0.3">
      <c r="A25" s="302" t="s">
        <v>35</v>
      </c>
      <c r="B25" s="305" t="s">
        <v>612</v>
      </c>
      <c r="C25" s="305" t="s">
        <v>691</v>
      </c>
      <c r="D25" s="306">
        <v>650</v>
      </c>
      <c r="E25" s="306">
        <v>650</v>
      </c>
      <c r="F25" s="306">
        <v>650000</v>
      </c>
      <c r="G25" s="306">
        <v>650000</v>
      </c>
      <c r="H25" s="306">
        <v>650000</v>
      </c>
    </row>
    <row r="26" spans="1:8" ht="15.9" customHeight="1" thickBot="1" x14ac:dyDescent="0.35">
      <c r="A26" s="302" t="s">
        <v>36</v>
      </c>
      <c r="B26" s="305" t="s">
        <v>610</v>
      </c>
      <c r="C26" s="305" t="s">
        <v>690</v>
      </c>
      <c r="D26" s="306">
        <v>2000</v>
      </c>
      <c r="E26" s="306">
        <v>2000</v>
      </c>
      <c r="F26" s="306">
        <v>2000000</v>
      </c>
      <c r="G26" s="306">
        <v>2000000</v>
      </c>
      <c r="H26" s="306">
        <v>2000000</v>
      </c>
    </row>
    <row r="27" spans="1:8" ht="15.9" customHeight="1" thickBot="1" x14ac:dyDescent="0.35">
      <c r="A27" s="739" t="s">
        <v>50</v>
      </c>
      <c r="B27" s="740"/>
      <c r="C27" s="308"/>
      <c r="D27" s="309">
        <f>SUM(D6:D26)</f>
        <v>31859</v>
      </c>
      <c r="E27" s="309">
        <f>SUM(E6:E26)</f>
        <v>31959</v>
      </c>
      <c r="F27" s="309">
        <f>SUM(F6:F26)</f>
        <v>31958833</v>
      </c>
      <c r="G27" s="309">
        <f>SUM(G6:G26)</f>
        <v>37658833</v>
      </c>
      <c r="H27" s="309">
        <f>SUM(H6:H26)</f>
        <v>37658833</v>
      </c>
    </row>
  </sheetData>
  <mergeCells count="4">
    <mergeCell ref="C4:D4"/>
    <mergeCell ref="A1:D1"/>
    <mergeCell ref="A27:B27"/>
    <mergeCell ref="A2:D2"/>
  </mergeCells>
  <phoneticPr fontId="29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5" orientation="landscape" copies="4" r:id="rId1"/>
  <headerFooter alignWithMargins="0">
    <oddHeader>&amp;LVonyarcvashegy Nagyközség Önkormányzata&amp;R&amp;"Times New Roman CE,Félkövér dőlt"&amp;11 6. tájékoztató tábla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48"/>
  <sheetViews>
    <sheetView zoomScale="120" zoomScaleNormal="120" zoomScaleSheetLayoutView="100" workbookViewId="0">
      <selection activeCell="H12" sqref="H12"/>
    </sheetView>
  </sheetViews>
  <sheetFormatPr defaultColWidth="9.33203125" defaultRowHeight="15.6" x14ac:dyDescent="0.3"/>
  <cols>
    <col min="1" max="1" width="9" style="214" customWidth="1"/>
    <col min="2" max="2" width="66.33203125" style="214" bestFit="1" customWidth="1"/>
    <col min="3" max="3" width="15.44140625" style="215" customWidth="1"/>
    <col min="4" max="5" width="15.44140625" style="214" customWidth="1"/>
    <col min="6" max="6" width="9" style="214" customWidth="1"/>
    <col min="7" max="16384" width="9.33203125" style="214"/>
  </cols>
  <sheetData>
    <row r="1" spans="1:5" ht="15.9" customHeight="1" x14ac:dyDescent="0.3">
      <c r="A1" s="672" t="s">
        <v>13</v>
      </c>
      <c r="B1" s="672"/>
      <c r="C1" s="672"/>
      <c r="D1" s="672"/>
      <c r="E1" s="672"/>
    </row>
    <row r="2" spans="1:5" ht="15.9" customHeight="1" thickBot="1" x14ac:dyDescent="0.35">
      <c r="A2" s="675" t="s">
        <v>147</v>
      </c>
      <c r="B2" s="675"/>
      <c r="D2" s="69"/>
      <c r="E2" s="190" t="s">
        <v>615</v>
      </c>
    </row>
    <row r="3" spans="1:5" ht="38.1" customHeight="1" thickBot="1" x14ac:dyDescent="0.35">
      <c r="A3" s="21" t="s">
        <v>67</v>
      </c>
      <c r="B3" s="22" t="s">
        <v>15</v>
      </c>
      <c r="C3" s="22" t="s">
        <v>603</v>
      </c>
      <c r="D3" s="231" t="s">
        <v>604</v>
      </c>
      <c r="E3" s="86" t="s">
        <v>605</v>
      </c>
    </row>
    <row r="4" spans="1:5" s="239" customFormat="1" ht="12" customHeight="1" thickBot="1" x14ac:dyDescent="0.25">
      <c r="A4" s="25" t="s">
        <v>494</v>
      </c>
      <c r="B4" s="26" t="s">
        <v>495</v>
      </c>
      <c r="C4" s="26" t="s">
        <v>496</v>
      </c>
      <c r="D4" s="26" t="s">
        <v>498</v>
      </c>
      <c r="E4" s="265" t="s">
        <v>497</v>
      </c>
    </row>
    <row r="5" spans="1:5" s="240" customFormat="1" ht="12" customHeight="1" thickBot="1" x14ac:dyDescent="0.3">
      <c r="A5" s="18" t="s">
        <v>16</v>
      </c>
      <c r="B5" s="19" t="s">
        <v>534</v>
      </c>
      <c r="C5" s="270">
        <v>220374000</v>
      </c>
      <c r="D5" s="270">
        <v>220374000</v>
      </c>
      <c r="E5" s="270">
        <v>220374000</v>
      </c>
    </row>
    <row r="6" spans="1:5" s="240" customFormat="1" ht="12" customHeight="1" thickBot="1" x14ac:dyDescent="0.3">
      <c r="A6" s="18" t="s">
        <v>17</v>
      </c>
      <c r="B6" s="175" t="s">
        <v>378</v>
      </c>
      <c r="C6" s="270">
        <v>46768000</v>
      </c>
      <c r="D6" s="270">
        <v>46768000</v>
      </c>
      <c r="E6" s="270">
        <v>46768000</v>
      </c>
    </row>
    <row r="7" spans="1:5" s="240" customFormat="1" ht="12" customHeight="1" thickBot="1" x14ac:dyDescent="0.3">
      <c r="A7" s="18" t="s">
        <v>18</v>
      </c>
      <c r="B7" s="19" t="s">
        <v>386</v>
      </c>
      <c r="C7" s="270"/>
      <c r="D7" s="270"/>
      <c r="E7" s="270"/>
    </row>
    <row r="8" spans="1:5" s="240" customFormat="1" ht="12" customHeight="1" thickBot="1" x14ac:dyDescent="0.3">
      <c r="A8" s="18" t="s">
        <v>167</v>
      </c>
      <c r="B8" s="19" t="s">
        <v>263</v>
      </c>
      <c r="C8" s="230">
        <f>+C9+C13+C14+C15</f>
        <v>120530000</v>
      </c>
      <c r="D8" s="230">
        <f>+D9+D13+D14+D15</f>
        <v>120530000</v>
      </c>
      <c r="E8" s="230">
        <f>+E9+E13+E14+E15</f>
        <v>120530000</v>
      </c>
    </row>
    <row r="9" spans="1:5" s="240" customFormat="1" ht="12" customHeight="1" x14ac:dyDescent="0.25">
      <c r="A9" s="13" t="s">
        <v>264</v>
      </c>
      <c r="B9" s="241" t="s">
        <v>443</v>
      </c>
      <c r="C9" s="264">
        <f>+C10+C11+C12</f>
        <v>113000000</v>
      </c>
      <c r="D9" s="264">
        <f>+D10+D11+D12</f>
        <v>113000000</v>
      </c>
      <c r="E9" s="264">
        <f>+E10+E11+E12</f>
        <v>113000000</v>
      </c>
    </row>
    <row r="10" spans="1:5" s="240" customFormat="1" ht="12" customHeight="1" x14ac:dyDescent="0.25">
      <c r="A10" s="12" t="s">
        <v>265</v>
      </c>
      <c r="B10" s="242" t="s">
        <v>270</v>
      </c>
      <c r="C10" s="226">
        <v>113000000</v>
      </c>
      <c r="D10" s="226">
        <v>113000000</v>
      </c>
      <c r="E10" s="226">
        <v>113000000</v>
      </c>
    </row>
    <row r="11" spans="1:5" s="240" customFormat="1" ht="12" customHeight="1" x14ac:dyDescent="0.25">
      <c r="A11" s="12" t="s">
        <v>266</v>
      </c>
      <c r="B11" s="242" t="s">
        <v>271</v>
      </c>
      <c r="C11" s="226"/>
      <c r="D11" s="226"/>
      <c r="E11" s="226"/>
    </row>
    <row r="12" spans="1:5" s="240" customFormat="1" ht="12" customHeight="1" x14ac:dyDescent="0.25">
      <c r="A12" s="12" t="s">
        <v>441</v>
      </c>
      <c r="B12" s="271" t="s">
        <v>442</v>
      </c>
      <c r="C12" s="226"/>
      <c r="D12" s="226"/>
      <c r="E12" s="226"/>
    </row>
    <row r="13" spans="1:5" s="240" customFormat="1" ht="12" customHeight="1" x14ac:dyDescent="0.25">
      <c r="A13" s="12" t="s">
        <v>267</v>
      </c>
      <c r="B13" s="242" t="s">
        <v>272</v>
      </c>
      <c r="C13" s="226">
        <v>7400000</v>
      </c>
      <c r="D13" s="226">
        <v>7400000</v>
      </c>
      <c r="E13" s="226">
        <v>7400000</v>
      </c>
    </row>
    <row r="14" spans="1:5" s="240" customFormat="1" ht="12" customHeight="1" x14ac:dyDescent="0.25">
      <c r="A14" s="12" t="s">
        <v>268</v>
      </c>
      <c r="B14" s="242" t="s">
        <v>273</v>
      </c>
      <c r="C14" s="226"/>
      <c r="D14" s="226"/>
      <c r="E14" s="226"/>
    </row>
    <row r="15" spans="1:5" s="240" customFormat="1" ht="12" customHeight="1" thickBot="1" x14ac:dyDescent="0.3">
      <c r="A15" s="14" t="s">
        <v>269</v>
      </c>
      <c r="B15" s="243" t="s">
        <v>274</v>
      </c>
      <c r="C15" s="228">
        <v>130000</v>
      </c>
      <c r="D15" s="228">
        <v>130000</v>
      </c>
      <c r="E15" s="228">
        <v>130000</v>
      </c>
    </row>
    <row r="16" spans="1:5" s="240" customFormat="1" ht="12" customHeight="1" thickBot="1" x14ac:dyDescent="0.3">
      <c r="A16" s="18" t="s">
        <v>20</v>
      </c>
      <c r="B16" s="19" t="s">
        <v>537</v>
      </c>
      <c r="C16" s="270">
        <v>111028000</v>
      </c>
      <c r="D16" s="270">
        <v>111028000</v>
      </c>
      <c r="E16" s="270">
        <v>111028000</v>
      </c>
    </row>
    <row r="17" spans="1:6" s="240" customFormat="1" ht="12" customHeight="1" thickBot="1" x14ac:dyDescent="0.3">
      <c r="A17" s="18" t="s">
        <v>21</v>
      </c>
      <c r="B17" s="19" t="s">
        <v>10</v>
      </c>
      <c r="C17" s="270">
        <v>5397000</v>
      </c>
      <c r="D17" s="270">
        <v>5397000</v>
      </c>
      <c r="E17" s="270">
        <v>5397000</v>
      </c>
    </row>
    <row r="18" spans="1:6" s="240" customFormat="1" ht="12" customHeight="1" thickBot="1" x14ac:dyDescent="0.3">
      <c r="A18" s="18" t="s">
        <v>174</v>
      </c>
      <c r="B18" s="19" t="s">
        <v>536</v>
      </c>
      <c r="C18" s="270"/>
      <c r="D18" s="270"/>
      <c r="E18" s="270"/>
    </row>
    <row r="19" spans="1:6" s="240" customFormat="1" ht="12" customHeight="1" thickBot="1" x14ac:dyDescent="0.3">
      <c r="A19" s="18" t="s">
        <v>23</v>
      </c>
      <c r="B19" s="175" t="s">
        <v>535</v>
      </c>
      <c r="C19" s="270"/>
      <c r="D19" s="270"/>
      <c r="E19" s="270"/>
    </row>
    <row r="20" spans="1:6" s="240" customFormat="1" ht="12" customHeight="1" thickBot="1" x14ac:dyDescent="0.3">
      <c r="A20" s="18" t="s">
        <v>24</v>
      </c>
      <c r="B20" s="19" t="s">
        <v>307</v>
      </c>
      <c r="C20" s="230">
        <f>+C5+C6+C7+C8+C16+C17+C18+C19</f>
        <v>504097000</v>
      </c>
      <c r="D20" s="230">
        <f>+D5+D6+D7+D8+D16+D17+D18+D19</f>
        <v>504097000</v>
      </c>
      <c r="E20" s="230">
        <f>+E5+E6+E7+E8+E16+E17+E18+E19</f>
        <v>504097000</v>
      </c>
    </row>
    <row r="21" spans="1:6" s="240" customFormat="1" ht="12" customHeight="1" thickBot="1" x14ac:dyDescent="0.3">
      <c r="A21" s="18" t="s">
        <v>25</v>
      </c>
      <c r="B21" s="19" t="s">
        <v>538</v>
      </c>
      <c r="C21" s="293"/>
      <c r="D21" s="293"/>
      <c r="E21" s="293"/>
    </row>
    <row r="22" spans="1:6" s="240" customFormat="1" ht="12" customHeight="1" thickBot="1" x14ac:dyDescent="0.3">
      <c r="A22" s="18" t="s">
        <v>26</v>
      </c>
      <c r="B22" s="19" t="s">
        <v>539</v>
      </c>
      <c r="C22" s="230">
        <f>+C20+C21</f>
        <v>504097000</v>
      </c>
      <c r="D22" s="230">
        <f>+D20+D21</f>
        <v>504097000</v>
      </c>
      <c r="E22" s="230">
        <f>+E20+E21</f>
        <v>504097000</v>
      </c>
    </row>
    <row r="23" spans="1:6" s="240" customFormat="1" ht="12" customHeight="1" x14ac:dyDescent="0.25">
      <c r="A23" s="207"/>
      <c r="B23" s="208"/>
      <c r="C23" s="209"/>
      <c r="D23" s="290"/>
      <c r="E23" s="291"/>
    </row>
    <row r="24" spans="1:6" s="240" customFormat="1" ht="12" customHeight="1" x14ac:dyDescent="0.25">
      <c r="A24" s="672" t="s">
        <v>44</v>
      </c>
      <c r="B24" s="672"/>
      <c r="C24" s="672"/>
      <c r="D24" s="672"/>
      <c r="E24" s="672"/>
    </row>
    <row r="25" spans="1:6" s="240" customFormat="1" ht="12" customHeight="1" thickBot="1" x14ac:dyDescent="0.3">
      <c r="A25" s="676" t="s">
        <v>148</v>
      </c>
      <c r="B25" s="676"/>
      <c r="C25" s="215"/>
      <c r="D25" s="69"/>
      <c r="E25" s="190" t="s">
        <v>223</v>
      </c>
    </row>
    <row r="26" spans="1:6" s="240" customFormat="1" ht="24" customHeight="1" thickBot="1" x14ac:dyDescent="0.3">
      <c r="A26" s="21" t="s">
        <v>14</v>
      </c>
      <c r="B26" s="22" t="s">
        <v>45</v>
      </c>
      <c r="C26" s="22" t="str">
        <f>+C3</f>
        <v>2017. évi</v>
      </c>
      <c r="D26" s="22" t="str">
        <f>+D3</f>
        <v>2018. évi</v>
      </c>
      <c r="E26" s="86" t="str">
        <f>+E3</f>
        <v>2019. évi</v>
      </c>
      <c r="F26" s="292"/>
    </row>
    <row r="27" spans="1:6" s="240" customFormat="1" ht="12" customHeight="1" thickBot="1" x14ac:dyDescent="0.3">
      <c r="A27" s="234" t="s">
        <v>494</v>
      </c>
      <c r="B27" s="235" t="s">
        <v>495</v>
      </c>
      <c r="C27" s="235" t="s">
        <v>496</v>
      </c>
      <c r="D27" s="235" t="s">
        <v>498</v>
      </c>
      <c r="E27" s="287" t="s">
        <v>497</v>
      </c>
      <c r="F27" s="292"/>
    </row>
    <row r="28" spans="1:6" s="240" customFormat="1" ht="15" customHeight="1" thickBot="1" x14ac:dyDescent="0.3">
      <c r="A28" s="18" t="s">
        <v>16</v>
      </c>
      <c r="B28" s="23" t="s">
        <v>540</v>
      </c>
      <c r="C28" s="270">
        <v>351205000</v>
      </c>
      <c r="D28" s="270">
        <v>351205000</v>
      </c>
      <c r="E28" s="270">
        <v>351205000</v>
      </c>
      <c r="F28" s="292"/>
    </row>
    <row r="29" spans="1:6" ht="12" customHeight="1" thickBot="1" x14ac:dyDescent="0.35">
      <c r="A29" s="273" t="s">
        <v>17</v>
      </c>
      <c r="B29" s="288" t="s">
        <v>545</v>
      </c>
      <c r="C29" s="289">
        <f>+C30+C31+C32</f>
        <v>0</v>
      </c>
      <c r="D29" s="289">
        <f>+D30+D31+D32</f>
        <v>0</v>
      </c>
      <c r="E29" s="289">
        <f>+E30+E31+E32</f>
        <v>0</v>
      </c>
    </row>
    <row r="30" spans="1:6" ht="12" customHeight="1" x14ac:dyDescent="0.3">
      <c r="A30" s="13" t="s">
        <v>102</v>
      </c>
      <c r="B30" s="6" t="s">
        <v>222</v>
      </c>
      <c r="C30" s="227"/>
      <c r="D30" s="227"/>
      <c r="E30" s="227"/>
    </row>
    <row r="31" spans="1:6" ht="12" customHeight="1" x14ac:dyDescent="0.3">
      <c r="A31" s="13" t="s">
        <v>103</v>
      </c>
      <c r="B31" s="10" t="s">
        <v>181</v>
      </c>
      <c r="C31" s="226"/>
      <c r="D31" s="226"/>
      <c r="E31" s="226"/>
    </row>
    <row r="32" spans="1:6" ht="12" customHeight="1" thickBot="1" x14ac:dyDescent="0.35">
      <c r="A32" s="13" t="s">
        <v>104</v>
      </c>
      <c r="B32" s="177" t="s">
        <v>225</v>
      </c>
      <c r="C32" s="226"/>
      <c r="D32" s="226"/>
      <c r="E32" s="226"/>
    </row>
    <row r="33" spans="1:6" ht="12" customHeight="1" thickBot="1" x14ac:dyDescent="0.35">
      <c r="A33" s="18" t="s">
        <v>18</v>
      </c>
      <c r="B33" s="63" t="s">
        <v>455</v>
      </c>
      <c r="C33" s="225">
        <f>+C28+C29</f>
        <v>351205000</v>
      </c>
      <c r="D33" s="225">
        <f>+D28+D29</f>
        <v>351205000</v>
      </c>
      <c r="E33" s="225">
        <f>+E28+E29</f>
        <v>351205000</v>
      </c>
    </row>
    <row r="34" spans="1:6" ht="15" customHeight="1" thickBot="1" x14ac:dyDescent="0.35">
      <c r="A34" s="18" t="s">
        <v>19</v>
      </c>
      <c r="B34" s="63" t="s">
        <v>541</v>
      </c>
      <c r="C34" s="294">
        <v>152892000</v>
      </c>
      <c r="D34" s="294">
        <v>152892000</v>
      </c>
      <c r="E34" s="294">
        <v>152892000</v>
      </c>
      <c r="F34" s="251"/>
    </row>
    <row r="35" spans="1:6" s="240" customFormat="1" ht="12.9" customHeight="1" thickBot="1" x14ac:dyDescent="0.3">
      <c r="A35" s="178" t="s">
        <v>20</v>
      </c>
      <c r="B35" s="213" t="s">
        <v>542</v>
      </c>
      <c r="C35" s="286">
        <f>+C33+C34</f>
        <v>504097000</v>
      </c>
      <c r="D35" s="286">
        <f>+D33+D34</f>
        <v>504097000</v>
      </c>
      <c r="E35" s="286">
        <f>+E33+E34</f>
        <v>504097000</v>
      </c>
    </row>
    <row r="36" spans="1:6" x14ac:dyDescent="0.3">
      <c r="C36" s="214"/>
    </row>
    <row r="37" spans="1:6" x14ac:dyDescent="0.3">
      <c r="C37" s="214"/>
    </row>
    <row r="38" spans="1:6" x14ac:dyDescent="0.3">
      <c r="C38" s="214"/>
    </row>
    <row r="39" spans="1:6" ht="16.5" customHeight="1" x14ac:dyDescent="0.3">
      <c r="C39" s="214"/>
    </row>
    <row r="40" spans="1:6" x14ac:dyDescent="0.3">
      <c r="C40" s="214"/>
    </row>
    <row r="41" spans="1:6" x14ac:dyDescent="0.3">
      <c r="C41" s="214"/>
    </row>
    <row r="42" spans="1:6" x14ac:dyDescent="0.3">
      <c r="C42" s="214"/>
    </row>
    <row r="43" spans="1:6" x14ac:dyDescent="0.3">
      <c r="C43" s="214"/>
    </row>
    <row r="44" spans="1:6" x14ac:dyDescent="0.3">
      <c r="C44" s="214"/>
    </row>
    <row r="45" spans="1:6" x14ac:dyDescent="0.3">
      <c r="C45" s="214"/>
    </row>
    <row r="46" spans="1:6" x14ac:dyDescent="0.3">
      <c r="C46" s="214"/>
    </row>
    <row r="47" spans="1:6" x14ac:dyDescent="0.3">
      <c r="C47" s="214"/>
    </row>
    <row r="48" spans="1:6" x14ac:dyDescent="0.3">
      <c r="C48" s="214"/>
    </row>
  </sheetData>
  <mergeCells count="4">
    <mergeCell ref="A1:E1"/>
    <mergeCell ref="A2:B2"/>
    <mergeCell ref="A24:E24"/>
    <mergeCell ref="A25:B25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CE,Félkövér"&amp;12Vonyarcvashegy Nagyközség Önkormányzata
2016. ÉVI KÖLTSÉGVETÉSI ÉVET KÖVETŐ 3 ÉV TERVEZETT BEVÉTELEI, KIADÁSAI&amp;R&amp;"Times New Roman CE,Félkövér dőlt"&amp;11 7. számú tájékoztató tábla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G159"/>
  <sheetViews>
    <sheetView topLeftCell="A103" zoomScaleNormal="100" zoomScaleSheetLayoutView="100" workbookViewId="0">
      <selection sqref="A1:IV65536"/>
    </sheetView>
  </sheetViews>
  <sheetFormatPr defaultColWidth="9.33203125" defaultRowHeight="15.6" x14ac:dyDescent="0.3"/>
  <cols>
    <col min="1" max="1" width="9.44140625" style="214" customWidth="1"/>
    <col min="2" max="2" width="91.6640625" style="214" customWidth="1"/>
    <col min="3" max="7" width="21.6640625" style="215" customWidth="1"/>
    <col min="8" max="16384" width="9.33203125" style="214"/>
  </cols>
  <sheetData>
    <row r="1" spans="1:7" ht="15.9" customHeight="1" x14ac:dyDescent="0.3">
      <c r="A1" s="672" t="s">
        <v>13</v>
      </c>
      <c r="B1" s="672"/>
      <c r="C1" s="672"/>
      <c r="D1" s="214"/>
      <c r="E1" s="214"/>
      <c r="F1" s="214"/>
      <c r="G1" s="214"/>
    </row>
    <row r="2" spans="1:7" ht="15.9" customHeight="1" thickBot="1" x14ac:dyDescent="0.35">
      <c r="A2" s="675" t="s">
        <v>147</v>
      </c>
      <c r="B2" s="675"/>
      <c r="C2" s="190" t="s">
        <v>606</v>
      </c>
      <c r="D2" s="190" t="s">
        <v>606</v>
      </c>
      <c r="E2" s="190" t="s">
        <v>615</v>
      </c>
      <c r="F2" s="190" t="s">
        <v>615</v>
      </c>
      <c r="G2" s="190" t="s">
        <v>615</v>
      </c>
    </row>
    <row r="3" spans="1:7" ht="38.1" customHeight="1" thickBot="1" x14ac:dyDescent="0.35">
      <c r="A3" s="21" t="s">
        <v>67</v>
      </c>
      <c r="B3" s="22" t="s">
        <v>15</v>
      </c>
      <c r="C3" s="30" t="s">
        <v>638</v>
      </c>
      <c r="D3" s="30" t="s">
        <v>681</v>
      </c>
      <c r="E3" s="30" t="s">
        <v>699</v>
      </c>
      <c r="F3" s="30" t="s">
        <v>710</v>
      </c>
      <c r="G3" s="30" t="s">
        <v>723</v>
      </c>
    </row>
    <row r="4" spans="1:7" s="239" customFormat="1" ht="12" customHeight="1" thickBot="1" x14ac:dyDescent="0.25">
      <c r="A4" s="234" t="s">
        <v>494</v>
      </c>
      <c r="B4" s="235" t="s">
        <v>495</v>
      </c>
      <c r="C4" s="236" t="s">
        <v>496</v>
      </c>
      <c r="D4" s="236" t="s">
        <v>496</v>
      </c>
      <c r="E4" s="236" t="s">
        <v>496</v>
      </c>
      <c r="F4" s="236" t="s">
        <v>496</v>
      </c>
      <c r="G4" s="236" t="s">
        <v>496</v>
      </c>
    </row>
    <row r="5" spans="1:7" s="240" customFormat="1" ht="12" customHeight="1" thickBot="1" x14ac:dyDescent="0.3">
      <c r="A5" s="18" t="s">
        <v>16</v>
      </c>
      <c r="B5" s="19" t="s">
        <v>248</v>
      </c>
      <c r="C5" s="180">
        <f>+C6+C7+C8+C9+C10+C11</f>
        <v>0</v>
      </c>
      <c r="D5" s="180">
        <f>+D6+D7+D8+D9+D10+D11</f>
        <v>0</v>
      </c>
      <c r="E5" s="180">
        <f>+E6+E7+E8+E9+E10+E11</f>
        <v>0</v>
      </c>
      <c r="F5" s="180">
        <f>+F6+F7+F8+F9+F10+F11</f>
        <v>0</v>
      </c>
      <c r="G5" s="180">
        <f>+G6+G7+G8+G9+G10+G11</f>
        <v>0</v>
      </c>
    </row>
    <row r="6" spans="1:7" s="240" customFormat="1" ht="12" customHeight="1" x14ac:dyDescent="0.25">
      <c r="A6" s="13" t="s">
        <v>96</v>
      </c>
      <c r="B6" s="241" t="s">
        <v>249</v>
      </c>
      <c r="C6" s="183"/>
      <c r="D6" s="183"/>
      <c r="E6" s="183"/>
      <c r="F6" s="183"/>
      <c r="G6" s="183"/>
    </row>
    <row r="7" spans="1:7" s="240" customFormat="1" ht="12" customHeight="1" x14ac:dyDescent="0.25">
      <c r="A7" s="12" t="s">
        <v>97</v>
      </c>
      <c r="B7" s="242" t="s">
        <v>250</v>
      </c>
      <c r="C7" s="182"/>
      <c r="D7" s="182"/>
      <c r="E7" s="182"/>
      <c r="F7" s="182"/>
      <c r="G7" s="182"/>
    </row>
    <row r="8" spans="1:7" s="240" customFormat="1" ht="12" customHeight="1" x14ac:dyDescent="0.25">
      <c r="A8" s="12" t="s">
        <v>98</v>
      </c>
      <c r="B8" s="242" t="s">
        <v>251</v>
      </c>
      <c r="C8" s="182"/>
      <c r="D8" s="182"/>
      <c r="E8" s="182"/>
      <c r="F8" s="182"/>
      <c r="G8" s="182"/>
    </row>
    <row r="9" spans="1:7" s="240" customFormat="1" ht="12" customHeight="1" x14ac:dyDescent="0.25">
      <c r="A9" s="12" t="s">
        <v>99</v>
      </c>
      <c r="B9" s="242" t="s">
        <v>252</v>
      </c>
      <c r="C9" s="182"/>
      <c r="D9" s="182"/>
      <c r="E9" s="182"/>
      <c r="F9" s="182"/>
      <c r="G9" s="182"/>
    </row>
    <row r="10" spans="1:7" s="240" customFormat="1" ht="12" customHeight="1" x14ac:dyDescent="0.25">
      <c r="A10" s="12" t="s">
        <v>144</v>
      </c>
      <c r="B10" s="176" t="s">
        <v>436</v>
      </c>
      <c r="C10" s="182"/>
      <c r="D10" s="182"/>
      <c r="E10" s="182"/>
      <c r="F10" s="182"/>
      <c r="G10" s="182"/>
    </row>
    <row r="11" spans="1:7" s="240" customFormat="1" ht="12" customHeight="1" thickBot="1" x14ac:dyDescent="0.3">
      <c r="A11" s="14" t="s">
        <v>100</v>
      </c>
      <c r="B11" s="177" t="s">
        <v>437</v>
      </c>
      <c r="C11" s="182"/>
      <c r="D11" s="182"/>
      <c r="E11" s="182"/>
      <c r="F11" s="182"/>
      <c r="G11" s="182"/>
    </row>
    <row r="12" spans="1:7" s="240" customFormat="1" ht="12" customHeight="1" thickBot="1" x14ac:dyDescent="0.3">
      <c r="A12" s="18" t="s">
        <v>17</v>
      </c>
      <c r="B12" s="175" t="s">
        <v>253</v>
      </c>
      <c r="C12" s="180">
        <f>+C13+C14+C15+C16+C17</f>
        <v>0</v>
      </c>
      <c r="D12" s="180">
        <f>+D13+D14+D15+D16+D17</f>
        <v>0</v>
      </c>
      <c r="E12" s="180">
        <f>+E13+E14+E15+E16+E17</f>
        <v>0</v>
      </c>
      <c r="F12" s="180">
        <f>+F13+F14+F15+F16+F17</f>
        <v>0</v>
      </c>
      <c r="G12" s="180">
        <f>+G13+G14+G15+G16+G17</f>
        <v>0</v>
      </c>
    </row>
    <row r="13" spans="1:7" s="240" customFormat="1" ht="12" customHeight="1" x14ac:dyDescent="0.25">
      <c r="A13" s="13" t="s">
        <v>102</v>
      </c>
      <c r="B13" s="241" t="s">
        <v>254</v>
      </c>
      <c r="C13" s="183"/>
      <c r="D13" s="183"/>
      <c r="E13" s="183"/>
      <c r="F13" s="183"/>
      <c r="G13" s="183"/>
    </row>
    <row r="14" spans="1:7" s="240" customFormat="1" ht="12" customHeight="1" x14ac:dyDescent="0.25">
      <c r="A14" s="12" t="s">
        <v>103</v>
      </c>
      <c r="B14" s="242" t="s">
        <v>255</v>
      </c>
      <c r="C14" s="182"/>
      <c r="D14" s="182"/>
      <c r="E14" s="182"/>
      <c r="F14" s="182"/>
      <c r="G14" s="182"/>
    </row>
    <row r="15" spans="1:7" s="240" customFormat="1" ht="12" customHeight="1" x14ac:dyDescent="0.25">
      <c r="A15" s="12" t="s">
        <v>104</v>
      </c>
      <c r="B15" s="242" t="s">
        <v>426</v>
      </c>
      <c r="C15" s="182"/>
      <c r="D15" s="182"/>
      <c r="E15" s="182"/>
      <c r="F15" s="182"/>
      <c r="G15" s="182"/>
    </row>
    <row r="16" spans="1:7" s="240" customFormat="1" ht="12" customHeight="1" x14ac:dyDescent="0.25">
      <c r="A16" s="12" t="s">
        <v>105</v>
      </c>
      <c r="B16" s="242" t="s">
        <v>427</v>
      </c>
      <c r="C16" s="182"/>
      <c r="D16" s="182"/>
      <c r="E16" s="182"/>
      <c r="F16" s="182"/>
      <c r="G16" s="182"/>
    </row>
    <row r="17" spans="1:7" s="240" customFormat="1" ht="12" customHeight="1" x14ac:dyDescent="0.25">
      <c r="A17" s="12" t="s">
        <v>106</v>
      </c>
      <c r="B17" s="242" t="s">
        <v>256</v>
      </c>
      <c r="C17" s="182"/>
      <c r="D17" s="182"/>
      <c r="E17" s="182"/>
      <c r="F17" s="182"/>
      <c r="G17" s="182"/>
    </row>
    <row r="18" spans="1:7" s="240" customFormat="1" ht="12" customHeight="1" thickBot="1" x14ac:dyDescent="0.3">
      <c r="A18" s="14" t="s">
        <v>115</v>
      </c>
      <c r="B18" s="177" t="s">
        <v>257</v>
      </c>
      <c r="C18" s="184"/>
      <c r="D18" s="184"/>
      <c r="E18" s="184"/>
      <c r="F18" s="184"/>
      <c r="G18" s="184"/>
    </row>
    <row r="19" spans="1:7" s="240" customFormat="1" ht="12" customHeight="1" thickBot="1" x14ac:dyDescent="0.3">
      <c r="A19" s="18" t="s">
        <v>18</v>
      </c>
      <c r="B19" s="19" t="s">
        <v>258</v>
      </c>
      <c r="C19" s="180">
        <f>+C20+C21+C22+C23+C24</f>
        <v>0</v>
      </c>
      <c r="D19" s="180">
        <f>+D20+D21+D22+D23+D24</f>
        <v>0</v>
      </c>
      <c r="E19" s="180">
        <f>+E20+E21+E22+E23+E24</f>
        <v>0</v>
      </c>
      <c r="F19" s="180">
        <f>+F20+F21+F22+F23+F24</f>
        <v>0</v>
      </c>
      <c r="G19" s="180">
        <f>+G20+G21+G22+G23+G24</f>
        <v>0</v>
      </c>
    </row>
    <row r="20" spans="1:7" s="240" customFormat="1" ht="12" customHeight="1" x14ac:dyDescent="0.25">
      <c r="A20" s="13" t="s">
        <v>85</v>
      </c>
      <c r="B20" s="241" t="s">
        <v>259</v>
      </c>
      <c r="C20" s="183"/>
      <c r="D20" s="183"/>
      <c r="E20" s="183"/>
      <c r="F20" s="183"/>
      <c r="G20" s="183"/>
    </row>
    <row r="21" spans="1:7" s="240" customFormat="1" ht="12" customHeight="1" x14ac:dyDescent="0.25">
      <c r="A21" s="12" t="s">
        <v>86</v>
      </c>
      <c r="B21" s="242" t="s">
        <v>260</v>
      </c>
      <c r="C21" s="182"/>
      <c r="D21" s="182"/>
      <c r="E21" s="182"/>
      <c r="F21" s="182"/>
      <c r="G21" s="182"/>
    </row>
    <row r="22" spans="1:7" s="240" customFormat="1" ht="12" customHeight="1" x14ac:dyDescent="0.25">
      <c r="A22" s="12" t="s">
        <v>87</v>
      </c>
      <c r="B22" s="242" t="s">
        <v>428</v>
      </c>
      <c r="C22" s="182"/>
      <c r="D22" s="182"/>
      <c r="E22" s="182"/>
      <c r="F22" s="182"/>
      <c r="G22" s="182"/>
    </row>
    <row r="23" spans="1:7" s="240" customFormat="1" ht="12" customHeight="1" x14ac:dyDescent="0.25">
      <c r="A23" s="12" t="s">
        <v>88</v>
      </c>
      <c r="B23" s="242" t="s">
        <v>429</v>
      </c>
      <c r="C23" s="182"/>
      <c r="D23" s="182"/>
      <c r="E23" s="182"/>
      <c r="F23" s="182"/>
      <c r="G23" s="182"/>
    </row>
    <row r="24" spans="1:7" s="240" customFormat="1" ht="12" customHeight="1" x14ac:dyDescent="0.25">
      <c r="A24" s="12" t="s">
        <v>165</v>
      </c>
      <c r="B24" s="242" t="s">
        <v>261</v>
      </c>
      <c r="C24" s="182"/>
      <c r="D24" s="182"/>
      <c r="E24" s="182"/>
      <c r="F24" s="182"/>
      <c r="G24" s="182"/>
    </row>
    <row r="25" spans="1:7" s="240" customFormat="1" ht="12" customHeight="1" thickBot="1" x14ac:dyDescent="0.3">
      <c r="A25" s="14" t="s">
        <v>166</v>
      </c>
      <c r="B25" s="243" t="s">
        <v>262</v>
      </c>
      <c r="C25" s="184"/>
      <c r="D25" s="184"/>
      <c r="E25" s="184"/>
      <c r="F25" s="184"/>
      <c r="G25" s="184"/>
    </row>
    <row r="26" spans="1:7" s="240" customFormat="1" ht="12" customHeight="1" thickBot="1" x14ac:dyDescent="0.3">
      <c r="A26" s="18" t="s">
        <v>167</v>
      </c>
      <c r="B26" s="19" t="s">
        <v>263</v>
      </c>
      <c r="C26" s="186">
        <f>+C27+C31+C32+C33</f>
        <v>0</v>
      </c>
      <c r="D26" s="186">
        <f>+D27+D31+D32+D33</f>
        <v>0</v>
      </c>
      <c r="E26" s="186">
        <f>+E27+E31+E32+E33</f>
        <v>0</v>
      </c>
      <c r="F26" s="186">
        <f>+F27+F31+F32+F33</f>
        <v>0</v>
      </c>
      <c r="G26" s="186">
        <f>+G27+G31+G32+G33</f>
        <v>0</v>
      </c>
    </row>
    <row r="27" spans="1:7" s="240" customFormat="1" ht="12" customHeight="1" x14ac:dyDescent="0.25">
      <c r="A27" s="13" t="s">
        <v>264</v>
      </c>
      <c r="B27" s="241" t="s">
        <v>443</v>
      </c>
      <c r="C27" s="237">
        <f>+C28+C29+C30</f>
        <v>0</v>
      </c>
      <c r="D27" s="237">
        <f>+D28+D29+D30</f>
        <v>0</v>
      </c>
      <c r="E27" s="237">
        <f>+E28+E29+E30</f>
        <v>0</v>
      </c>
      <c r="F27" s="237">
        <f>+F28+F29+F30</f>
        <v>0</v>
      </c>
      <c r="G27" s="237">
        <f>+G28+G29+G30</f>
        <v>0</v>
      </c>
    </row>
    <row r="28" spans="1:7" s="240" customFormat="1" ht="12" customHeight="1" x14ac:dyDescent="0.25">
      <c r="A28" s="12" t="s">
        <v>265</v>
      </c>
      <c r="B28" s="242" t="s">
        <v>270</v>
      </c>
      <c r="C28" s="182"/>
      <c r="D28" s="182"/>
      <c r="E28" s="182"/>
      <c r="F28" s="182"/>
      <c r="G28" s="182"/>
    </row>
    <row r="29" spans="1:7" s="240" customFormat="1" ht="12" customHeight="1" x14ac:dyDescent="0.25">
      <c r="A29" s="12" t="s">
        <v>266</v>
      </c>
      <c r="B29" s="242" t="s">
        <v>271</v>
      </c>
      <c r="C29" s="182"/>
      <c r="D29" s="182"/>
      <c r="E29" s="182"/>
      <c r="F29" s="182"/>
      <c r="G29" s="182"/>
    </row>
    <row r="30" spans="1:7" s="240" customFormat="1" ht="12" customHeight="1" x14ac:dyDescent="0.25">
      <c r="A30" s="12" t="s">
        <v>441</v>
      </c>
      <c r="B30" s="271" t="s">
        <v>442</v>
      </c>
      <c r="C30" s="182"/>
      <c r="D30" s="182"/>
      <c r="E30" s="182"/>
      <c r="F30" s="182"/>
      <c r="G30" s="182"/>
    </row>
    <row r="31" spans="1:7" s="240" customFormat="1" ht="12" customHeight="1" x14ac:dyDescent="0.25">
      <c r="A31" s="12" t="s">
        <v>267</v>
      </c>
      <c r="B31" s="242" t="s">
        <v>272</v>
      </c>
      <c r="C31" s="182"/>
      <c r="D31" s="182"/>
      <c r="E31" s="182"/>
      <c r="F31" s="182"/>
      <c r="G31" s="182"/>
    </row>
    <row r="32" spans="1:7" s="240" customFormat="1" ht="12" customHeight="1" x14ac:dyDescent="0.25">
      <c r="A32" s="12" t="s">
        <v>268</v>
      </c>
      <c r="B32" s="242" t="s">
        <v>273</v>
      </c>
      <c r="C32" s="182"/>
      <c r="D32" s="182"/>
      <c r="E32" s="182"/>
      <c r="F32" s="182"/>
      <c r="G32" s="182"/>
    </row>
    <row r="33" spans="1:7" s="240" customFormat="1" ht="12" customHeight="1" thickBot="1" x14ac:dyDescent="0.3">
      <c r="A33" s="14" t="s">
        <v>269</v>
      </c>
      <c r="B33" s="243" t="s">
        <v>274</v>
      </c>
      <c r="C33" s="184"/>
      <c r="D33" s="184"/>
      <c r="E33" s="184"/>
      <c r="F33" s="184"/>
      <c r="G33" s="184"/>
    </row>
    <row r="34" spans="1:7" s="240" customFormat="1" ht="12" customHeight="1" thickBot="1" x14ac:dyDescent="0.3">
      <c r="A34" s="18" t="s">
        <v>20</v>
      </c>
      <c r="B34" s="19" t="s">
        <v>438</v>
      </c>
      <c r="C34" s="180">
        <f>SUM(C35:C45)</f>
        <v>0</v>
      </c>
      <c r="D34" s="180">
        <f>SUM(D35:D45)</f>
        <v>0</v>
      </c>
      <c r="E34" s="180">
        <f>SUM(E35:E45)</f>
        <v>0</v>
      </c>
      <c r="F34" s="180">
        <f>SUM(F35:F45)</f>
        <v>0</v>
      </c>
      <c r="G34" s="180">
        <f>SUM(G35:G45)</f>
        <v>0</v>
      </c>
    </row>
    <row r="35" spans="1:7" s="240" customFormat="1" ht="12" customHeight="1" x14ac:dyDescent="0.25">
      <c r="A35" s="13" t="s">
        <v>89</v>
      </c>
      <c r="B35" s="241" t="s">
        <v>277</v>
      </c>
      <c r="C35" s="183"/>
      <c r="D35" s="183"/>
      <c r="E35" s="183"/>
      <c r="F35" s="183"/>
      <c r="G35" s="183"/>
    </row>
    <row r="36" spans="1:7" s="240" customFormat="1" ht="12" customHeight="1" x14ac:dyDescent="0.25">
      <c r="A36" s="12" t="s">
        <v>90</v>
      </c>
      <c r="B36" s="242" t="s">
        <v>278</v>
      </c>
      <c r="C36" s="182"/>
      <c r="D36" s="182"/>
      <c r="E36" s="182"/>
      <c r="F36" s="182"/>
      <c r="G36" s="182"/>
    </row>
    <row r="37" spans="1:7" s="240" customFormat="1" ht="12" customHeight="1" x14ac:dyDescent="0.25">
      <c r="A37" s="12" t="s">
        <v>91</v>
      </c>
      <c r="B37" s="242" t="s">
        <v>279</v>
      </c>
      <c r="C37" s="182"/>
      <c r="D37" s="182"/>
      <c r="E37" s="182"/>
      <c r="F37" s="182"/>
      <c r="G37" s="182"/>
    </row>
    <row r="38" spans="1:7" s="240" customFormat="1" ht="12" customHeight="1" x14ac:dyDescent="0.25">
      <c r="A38" s="12" t="s">
        <v>169</v>
      </c>
      <c r="B38" s="242" t="s">
        <v>280</v>
      </c>
      <c r="C38" s="182"/>
      <c r="D38" s="182"/>
      <c r="E38" s="182"/>
      <c r="F38" s="182"/>
      <c r="G38" s="182"/>
    </row>
    <row r="39" spans="1:7" s="240" customFormat="1" ht="12" customHeight="1" x14ac:dyDescent="0.25">
      <c r="A39" s="12" t="s">
        <v>170</v>
      </c>
      <c r="B39" s="242" t="s">
        <v>281</v>
      </c>
      <c r="C39" s="182"/>
      <c r="D39" s="182"/>
      <c r="E39" s="182"/>
      <c r="F39" s="182"/>
      <c r="G39" s="182"/>
    </row>
    <row r="40" spans="1:7" s="240" customFormat="1" ht="12" customHeight="1" x14ac:dyDescent="0.25">
      <c r="A40" s="12" t="s">
        <v>171</v>
      </c>
      <c r="B40" s="242" t="s">
        <v>282</v>
      </c>
      <c r="C40" s="182"/>
      <c r="D40" s="182"/>
      <c r="E40" s="182"/>
      <c r="F40" s="182"/>
      <c r="G40" s="182"/>
    </row>
    <row r="41" spans="1:7" s="240" customFormat="1" ht="12" customHeight="1" x14ac:dyDescent="0.25">
      <c r="A41" s="12" t="s">
        <v>172</v>
      </c>
      <c r="B41" s="242" t="s">
        <v>283</v>
      </c>
      <c r="C41" s="182"/>
      <c r="D41" s="182"/>
      <c r="E41" s="182"/>
      <c r="F41" s="182"/>
      <c r="G41" s="182"/>
    </row>
    <row r="42" spans="1:7" s="240" customFormat="1" ht="12" customHeight="1" x14ac:dyDescent="0.25">
      <c r="A42" s="12" t="s">
        <v>173</v>
      </c>
      <c r="B42" s="242" t="s">
        <v>284</v>
      </c>
      <c r="C42" s="182"/>
      <c r="D42" s="182"/>
      <c r="E42" s="182"/>
      <c r="F42" s="182"/>
      <c r="G42" s="182"/>
    </row>
    <row r="43" spans="1:7" s="240" customFormat="1" ht="12" customHeight="1" x14ac:dyDescent="0.25">
      <c r="A43" s="12" t="s">
        <v>275</v>
      </c>
      <c r="B43" s="242" t="s">
        <v>285</v>
      </c>
      <c r="C43" s="185"/>
      <c r="D43" s="185"/>
      <c r="E43" s="185"/>
      <c r="F43" s="185"/>
      <c r="G43" s="185"/>
    </row>
    <row r="44" spans="1:7" s="240" customFormat="1" ht="12" customHeight="1" x14ac:dyDescent="0.25">
      <c r="A44" s="14" t="s">
        <v>276</v>
      </c>
      <c r="B44" s="243" t="s">
        <v>440</v>
      </c>
      <c r="C44" s="229"/>
      <c r="D44" s="229"/>
      <c r="E44" s="229"/>
      <c r="F44" s="229"/>
      <c r="G44" s="229"/>
    </row>
    <row r="45" spans="1:7" s="240" customFormat="1" ht="12" customHeight="1" thickBot="1" x14ac:dyDescent="0.3">
      <c r="A45" s="14" t="s">
        <v>439</v>
      </c>
      <c r="B45" s="177" t="s">
        <v>286</v>
      </c>
      <c r="C45" s="229"/>
      <c r="D45" s="229"/>
      <c r="E45" s="229"/>
      <c r="F45" s="229"/>
      <c r="G45" s="229"/>
    </row>
    <row r="46" spans="1:7" s="240" customFormat="1" ht="12" customHeight="1" thickBot="1" x14ac:dyDescent="0.3">
      <c r="A46" s="18" t="s">
        <v>21</v>
      </c>
      <c r="B46" s="19" t="s">
        <v>287</v>
      </c>
      <c r="C46" s="180">
        <f>SUM(C47:C51)</f>
        <v>0</v>
      </c>
      <c r="D46" s="180">
        <f>SUM(D47:D51)</f>
        <v>0</v>
      </c>
      <c r="E46" s="180">
        <f>SUM(E47:E51)</f>
        <v>0</v>
      </c>
      <c r="F46" s="180">
        <f>SUM(F47:F51)</f>
        <v>0</v>
      </c>
      <c r="G46" s="180">
        <f>SUM(G47:G51)</f>
        <v>0</v>
      </c>
    </row>
    <row r="47" spans="1:7" s="240" customFormat="1" ht="12" customHeight="1" x14ac:dyDescent="0.25">
      <c r="A47" s="13" t="s">
        <v>92</v>
      </c>
      <c r="B47" s="241" t="s">
        <v>291</v>
      </c>
      <c r="C47" s="266"/>
      <c r="D47" s="266"/>
      <c r="E47" s="266"/>
      <c r="F47" s="266"/>
      <c r="G47" s="266"/>
    </row>
    <row r="48" spans="1:7" s="240" customFormat="1" ht="12" customHeight="1" x14ac:dyDescent="0.25">
      <c r="A48" s="12" t="s">
        <v>93</v>
      </c>
      <c r="B48" s="242" t="s">
        <v>292</v>
      </c>
      <c r="C48" s="185"/>
      <c r="D48" s="185"/>
      <c r="E48" s="185"/>
      <c r="F48" s="185"/>
      <c r="G48" s="185"/>
    </row>
    <row r="49" spans="1:7" s="240" customFormat="1" ht="12" customHeight="1" x14ac:dyDescent="0.25">
      <c r="A49" s="12" t="s">
        <v>288</v>
      </c>
      <c r="B49" s="242" t="s">
        <v>293</v>
      </c>
      <c r="C49" s="185"/>
      <c r="D49" s="185"/>
      <c r="E49" s="185"/>
      <c r="F49" s="185"/>
      <c r="G49" s="185"/>
    </row>
    <row r="50" spans="1:7" s="240" customFormat="1" ht="12" customHeight="1" x14ac:dyDescent="0.25">
      <c r="A50" s="12" t="s">
        <v>289</v>
      </c>
      <c r="B50" s="242" t="s">
        <v>294</v>
      </c>
      <c r="C50" s="185"/>
      <c r="D50" s="185"/>
      <c r="E50" s="185"/>
      <c r="F50" s="185"/>
      <c r="G50" s="185"/>
    </row>
    <row r="51" spans="1:7" s="240" customFormat="1" ht="12" customHeight="1" thickBot="1" x14ac:dyDescent="0.3">
      <c r="A51" s="14" t="s">
        <v>290</v>
      </c>
      <c r="B51" s="177" t="s">
        <v>295</v>
      </c>
      <c r="C51" s="229"/>
      <c r="D51" s="229"/>
      <c r="E51" s="229"/>
      <c r="F51" s="229"/>
      <c r="G51" s="229"/>
    </row>
    <row r="52" spans="1:7" s="240" customFormat="1" ht="12" customHeight="1" thickBot="1" x14ac:dyDescent="0.3">
      <c r="A52" s="18" t="s">
        <v>174</v>
      </c>
      <c r="B52" s="19" t="s">
        <v>296</v>
      </c>
      <c r="C52" s="180">
        <f>SUM(C53:C55)</f>
        <v>0</v>
      </c>
      <c r="D52" s="180">
        <f>SUM(D53:D55)</f>
        <v>0</v>
      </c>
      <c r="E52" s="180">
        <f>SUM(E53:E55)</f>
        <v>0</v>
      </c>
      <c r="F52" s="180">
        <f>SUM(F53:F55)</f>
        <v>0</v>
      </c>
      <c r="G52" s="180">
        <f>SUM(G53:G55)</f>
        <v>0</v>
      </c>
    </row>
    <row r="53" spans="1:7" s="240" customFormat="1" ht="12" customHeight="1" x14ac:dyDescent="0.25">
      <c r="A53" s="13" t="s">
        <v>94</v>
      </c>
      <c r="B53" s="241" t="s">
        <v>297</v>
      </c>
      <c r="C53" s="183"/>
      <c r="D53" s="183"/>
      <c r="E53" s="183"/>
      <c r="F53" s="183"/>
      <c r="G53" s="183"/>
    </row>
    <row r="54" spans="1:7" s="240" customFormat="1" ht="12" customHeight="1" x14ac:dyDescent="0.25">
      <c r="A54" s="12" t="s">
        <v>95</v>
      </c>
      <c r="B54" s="242" t="s">
        <v>430</v>
      </c>
      <c r="C54" s="182"/>
      <c r="D54" s="182"/>
      <c r="E54" s="182"/>
      <c r="F54" s="182"/>
      <c r="G54" s="182"/>
    </row>
    <row r="55" spans="1:7" s="240" customFormat="1" ht="12" customHeight="1" x14ac:dyDescent="0.25">
      <c r="A55" s="12" t="s">
        <v>300</v>
      </c>
      <c r="B55" s="242" t="s">
        <v>298</v>
      </c>
      <c r="C55" s="182"/>
      <c r="D55" s="182"/>
      <c r="E55" s="182"/>
      <c r="F55" s="182"/>
      <c r="G55" s="182"/>
    </row>
    <row r="56" spans="1:7" s="240" customFormat="1" ht="12" customHeight="1" thickBot="1" x14ac:dyDescent="0.3">
      <c r="A56" s="14" t="s">
        <v>301</v>
      </c>
      <c r="B56" s="177" t="s">
        <v>299</v>
      </c>
      <c r="C56" s="184"/>
      <c r="D56" s="184"/>
      <c r="E56" s="184"/>
      <c r="F56" s="184"/>
      <c r="G56" s="184"/>
    </row>
    <row r="57" spans="1:7" s="240" customFormat="1" ht="12" customHeight="1" thickBot="1" x14ac:dyDescent="0.3">
      <c r="A57" s="18" t="s">
        <v>23</v>
      </c>
      <c r="B57" s="175" t="s">
        <v>302</v>
      </c>
      <c r="C57" s="180">
        <f>SUM(C58:C60)</f>
        <v>0</v>
      </c>
      <c r="D57" s="180">
        <f>SUM(D58:D60)</f>
        <v>0</v>
      </c>
      <c r="E57" s="180">
        <f>SUM(E58:E60)</f>
        <v>0</v>
      </c>
      <c r="F57" s="180">
        <f>SUM(F58:F60)</f>
        <v>0</v>
      </c>
      <c r="G57" s="180">
        <f>SUM(G58:G60)</f>
        <v>0</v>
      </c>
    </row>
    <row r="58" spans="1:7" s="240" customFormat="1" ht="12" customHeight="1" x14ac:dyDescent="0.25">
      <c r="A58" s="13" t="s">
        <v>175</v>
      </c>
      <c r="B58" s="241" t="s">
        <v>304</v>
      </c>
      <c r="C58" s="185"/>
      <c r="D58" s="185"/>
      <c r="E58" s="185"/>
      <c r="F58" s="185"/>
      <c r="G58" s="185"/>
    </row>
    <row r="59" spans="1:7" s="240" customFormat="1" ht="12" customHeight="1" x14ac:dyDescent="0.25">
      <c r="A59" s="12" t="s">
        <v>176</v>
      </c>
      <c r="B59" s="242" t="s">
        <v>431</v>
      </c>
      <c r="C59" s="185"/>
      <c r="D59" s="185"/>
      <c r="E59" s="185"/>
      <c r="F59" s="185"/>
      <c r="G59" s="185"/>
    </row>
    <row r="60" spans="1:7" s="240" customFormat="1" ht="12" customHeight="1" x14ac:dyDescent="0.25">
      <c r="A60" s="12" t="s">
        <v>224</v>
      </c>
      <c r="B60" s="242" t="s">
        <v>305</v>
      </c>
      <c r="C60" s="185"/>
      <c r="D60" s="185"/>
      <c r="E60" s="185"/>
      <c r="F60" s="185"/>
      <c r="G60" s="185"/>
    </row>
    <row r="61" spans="1:7" s="240" customFormat="1" ht="12" customHeight="1" thickBot="1" x14ac:dyDescent="0.3">
      <c r="A61" s="14" t="s">
        <v>303</v>
      </c>
      <c r="B61" s="177" t="s">
        <v>306</v>
      </c>
      <c r="C61" s="185"/>
      <c r="D61" s="185"/>
      <c r="E61" s="185"/>
      <c r="F61" s="185"/>
      <c r="G61" s="185"/>
    </row>
    <row r="62" spans="1:7" s="240" customFormat="1" ht="12" customHeight="1" thickBot="1" x14ac:dyDescent="0.3">
      <c r="A62" s="278" t="s">
        <v>483</v>
      </c>
      <c r="B62" s="19" t="s">
        <v>307</v>
      </c>
      <c r="C62" s="186">
        <f>+C5+C12+C19+C26+C34+C46+C52+C57</f>
        <v>0</v>
      </c>
      <c r="D62" s="186">
        <f>+D5+D12+D19+D26+D34+D46+D52+D57</f>
        <v>0</v>
      </c>
      <c r="E62" s="186">
        <f>+E5+E12+E19+E26+E34+E46+E52+E57</f>
        <v>0</v>
      </c>
      <c r="F62" s="186">
        <f>+F5+F12+F19+F26+F34+F46+F52+F57</f>
        <v>0</v>
      </c>
      <c r="G62" s="186">
        <f>+G5+G12+G19+G26+G34+G46+G52+G57</f>
        <v>0</v>
      </c>
    </row>
    <row r="63" spans="1:7" s="240" customFormat="1" ht="12" customHeight="1" thickBot="1" x14ac:dyDescent="0.3">
      <c r="A63" s="268" t="s">
        <v>308</v>
      </c>
      <c r="B63" s="175" t="s">
        <v>309</v>
      </c>
      <c r="C63" s="180">
        <f>SUM(C64:C66)</f>
        <v>0</v>
      </c>
      <c r="D63" s="180">
        <f>SUM(D64:D66)</f>
        <v>0</v>
      </c>
      <c r="E63" s="180">
        <f>SUM(E64:E66)</f>
        <v>0</v>
      </c>
      <c r="F63" s="180">
        <f>SUM(F64:F66)</f>
        <v>0</v>
      </c>
      <c r="G63" s="180">
        <f>SUM(G64:G66)</f>
        <v>0</v>
      </c>
    </row>
    <row r="64" spans="1:7" s="240" customFormat="1" ht="12" customHeight="1" x14ac:dyDescent="0.25">
      <c r="A64" s="13" t="s">
        <v>340</v>
      </c>
      <c r="B64" s="241" t="s">
        <v>310</v>
      </c>
      <c r="C64" s="185"/>
      <c r="D64" s="185"/>
      <c r="E64" s="185"/>
      <c r="F64" s="185"/>
      <c r="G64" s="185"/>
    </row>
    <row r="65" spans="1:7" s="240" customFormat="1" ht="12" customHeight="1" x14ac:dyDescent="0.25">
      <c r="A65" s="12" t="s">
        <v>349</v>
      </c>
      <c r="B65" s="242" t="s">
        <v>311</v>
      </c>
      <c r="C65" s="185"/>
      <c r="D65" s="185"/>
      <c r="E65" s="185"/>
      <c r="F65" s="185"/>
      <c r="G65" s="185"/>
    </row>
    <row r="66" spans="1:7" s="240" customFormat="1" ht="12" customHeight="1" thickBot="1" x14ac:dyDescent="0.3">
      <c r="A66" s="14" t="s">
        <v>350</v>
      </c>
      <c r="B66" s="272" t="s">
        <v>468</v>
      </c>
      <c r="C66" s="185"/>
      <c r="D66" s="185"/>
      <c r="E66" s="185"/>
      <c r="F66" s="185"/>
      <c r="G66" s="185"/>
    </row>
    <row r="67" spans="1:7" s="240" customFormat="1" ht="12" customHeight="1" thickBot="1" x14ac:dyDescent="0.3">
      <c r="A67" s="268" t="s">
        <v>313</v>
      </c>
      <c r="B67" s="175" t="s">
        <v>314</v>
      </c>
      <c r="C67" s="180">
        <f>SUM(C68:C71)</f>
        <v>0</v>
      </c>
      <c r="D67" s="180">
        <f>SUM(D68:D71)</f>
        <v>0</v>
      </c>
      <c r="E67" s="180">
        <f>SUM(E68:E71)</f>
        <v>0</v>
      </c>
      <c r="F67" s="180">
        <f>SUM(F68:F71)</f>
        <v>0</v>
      </c>
      <c r="G67" s="180">
        <f>SUM(G68:G71)</f>
        <v>0</v>
      </c>
    </row>
    <row r="68" spans="1:7" s="240" customFormat="1" ht="12" customHeight="1" x14ac:dyDescent="0.25">
      <c r="A68" s="13" t="s">
        <v>145</v>
      </c>
      <c r="B68" s="241" t="s">
        <v>315</v>
      </c>
      <c r="C68" s="185"/>
      <c r="D68" s="185"/>
      <c r="E68" s="185"/>
      <c r="F68" s="185"/>
      <c r="G68" s="185"/>
    </row>
    <row r="69" spans="1:7" s="240" customFormat="1" ht="12" customHeight="1" x14ac:dyDescent="0.25">
      <c r="A69" s="12" t="s">
        <v>146</v>
      </c>
      <c r="B69" s="242" t="s">
        <v>316</v>
      </c>
      <c r="C69" s="185"/>
      <c r="D69" s="185"/>
      <c r="E69" s="185"/>
      <c r="F69" s="185"/>
      <c r="G69" s="185"/>
    </row>
    <row r="70" spans="1:7" s="240" customFormat="1" ht="12" customHeight="1" x14ac:dyDescent="0.25">
      <c r="A70" s="12" t="s">
        <v>341</v>
      </c>
      <c r="B70" s="242" t="s">
        <v>317</v>
      </c>
      <c r="C70" s="185"/>
      <c r="D70" s="185"/>
      <c r="E70" s="185"/>
      <c r="F70" s="185"/>
      <c r="G70" s="185"/>
    </row>
    <row r="71" spans="1:7" s="240" customFormat="1" ht="12" customHeight="1" thickBot="1" x14ac:dyDescent="0.3">
      <c r="A71" s="14" t="s">
        <v>342</v>
      </c>
      <c r="B71" s="177" t="s">
        <v>318</v>
      </c>
      <c r="C71" s="185"/>
      <c r="D71" s="185"/>
      <c r="E71" s="185"/>
      <c r="F71" s="185"/>
      <c r="G71" s="185"/>
    </row>
    <row r="72" spans="1:7" s="240" customFormat="1" ht="12" customHeight="1" thickBot="1" x14ac:dyDescent="0.3">
      <c r="A72" s="268" t="s">
        <v>319</v>
      </c>
      <c r="B72" s="175" t="s">
        <v>320</v>
      </c>
      <c r="C72" s="180">
        <f>SUM(C73:C74)</f>
        <v>0</v>
      </c>
      <c r="D72" s="180">
        <f>SUM(D73:D74)</f>
        <v>0</v>
      </c>
      <c r="E72" s="180">
        <f>SUM(E73:E74)</f>
        <v>0</v>
      </c>
      <c r="F72" s="180">
        <f>SUM(F73:F74)</f>
        <v>0</v>
      </c>
      <c r="G72" s="180">
        <f>SUM(G73:G74)</f>
        <v>0</v>
      </c>
    </row>
    <row r="73" spans="1:7" s="240" customFormat="1" ht="12" customHeight="1" x14ac:dyDescent="0.25">
      <c r="A73" s="13" t="s">
        <v>343</v>
      </c>
      <c r="B73" s="241" t="s">
        <v>321</v>
      </c>
      <c r="C73" s="185"/>
      <c r="D73" s="185"/>
      <c r="E73" s="185"/>
      <c r="F73" s="185"/>
      <c r="G73" s="185"/>
    </row>
    <row r="74" spans="1:7" s="240" customFormat="1" ht="12" customHeight="1" thickBot="1" x14ac:dyDescent="0.3">
      <c r="A74" s="14" t="s">
        <v>344</v>
      </c>
      <c r="B74" s="177" t="s">
        <v>322</v>
      </c>
      <c r="C74" s="185"/>
      <c r="D74" s="185"/>
      <c r="E74" s="185"/>
      <c r="F74" s="185"/>
      <c r="G74" s="185"/>
    </row>
    <row r="75" spans="1:7" s="240" customFormat="1" ht="12" customHeight="1" thickBot="1" x14ac:dyDescent="0.3">
      <c r="A75" s="268" t="s">
        <v>323</v>
      </c>
      <c r="B75" s="175" t="s">
        <v>324</v>
      </c>
      <c r="C75" s="180">
        <f>SUM(C76:C78)</f>
        <v>0</v>
      </c>
      <c r="D75" s="180">
        <f>SUM(D76:D78)</f>
        <v>0</v>
      </c>
      <c r="E75" s="180">
        <f>SUM(E76:E78)</f>
        <v>0</v>
      </c>
      <c r="F75" s="180">
        <f>SUM(F76:F78)</f>
        <v>0</v>
      </c>
      <c r="G75" s="180">
        <f>SUM(G76:G78)</f>
        <v>0</v>
      </c>
    </row>
    <row r="76" spans="1:7" s="240" customFormat="1" ht="12" customHeight="1" x14ac:dyDescent="0.25">
      <c r="A76" s="13" t="s">
        <v>345</v>
      </c>
      <c r="B76" s="241" t="s">
        <v>325</v>
      </c>
      <c r="C76" s="185"/>
      <c r="D76" s="185"/>
      <c r="E76" s="185"/>
      <c r="F76" s="185"/>
      <c r="G76" s="185"/>
    </row>
    <row r="77" spans="1:7" s="240" customFormat="1" ht="12" customHeight="1" x14ac:dyDescent="0.25">
      <c r="A77" s="12" t="s">
        <v>346</v>
      </c>
      <c r="B77" s="242" t="s">
        <v>326</v>
      </c>
      <c r="C77" s="185"/>
      <c r="D77" s="185"/>
      <c r="E77" s="185"/>
      <c r="F77" s="185"/>
      <c r="G77" s="185"/>
    </row>
    <row r="78" spans="1:7" s="240" customFormat="1" ht="12" customHeight="1" thickBot="1" x14ac:dyDescent="0.3">
      <c r="A78" s="14" t="s">
        <v>347</v>
      </c>
      <c r="B78" s="177" t="s">
        <v>327</v>
      </c>
      <c r="C78" s="185"/>
      <c r="D78" s="185"/>
      <c r="E78" s="185"/>
      <c r="F78" s="185"/>
      <c r="G78" s="185"/>
    </row>
    <row r="79" spans="1:7" s="240" customFormat="1" ht="12" customHeight="1" thickBot="1" x14ac:dyDescent="0.3">
      <c r="A79" s="268" t="s">
        <v>328</v>
      </c>
      <c r="B79" s="175" t="s">
        <v>348</v>
      </c>
      <c r="C79" s="180">
        <f>SUM(C80:C83)</f>
        <v>0</v>
      </c>
      <c r="D79" s="180">
        <f>SUM(D80:D83)</f>
        <v>0</v>
      </c>
      <c r="E79" s="180">
        <f>SUM(E80:E83)</f>
        <v>0</v>
      </c>
      <c r="F79" s="180">
        <f>SUM(F80:F83)</f>
        <v>0</v>
      </c>
      <c r="G79" s="180">
        <f>SUM(G80:G83)</f>
        <v>0</v>
      </c>
    </row>
    <row r="80" spans="1:7" s="240" customFormat="1" ht="12" customHeight="1" x14ac:dyDescent="0.25">
      <c r="A80" s="245" t="s">
        <v>329</v>
      </c>
      <c r="B80" s="241" t="s">
        <v>330</v>
      </c>
      <c r="C80" s="185"/>
      <c r="D80" s="185"/>
      <c r="E80" s="185"/>
      <c r="F80" s="185"/>
      <c r="G80" s="185"/>
    </row>
    <row r="81" spans="1:7" s="240" customFormat="1" ht="12" customHeight="1" x14ac:dyDescent="0.25">
      <c r="A81" s="246" t="s">
        <v>331</v>
      </c>
      <c r="B81" s="242" t="s">
        <v>332</v>
      </c>
      <c r="C81" s="185"/>
      <c r="D81" s="185"/>
      <c r="E81" s="185"/>
      <c r="F81" s="185"/>
      <c r="G81" s="185"/>
    </row>
    <row r="82" spans="1:7" s="240" customFormat="1" ht="12" customHeight="1" x14ac:dyDescent="0.25">
      <c r="A82" s="246" t="s">
        <v>333</v>
      </c>
      <c r="B82" s="242" t="s">
        <v>334</v>
      </c>
      <c r="C82" s="185"/>
      <c r="D82" s="185"/>
      <c r="E82" s="185"/>
      <c r="F82" s="185"/>
      <c r="G82" s="185"/>
    </row>
    <row r="83" spans="1:7" s="240" customFormat="1" ht="12" customHeight="1" thickBot="1" x14ac:dyDescent="0.3">
      <c r="A83" s="247" t="s">
        <v>335</v>
      </c>
      <c r="B83" s="177" t="s">
        <v>336</v>
      </c>
      <c r="C83" s="185"/>
      <c r="D83" s="185"/>
      <c r="E83" s="185"/>
      <c r="F83" s="185"/>
      <c r="G83" s="185"/>
    </row>
    <row r="84" spans="1:7" s="240" customFormat="1" ht="12" customHeight="1" thickBot="1" x14ac:dyDescent="0.3">
      <c r="A84" s="268" t="s">
        <v>337</v>
      </c>
      <c r="B84" s="175" t="s">
        <v>482</v>
      </c>
      <c r="C84" s="267"/>
      <c r="D84" s="267"/>
      <c r="E84" s="267"/>
      <c r="F84" s="267"/>
      <c r="G84" s="267"/>
    </row>
    <row r="85" spans="1:7" s="240" customFormat="1" ht="13.5" customHeight="1" thickBot="1" x14ac:dyDescent="0.3">
      <c r="A85" s="268" t="s">
        <v>339</v>
      </c>
      <c r="B85" s="175" t="s">
        <v>338</v>
      </c>
      <c r="C85" s="267"/>
      <c r="D85" s="267"/>
      <c r="E85" s="267"/>
      <c r="F85" s="267"/>
      <c r="G85" s="267"/>
    </row>
    <row r="86" spans="1:7" s="240" customFormat="1" ht="15.75" customHeight="1" thickBot="1" x14ac:dyDescent="0.3">
      <c r="A86" s="268" t="s">
        <v>351</v>
      </c>
      <c r="B86" s="248" t="s">
        <v>485</v>
      </c>
      <c r="C86" s="186">
        <f>+C63+C67+C72+C75+C79+C85+C84</f>
        <v>0</v>
      </c>
      <c r="D86" s="186">
        <f>+D63+D67+D72+D75+D79+D85+D84</f>
        <v>0</v>
      </c>
      <c r="E86" s="186">
        <f>+E63+E67+E72+E75+E79+E85+E84</f>
        <v>0</v>
      </c>
      <c r="F86" s="186">
        <f>+F63+F67+F72+F75+F79+F85+F84</f>
        <v>0</v>
      </c>
      <c r="G86" s="186">
        <f>+G63+G67+G72+G75+G79+G85+G84</f>
        <v>0</v>
      </c>
    </row>
    <row r="87" spans="1:7" s="240" customFormat="1" ht="16.5" customHeight="1" thickBot="1" x14ac:dyDescent="0.3">
      <c r="A87" s="269" t="s">
        <v>484</v>
      </c>
      <c r="B87" s="249" t="s">
        <v>486</v>
      </c>
      <c r="C87" s="186">
        <f>+C62+C86</f>
        <v>0</v>
      </c>
      <c r="D87" s="186">
        <f>+D62+D86</f>
        <v>0</v>
      </c>
      <c r="E87" s="186">
        <f>+E62+E86</f>
        <v>0</v>
      </c>
      <c r="F87" s="186">
        <f>+F62+F86</f>
        <v>0</v>
      </c>
      <c r="G87" s="186">
        <f>+G62+G86</f>
        <v>0</v>
      </c>
    </row>
    <row r="88" spans="1:7" s="240" customFormat="1" ht="83.25" customHeight="1" x14ac:dyDescent="0.25">
      <c r="A88" s="3"/>
      <c r="B88" s="4"/>
      <c r="C88" s="187"/>
      <c r="D88" s="187"/>
      <c r="E88" s="187"/>
      <c r="F88" s="187"/>
      <c r="G88" s="187"/>
    </row>
    <row r="89" spans="1:7" ht="16.5" customHeight="1" x14ac:dyDescent="0.3">
      <c r="A89" s="672" t="s">
        <v>44</v>
      </c>
      <c r="B89" s="672"/>
      <c r="C89" s="672"/>
      <c r="D89" s="214"/>
      <c r="E89" s="214"/>
      <c r="F89" s="214"/>
      <c r="G89" s="214"/>
    </row>
    <row r="90" spans="1:7" s="417" customFormat="1" ht="16.5" customHeight="1" thickBot="1" x14ac:dyDescent="0.35">
      <c r="A90" s="676" t="s">
        <v>148</v>
      </c>
      <c r="B90" s="676"/>
      <c r="C90" s="190" t="s">
        <v>606</v>
      </c>
      <c r="D90" s="190" t="s">
        <v>606</v>
      </c>
      <c r="E90" s="190" t="s">
        <v>615</v>
      </c>
      <c r="F90" s="190" t="s">
        <v>615</v>
      </c>
      <c r="G90" s="190" t="s">
        <v>615</v>
      </c>
    </row>
    <row r="91" spans="1:7" ht="38.1" customHeight="1" thickBot="1" x14ac:dyDescent="0.35">
      <c r="A91" s="21" t="s">
        <v>67</v>
      </c>
      <c r="B91" s="22" t="s">
        <v>45</v>
      </c>
      <c r="C91" s="30" t="str">
        <f>+C3</f>
        <v>Eredeti előirányzat (2016.01)</v>
      </c>
      <c r="D91" s="30" t="str">
        <f>+D3</f>
        <v>Módosított előirányzat (2016.05)</v>
      </c>
      <c r="E91" s="30" t="str">
        <f>+E3</f>
        <v>Módosított előirányzat (2016.09)</v>
      </c>
      <c r="F91" s="30" t="str">
        <f>+F3</f>
        <v>Módosított előirányzat (2016.11)</v>
      </c>
      <c r="G91" s="30" t="str">
        <f>+G3</f>
        <v>Módosított előirányzat (2016.12)</v>
      </c>
    </row>
    <row r="92" spans="1:7" s="239" customFormat="1" ht="12" customHeight="1" thickBot="1" x14ac:dyDescent="0.25">
      <c r="A92" s="25" t="s">
        <v>494</v>
      </c>
      <c r="B92" s="26" t="s">
        <v>495</v>
      </c>
      <c r="C92" s="27" t="s">
        <v>496</v>
      </c>
      <c r="D92" s="27" t="s">
        <v>496</v>
      </c>
      <c r="E92" s="27" t="s">
        <v>496</v>
      </c>
      <c r="F92" s="27" t="s">
        <v>496</v>
      </c>
      <c r="G92" s="27" t="s">
        <v>496</v>
      </c>
    </row>
    <row r="93" spans="1:7" ht="12" customHeight="1" thickBot="1" x14ac:dyDescent="0.35">
      <c r="A93" s="20" t="s">
        <v>16</v>
      </c>
      <c r="B93" s="24" t="s">
        <v>444</v>
      </c>
      <c r="C93" s="179">
        <f>C94+C95+C96+C97+C98+C111</f>
        <v>0</v>
      </c>
      <c r="D93" s="179">
        <f>D94+D95+D96+D97+D98+D111</f>
        <v>0</v>
      </c>
      <c r="E93" s="179">
        <f>E94+E95+E96+E97+E98+E111</f>
        <v>0</v>
      </c>
      <c r="F93" s="179">
        <f>F94+F95+F96+F97+F98+F111</f>
        <v>0</v>
      </c>
      <c r="G93" s="179">
        <f>G94+G95+G96+G97+G98+G111</f>
        <v>0</v>
      </c>
    </row>
    <row r="94" spans="1:7" ht="12" customHeight="1" x14ac:dyDescent="0.3">
      <c r="A94" s="15" t="s">
        <v>96</v>
      </c>
      <c r="B94" s="8" t="s">
        <v>46</v>
      </c>
      <c r="C94" s="181"/>
      <c r="D94" s="181"/>
      <c r="E94" s="181"/>
      <c r="F94" s="181"/>
      <c r="G94" s="181"/>
    </row>
    <row r="95" spans="1:7" ht="12" customHeight="1" x14ac:dyDescent="0.3">
      <c r="A95" s="12" t="s">
        <v>97</v>
      </c>
      <c r="B95" s="6" t="s">
        <v>177</v>
      </c>
      <c r="C95" s="182"/>
      <c r="D95" s="182"/>
      <c r="E95" s="182"/>
      <c r="F95" s="182"/>
      <c r="G95" s="182"/>
    </row>
    <row r="96" spans="1:7" ht="12" customHeight="1" x14ac:dyDescent="0.3">
      <c r="A96" s="12" t="s">
        <v>98</v>
      </c>
      <c r="B96" s="6" t="s">
        <v>135</v>
      </c>
      <c r="C96" s="184"/>
      <c r="D96" s="184"/>
      <c r="E96" s="184"/>
      <c r="F96" s="184"/>
      <c r="G96" s="184"/>
    </row>
    <row r="97" spans="1:7" ht="12" customHeight="1" x14ac:dyDescent="0.3">
      <c r="A97" s="12" t="s">
        <v>99</v>
      </c>
      <c r="B97" s="9" t="s">
        <v>178</v>
      </c>
      <c r="C97" s="184"/>
      <c r="D97" s="184"/>
      <c r="E97" s="184"/>
      <c r="F97" s="184"/>
      <c r="G97" s="184"/>
    </row>
    <row r="98" spans="1:7" ht="12" customHeight="1" x14ac:dyDescent="0.3">
      <c r="A98" s="12" t="s">
        <v>110</v>
      </c>
      <c r="B98" s="17" t="s">
        <v>179</v>
      </c>
      <c r="C98" s="184"/>
      <c r="D98" s="184"/>
      <c r="E98" s="184"/>
      <c r="F98" s="184"/>
      <c r="G98" s="184"/>
    </row>
    <row r="99" spans="1:7" ht="12" customHeight="1" x14ac:dyDescent="0.3">
      <c r="A99" s="12" t="s">
        <v>100</v>
      </c>
      <c r="B99" s="6" t="s">
        <v>449</v>
      </c>
      <c r="C99" s="184"/>
      <c r="D99" s="184"/>
      <c r="E99" s="184"/>
      <c r="F99" s="184"/>
      <c r="G99" s="184"/>
    </row>
    <row r="100" spans="1:7" ht="12" customHeight="1" x14ac:dyDescent="0.3">
      <c r="A100" s="12" t="s">
        <v>101</v>
      </c>
      <c r="B100" s="72" t="s">
        <v>448</v>
      </c>
      <c r="C100" s="184"/>
      <c r="D100" s="184"/>
      <c r="E100" s="184"/>
      <c r="F100" s="184"/>
      <c r="G100" s="184"/>
    </row>
    <row r="101" spans="1:7" ht="12" customHeight="1" x14ac:dyDescent="0.3">
      <c r="A101" s="12" t="s">
        <v>111</v>
      </c>
      <c r="B101" s="72" t="s">
        <v>447</v>
      </c>
      <c r="C101" s="184"/>
      <c r="D101" s="184"/>
      <c r="E101" s="184"/>
      <c r="F101" s="184"/>
      <c r="G101" s="184"/>
    </row>
    <row r="102" spans="1:7" ht="12" customHeight="1" x14ac:dyDescent="0.3">
      <c r="A102" s="12" t="s">
        <v>112</v>
      </c>
      <c r="B102" s="70" t="s">
        <v>354</v>
      </c>
      <c r="C102" s="184"/>
      <c r="D102" s="184"/>
      <c r="E102" s="184"/>
      <c r="F102" s="184"/>
      <c r="G102" s="184"/>
    </row>
    <row r="103" spans="1:7" ht="12" customHeight="1" x14ac:dyDescent="0.3">
      <c r="A103" s="12" t="s">
        <v>113</v>
      </c>
      <c r="B103" s="71" t="s">
        <v>355</v>
      </c>
      <c r="C103" s="184"/>
      <c r="D103" s="184"/>
      <c r="E103" s="184"/>
      <c r="F103" s="184"/>
      <c r="G103" s="184"/>
    </row>
    <row r="104" spans="1:7" ht="12" customHeight="1" x14ac:dyDescent="0.3">
      <c r="A104" s="12" t="s">
        <v>114</v>
      </c>
      <c r="B104" s="71" t="s">
        <v>356</v>
      </c>
      <c r="C104" s="184"/>
      <c r="D104" s="184"/>
      <c r="E104" s="184"/>
      <c r="F104" s="184"/>
      <c r="G104" s="184"/>
    </row>
    <row r="105" spans="1:7" ht="12" customHeight="1" x14ac:dyDescent="0.3">
      <c r="A105" s="12" t="s">
        <v>116</v>
      </c>
      <c r="B105" s="70" t="s">
        <v>357</v>
      </c>
      <c r="C105" s="184"/>
      <c r="D105" s="184"/>
      <c r="E105" s="184"/>
      <c r="F105" s="184"/>
      <c r="G105" s="184"/>
    </row>
    <row r="106" spans="1:7" ht="12" customHeight="1" x14ac:dyDescent="0.3">
      <c r="A106" s="12" t="s">
        <v>180</v>
      </c>
      <c r="B106" s="70" t="s">
        <v>358</v>
      </c>
      <c r="C106" s="184"/>
      <c r="D106" s="184"/>
      <c r="E106" s="184"/>
      <c r="F106" s="184"/>
      <c r="G106" s="184"/>
    </row>
    <row r="107" spans="1:7" ht="12" customHeight="1" x14ac:dyDescent="0.3">
      <c r="A107" s="12" t="s">
        <v>352</v>
      </c>
      <c r="B107" s="71" t="s">
        <v>359</v>
      </c>
      <c r="C107" s="184"/>
      <c r="D107" s="184"/>
      <c r="E107" s="184"/>
      <c r="F107" s="184"/>
      <c r="G107" s="184"/>
    </row>
    <row r="108" spans="1:7" ht="12" customHeight="1" x14ac:dyDescent="0.3">
      <c r="A108" s="11" t="s">
        <v>353</v>
      </c>
      <c r="B108" s="72" t="s">
        <v>360</v>
      </c>
      <c r="C108" s="184"/>
      <c r="D108" s="184"/>
      <c r="E108" s="184"/>
      <c r="F108" s="184"/>
      <c r="G108" s="184"/>
    </row>
    <row r="109" spans="1:7" ht="12" customHeight="1" x14ac:dyDescent="0.3">
      <c r="A109" s="12" t="s">
        <v>445</v>
      </c>
      <c r="B109" s="72" t="s">
        <v>361</v>
      </c>
      <c r="C109" s="184"/>
      <c r="D109" s="184"/>
      <c r="E109" s="184"/>
      <c r="F109" s="184"/>
      <c r="G109" s="184"/>
    </row>
    <row r="110" spans="1:7" ht="12" customHeight="1" x14ac:dyDescent="0.3">
      <c r="A110" s="14" t="s">
        <v>446</v>
      </c>
      <c r="B110" s="72" t="s">
        <v>362</v>
      </c>
      <c r="C110" s="184"/>
      <c r="D110" s="184"/>
      <c r="E110" s="184"/>
      <c r="F110" s="184"/>
      <c r="G110" s="184"/>
    </row>
    <row r="111" spans="1:7" ht="12" customHeight="1" x14ac:dyDescent="0.3">
      <c r="A111" s="12" t="s">
        <v>450</v>
      </c>
      <c r="B111" s="9" t="s">
        <v>47</v>
      </c>
      <c r="C111" s="182"/>
      <c r="D111" s="182"/>
      <c r="E111" s="182"/>
      <c r="F111" s="182"/>
      <c r="G111" s="182"/>
    </row>
    <row r="112" spans="1:7" ht="12" customHeight="1" x14ac:dyDescent="0.3">
      <c r="A112" s="12" t="s">
        <v>451</v>
      </c>
      <c r="B112" s="6" t="s">
        <v>453</v>
      </c>
      <c r="C112" s="182"/>
      <c r="D112" s="182"/>
      <c r="E112" s="182"/>
      <c r="F112" s="182"/>
      <c r="G112" s="182"/>
    </row>
    <row r="113" spans="1:7" ht="12" customHeight="1" thickBot="1" x14ac:dyDescent="0.35">
      <c r="A113" s="16" t="s">
        <v>452</v>
      </c>
      <c r="B113" s="276" t="s">
        <v>454</v>
      </c>
      <c r="C113" s="188"/>
      <c r="D113" s="188"/>
      <c r="E113" s="188"/>
      <c r="F113" s="188"/>
      <c r="G113" s="188"/>
    </row>
    <row r="114" spans="1:7" ht="12" customHeight="1" thickBot="1" x14ac:dyDescent="0.35">
      <c r="A114" s="273" t="s">
        <v>17</v>
      </c>
      <c r="B114" s="274" t="s">
        <v>363</v>
      </c>
      <c r="C114" s="275">
        <f>+C115+C117+C119</f>
        <v>0</v>
      </c>
      <c r="D114" s="275">
        <f>+D115+D117+D119</f>
        <v>0</v>
      </c>
      <c r="E114" s="275">
        <f>+E115+E117+E119</f>
        <v>0</v>
      </c>
      <c r="F114" s="275">
        <f>+F115+F117+F119</f>
        <v>0</v>
      </c>
      <c r="G114" s="275">
        <f>+G115+G117+G119</f>
        <v>0</v>
      </c>
    </row>
    <row r="115" spans="1:7" ht="12" customHeight="1" x14ac:dyDescent="0.3">
      <c r="A115" s="13" t="s">
        <v>102</v>
      </c>
      <c r="B115" s="6" t="s">
        <v>222</v>
      </c>
      <c r="C115" s="183"/>
      <c r="D115" s="183"/>
      <c r="E115" s="183"/>
      <c r="F115" s="183"/>
      <c r="G115" s="183"/>
    </row>
    <row r="116" spans="1:7" ht="12" customHeight="1" x14ac:dyDescent="0.3">
      <c r="A116" s="13" t="s">
        <v>103</v>
      </c>
      <c r="B116" s="10" t="s">
        <v>367</v>
      </c>
      <c r="C116" s="183"/>
      <c r="D116" s="183"/>
      <c r="E116" s="183"/>
      <c r="F116" s="183"/>
      <c r="G116" s="183"/>
    </row>
    <row r="117" spans="1:7" ht="12" customHeight="1" x14ac:dyDescent="0.3">
      <c r="A117" s="13" t="s">
        <v>104</v>
      </c>
      <c r="B117" s="10" t="s">
        <v>181</v>
      </c>
      <c r="C117" s="182"/>
      <c r="D117" s="182"/>
      <c r="E117" s="182"/>
      <c r="F117" s="182"/>
      <c r="G117" s="182"/>
    </row>
    <row r="118" spans="1:7" ht="12" customHeight="1" x14ac:dyDescent="0.3">
      <c r="A118" s="13" t="s">
        <v>105</v>
      </c>
      <c r="B118" s="10" t="s">
        <v>368</v>
      </c>
      <c r="C118" s="172"/>
      <c r="D118" s="172"/>
      <c r="E118" s="172"/>
      <c r="F118" s="172"/>
      <c r="G118" s="172"/>
    </row>
    <row r="119" spans="1:7" ht="12" customHeight="1" x14ac:dyDescent="0.3">
      <c r="A119" s="13" t="s">
        <v>106</v>
      </c>
      <c r="B119" s="177" t="s">
        <v>225</v>
      </c>
      <c r="C119" s="172"/>
      <c r="D119" s="172"/>
      <c r="E119" s="172"/>
      <c r="F119" s="172"/>
      <c r="G119" s="172"/>
    </row>
    <row r="120" spans="1:7" ht="12" customHeight="1" x14ac:dyDescent="0.3">
      <c r="A120" s="13" t="s">
        <v>115</v>
      </c>
      <c r="B120" s="176" t="s">
        <v>432</v>
      </c>
      <c r="C120" s="172"/>
      <c r="D120" s="172"/>
      <c r="E120" s="172"/>
      <c r="F120" s="172"/>
      <c r="G120" s="172"/>
    </row>
    <row r="121" spans="1:7" ht="12" customHeight="1" x14ac:dyDescent="0.3">
      <c r="A121" s="13" t="s">
        <v>117</v>
      </c>
      <c r="B121" s="238" t="s">
        <v>373</v>
      </c>
      <c r="C121" s="172"/>
      <c r="D121" s="172"/>
      <c r="E121" s="172"/>
      <c r="F121" s="172"/>
      <c r="G121" s="172"/>
    </row>
    <row r="122" spans="1:7" x14ac:dyDescent="0.3">
      <c r="A122" s="13" t="s">
        <v>182</v>
      </c>
      <c r="B122" s="71" t="s">
        <v>356</v>
      </c>
      <c r="C122" s="172"/>
      <c r="D122" s="172"/>
      <c r="E122" s="172"/>
      <c r="F122" s="172"/>
      <c r="G122" s="172"/>
    </row>
    <row r="123" spans="1:7" ht="12" customHeight="1" x14ac:dyDescent="0.3">
      <c r="A123" s="13" t="s">
        <v>183</v>
      </c>
      <c r="B123" s="71" t="s">
        <v>372</v>
      </c>
      <c r="C123" s="172"/>
      <c r="D123" s="172"/>
      <c r="E123" s="172"/>
      <c r="F123" s="172"/>
      <c r="G123" s="172"/>
    </row>
    <row r="124" spans="1:7" ht="12" customHeight="1" x14ac:dyDescent="0.3">
      <c r="A124" s="13" t="s">
        <v>184</v>
      </c>
      <c r="B124" s="71" t="s">
        <v>371</v>
      </c>
      <c r="C124" s="172"/>
      <c r="D124" s="172"/>
      <c r="E124" s="172"/>
      <c r="F124" s="172"/>
      <c r="G124" s="172"/>
    </row>
    <row r="125" spans="1:7" ht="12" customHeight="1" x14ac:dyDescent="0.3">
      <c r="A125" s="13" t="s">
        <v>364</v>
      </c>
      <c r="B125" s="71" t="s">
        <v>359</v>
      </c>
      <c r="C125" s="172"/>
      <c r="D125" s="172"/>
      <c r="E125" s="172"/>
      <c r="F125" s="172"/>
      <c r="G125" s="172"/>
    </row>
    <row r="126" spans="1:7" ht="12" customHeight="1" x14ac:dyDescent="0.3">
      <c r="A126" s="13" t="s">
        <v>365</v>
      </c>
      <c r="B126" s="71" t="s">
        <v>370</v>
      </c>
      <c r="C126" s="172"/>
      <c r="D126" s="172"/>
      <c r="E126" s="172"/>
      <c r="F126" s="172"/>
      <c r="G126" s="172"/>
    </row>
    <row r="127" spans="1:7" ht="16.2" thickBot="1" x14ac:dyDescent="0.35">
      <c r="A127" s="11" t="s">
        <v>366</v>
      </c>
      <c r="B127" s="71" t="s">
        <v>369</v>
      </c>
      <c r="C127" s="173"/>
      <c r="D127" s="173"/>
      <c r="E127" s="173"/>
      <c r="F127" s="173"/>
      <c r="G127" s="173"/>
    </row>
    <row r="128" spans="1:7" ht="12" customHeight="1" thickBot="1" x14ac:dyDescent="0.35">
      <c r="A128" s="18" t="s">
        <v>18</v>
      </c>
      <c r="B128" s="63" t="s">
        <v>455</v>
      </c>
      <c r="C128" s="180">
        <f>+C93+C114</f>
        <v>0</v>
      </c>
      <c r="D128" s="180">
        <f>+D93+D114</f>
        <v>0</v>
      </c>
      <c r="E128" s="180">
        <f>+E93+E114</f>
        <v>0</v>
      </c>
      <c r="F128" s="180">
        <f>+F93+F114</f>
        <v>0</v>
      </c>
      <c r="G128" s="180">
        <f>+G93+G114</f>
        <v>0</v>
      </c>
    </row>
    <row r="129" spans="1:7" ht="12" customHeight="1" thickBot="1" x14ac:dyDescent="0.35">
      <c r="A129" s="18" t="s">
        <v>19</v>
      </c>
      <c r="B129" s="63" t="s">
        <v>456</v>
      </c>
      <c r="C129" s="180">
        <f>+C130+C131+C132</f>
        <v>0</v>
      </c>
      <c r="D129" s="180">
        <f>+D130+D131+D132</f>
        <v>0</v>
      </c>
      <c r="E129" s="180">
        <f>+E130+E131+E132</f>
        <v>0</v>
      </c>
      <c r="F129" s="180">
        <f>+F130+F131+F132</f>
        <v>0</v>
      </c>
      <c r="G129" s="180">
        <f>+G130+G131+G132</f>
        <v>0</v>
      </c>
    </row>
    <row r="130" spans="1:7" ht="12" customHeight="1" x14ac:dyDescent="0.3">
      <c r="A130" s="13" t="s">
        <v>264</v>
      </c>
      <c r="B130" s="10" t="s">
        <v>463</v>
      </c>
      <c r="C130" s="172"/>
      <c r="D130" s="172"/>
      <c r="E130" s="172"/>
      <c r="F130" s="172"/>
      <c r="G130" s="172"/>
    </row>
    <row r="131" spans="1:7" ht="12" customHeight="1" x14ac:dyDescent="0.3">
      <c r="A131" s="13" t="s">
        <v>267</v>
      </c>
      <c r="B131" s="10" t="s">
        <v>464</v>
      </c>
      <c r="C131" s="172"/>
      <c r="D131" s="172"/>
      <c r="E131" s="172"/>
      <c r="F131" s="172"/>
      <c r="G131" s="172"/>
    </row>
    <row r="132" spans="1:7" ht="12" customHeight="1" thickBot="1" x14ac:dyDescent="0.35">
      <c r="A132" s="11" t="s">
        <v>268</v>
      </c>
      <c r="B132" s="10" t="s">
        <v>465</v>
      </c>
      <c r="C132" s="172"/>
      <c r="D132" s="172"/>
      <c r="E132" s="172"/>
      <c r="F132" s="172"/>
      <c r="G132" s="172"/>
    </row>
    <row r="133" spans="1:7" ht="12" customHeight="1" thickBot="1" x14ac:dyDescent="0.35">
      <c r="A133" s="18" t="s">
        <v>20</v>
      </c>
      <c r="B133" s="63" t="s">
        <v>457</v>
      </c>
      <c r="C133" s="180">
        <f>SUM(C134:C139)</f>
        <v>0</v>
      </c>
      <c r="D133" s="180">
        <f>SUM(D134:D139)</f>
        <v>0</v>
      </c>
      <c r="E133" s="180">
        <f>SUM(E134:E139)</f>
        <v>0</v>
      </c>
      <c r="F133" s="180">
        <f>SUM(F134:F139)</f>
        <v>0</v>
      </c>
      <c r="G133" s="180">
        <f>SUM(G134:G139)</f>
        <v>0</v>
      </c>
    </row>
    <row r="134" spans="1:7" ht="12" customHeight="1" x14ac:dyDescent="0.3">
      <c r="A134" s="13" t="s">
        <v>89</v>
      </c>
      <c r="B134" s="7" t="s">
        <v>466</v>
      </c>
      <c r="C134" s="172"/>
      <c r="D134" s="172"/>
      <c r="E134" s="172"/>
      <c r="F134" s="172"/>
      <c r="G134" s="172"/>
    </row>
    <row r="135" spans="1:7" ht="12" customHeight="1" x14ac:dyDescent="0.3">
      <c r="A135" s="13" t="s">
        <v>90</v>
      </c>
      <c r="B135" s="7" t="s">
        <v>458</v>
      </c>
      <c r="C135" s="172"/>
      <c r="D135" s="172"/>
      <c r="E135" s="172"/>
      <c r="F135" s="172"/>
      <c r="G135" s="172"/>
    </row>
    <row r="136" spans="1:7" ht="12" customHeight="1" x14ac:dyDescent="0.3">
      <c r="A136" s="13" t="s">
        <v>91</v>
      </c>
      <c r="B136" s="7" t="s">
        <v>459</v>
      </c>
      <c r="C136" s="172"/>
      <c r="D136" s="172"/>
      <c r="E136" s="172"/>
      <c r="F136" s="172"/>
      <c r="G136" s="172"/>
    </row>
    <row r="137" spans="1:7" ht="12" customHeight="1" x14ac:dyDescent="0.3">
      <c r="A137" s="13" t="s">
        <v>169</v>
      </c>
      <c r="B137" s="7" t="s">
        <v>460</v>
      </c>
      <c r="C137" s="172"/>
      <c r="D137" s="172"/>
      <c r="E137" s="172"/>
      <c r="F137" s="172"/>
      <c r="G137" s="172"/>
    </row>
    <row r="138" spans="1:7" ht="12" customHeight="1" x14ac:dyDescent="0.3">
      <c r="A138" s="13" t="s">
        <v>170</v>
      </c>
      <c r="B138" s="7" t="s">
        <v>461</v>
      </c>
      <c r="C138" s="172"/>
      <c r="D138" s="172"/>
      <c r="E138" s="172"/>
      <c r="F138" s="172"/>
      <c r="G138" s="172"/>
    </row>
    <row r="139" spans="1:7" ht="12" customHeight="1" thickBot="1" x14ac:dyDescent="0.35">
      <c r="A139" s="11" t="s">
        <v>171</v>
      </c>
      <c r="B139" s="7" t="s">
        <v>462</v>
      </c>
      <c r="C139" s="172"/>
      <c r="D139" s="172"/>
      <c r="E139" s="172"/>
      <c r="F139" s="172"/>
      <c r="G139" s="172"/>
    </row>
    <row r="140" spans="1:7" ht="12" customHeight="1" thickBot="1" x14ac:dyDescent="0.35">
      <c r="A140" s="18" t="s">
        <v>21</v>
      </c>
      <c r="B140" s="63" t="s">
        <v>470</v>
      </c>
      <c r="C140" s="186">
        <f>+C141+C142+C143+C144</f>
        <v>0</v>
      </c>
      <c r="D140" s="186">
        <f>+D141+D142+D143+D144</f>
        <v>0</v>
      </c>
      <c r="E140" s="186">
        <f>+E141+E142+E143+E144</f>
        <v>0</v>
      </c>
      <c r="F140" s="186">
        <f>+F141+F142+F143+F144</f>
        <v>0</v>
      </c>
      <c r="G140" s="186">
        <f>+G141+G142+G143+G144</f>
        <v>0</v>
      </c>
    </row>
    <row r="141" spans="1:7" ht="12" customHeight="1" x14ac:dyDescent="0.3">
      <c r="A141" s="13" t="s">
        <v>92</v>
      </c>
      <c r="B141" s="7" t="s">
        <v>374</v>
      </c>
      <c r="C141" s="172"/>
      <c r="D141" s="172"/>
      <c r="E141" s="172"/>
      <c r="F141" s="172"/>
      <c r="G141" s="172"/>
    </row>
    <row r="142" spans="1:7" ht="12" customHeight="1" x14ac:dyDescent="0.3">
      <c r="A142" s="13" t="s">
        <v>93</v>
      </c>
      <c r="B142" s="7" t="s">
        <v>375</v>
      </c>
      <c r="C142" s="172"/>
      <c r="D142" s="172"/>
      <c r="E142" s="172"/>
      <c r="F142" s="172"/>
      <c r="G142" s="172"/>
    </row>
    <row r="143" spans="1:7" ht="12" customHeight="1" x14ac:dyDescent="0.3">
      <c r="A143" s="13" t="s">
        <v>288</v>
      </c>
      <c r="B143" s="7" t="s">
        <v>471</v>
      </c>
      <c r="C143" s="172"/>
      <c r="D143" s="172"/>
      <c r="E143" s="172"/>
      <c r="F143" s="172"/>
      <c r="G143" s="172"/>
    </row>
    <row r="144" spans="1:7" ht="12" customHeight="1" thickBot="1" x14ac:dyDescent="0.35">
      <c r="A144" s="11" t="s">
        <v>289</v>
      </c>
      <c r="B144" s="5" t="s">
        <v>394</v>
      </c>
      <c r="C144" s="172"/>
      <c r="D144" s="172"/>
      <c r="E144" s="172"/>
      <c r="F144" s="172"/>
      <c r="G144" s="172"/>
    </row>
    <row r="145" spans="1:7" ht="12" customHeight="1" thickBot="1" x14ac:dyDescent="0.35">
      <c r="A145" s="18" t="s">
        <v>22</v>
      </c>
      <c r="B145" s="63" t="s">
        <v>472</v>
      </c>
      <c r="C145" s="189">
        <f>SUM(C146:C150)</f>
        <v>0</v>
      </c>
      <c r="D145" s="189">
        <f>SUM(D146:D150)</f>
        <v>0</v>
      </c>
      <c r="E145" s="189">
        <f>SUM(E146:E150)</f>
        <v>0</v>
      </c>
      <c r="F145" s="189">
        <f>SUM(F146:F150)</f>
        <v>0</v>
      </c>
      <c r="G145" s="189">
        <f>SUM(G146:G150)</f>
        <v>0</v>
      </c>
    </row>
    <row r="146" spans="1:7" ht="12" customHeight="1" x14ac:dyDescent="0.3">
      <c r="A146" s="13" t="s">
        <v>94</v>
      </c>
      <c r="B146" s="7" t="s">
        <v>467</v>
      </c>
      <c r="C146" s="172"/>
      <c r="D146" s="172"/>
      <c r="E146" s="172"/>
      <c r="F146" s="172"/>
      <c r="G146" s="172"/>
    </row>
    <row r="147" spans="1:7" ht="12" customHeight="1" x14ac:dyDescent="0.3">
      <c r="A147" s="13" t="s">
        <v>95</v>
      </c>
      <c r="B147" s="7" t="s">
        <v>474</v>
      </c>
      <c r="C147" s="172"/>
      <c r="D147" s="172"/>
      <c r="E147" s="172"/>
      <c r="F147" s="172"/>
      <c r="G147" s="172"/>
    </row>
    <row r="148" spans="1:7" ht="12" customHeight="1" x14ac:dyDescent="0.3">
      <c r="A148" s="13" t="s">
        <v>300</v>
      </c>
      <c r="B148" s="7" t="s">
        <v>469</v>
      </c>
      <c r="C148" s="172"/>
      <c r="D148" s="172"/>
      <c r="E148" s="172"/>
      <c r="F148" s="172"/>
      <c r="G148" s="172"/>
    </row>
    <row r="149" spans="1:7" ht="12" customHeight="1" x14ac:dyDescent="0.3">
      <c r="A149" s="13" t="s">
        <v>301</v>
      </c>
      <c r="B149" s="7" t="s">
        <v>475</v>
      </c>
      <c r="C149" s="172"/>
      <c r="D149" s="172"/>
      <c r="E149" s="172"/>
      <c r="F149" s="172"/>
      <c r="G149" s="172"/>
    </row>
    <row r="150" spans="1:7" ht="12" customHeight="1" thickBot="1" x14ac:dyDescent="0.35">
      <c r="A150" s="13" t="s">
        <v>473</v>
      </c>
      <c r="B150" s="7" t="s">
        <v>476</v>
      </c>
      <c r="C150" s="172"/>
      <c r="D150" s="172"/>
      <c r="E150" s="172"/>
      <c r="F150" s="172"/>
      <c r="G150" s="172"/>
    </row>
    <row r="151" spans="1:7" ht="12" customHeight="1" thickBot="1" x14ac:dyDescent="0.35">
      <c r="A151" s="18" t="s">
        <v>23</v>
      </c>
      <c r="B151" s="63" t="s">
        <v>477</v>
      </c>
      <c r="C151" s="277"/>
      <c r="D151" s="277"/>
      <c r="E151" s="277"/>
      <c r="F151" s="277"/>
      <c r="G151" s="277"/>
    </row>
    <row r="152" spans="1:7" ht="12" customHeight="1" thickBot="1" x14ac:dyDescent="0.35">
      <c r="A152" s="18" t="s">
        <v>24</v>
      </c>
      <c r="B152" s="63" t="s">
        <v>478</v>
      </c>
      <c r="C152" s="277"/>
      <c r="D152" s="277"/>
      <c r="E152" s="277"/>
      <c r="F152" s="277"/>
      <c r="G152" s="277"/>
    </row>
    <row r="153" spans="1:7" ht="15" customHeight="1" thickBot="1" x14ac:dyDescent="0.35">
      <c r="A153" s="18" t="s">
        <v>25</v>
      </c>
      <c r="B153" s="63" t="s">
        <v>480</v>
      </c>
      <c r="C153" s="250">
        <f>+C129+C133+C140+C145+C151+C152</f>
        <v>0</v>
      </c>
      <c r="D153" s="250">
        <f>+D129+D133+D140+D145+D151+D152</f>
        <v>0</v>
      </c>
      <c r="E153" s="250">
        <f>+E129+E133+E140+E145+E151+E152</f>
        <v>0</v>
      </c>
      <c r="F153" s="250">
        <f>+F129+F133+F140+F145+F151+F152</f>
        <v>0</v>
      </c>
      <c r="G153" s="250">
        <f>+G129+G133+G140+G145+G151+G152</f>
        <v>0</v>
      </c>
    </row>
    <row r="154" spans="1:7" s="240" customFormat="1" ht="12.9" customHeight="1" thickBot="1" x14ac:dyDescent="0.3">
      <c r="A154" s="178" t="s">
        <v>26</v>
      </c>
      <c r="B154" s="213" t="s">
        <v>479</v>
      </c>
      <c r="C154" s="250">
        <f>+C128+C153</f>
        <v>0</v>
      </c>
      <c r="D154" s="250">
        <f>+D128+D153</f>
        <v>0</v>
      </c>
      <c r="E154" s="250">
        <f>+E128+E153</f>
        <v>0</v>
      </c>
      <c r="F154" s="250">
        <f>+F128+F153</f>
        <v>0</v>
      </c>
      <c r="G154" s="250">
        <f>+G128+G153</f>
        <v>0</v>
      </c>
    </row>
    <row r="155" spans="1:7" ht="7.5" customHeight="1" x14ac:dyDescent="0.3"/>
    <row r="156" spans="1:7" x14ac:dyDescent="0.3">
      <c r="A156" s="674" t="s">
        <v>376</v>
      </c>
      <c r="B156" s="674"/>
      <c r="C156" s="674"/>
      <c r="D156" s="214"/>
      <c r="E156" s="214"/>
      <c r="F156" s="214"/>
      <c r="G156" s="214"/>
    </row>
    <row r="157" spans="1:7" ht="15" customHeight="1" thickBot="1" x14ac:dyDescent="0.35">
      <c r="A157" s="675" t="s">
        <v>149</v>
      </c>
      <c r="B157" s="675"/>
      <c r="C157" s="190" t="s">
        <v>606</v>
      </c>
      <c r="D157" s="190" t="s">
        <v>606</v>
      </c>
      <c r="E157" s="190" t="s">
        <v>615</v>
      </c>
      <c r="F157" s="190" t="s">
        <v>615</v>
      </c>
      <c r="G157" s="190" t="s">
        <v>615</v>
      </c>
    </row>
    <row r="158" spans="1:7" ht="13.5" customHeight="1" thickBot="1" x14ac:dyDescent="0.35">
      <c r="A158" s="18">
        <v>1</v>
      </c>
      <c r="B158" s="23" t="s">
        <v>481</v>
      </c>
      <c r="C158" s="180">
        <f>+C62-C128</f>
        <v>0</v>
      </c>
      <c r="D158" s="180">
        <f>+D62-D128</f>
        <v>0</v>
      </c>
      <c r="E158" s="180">
        <f>+E62-E128</f>
        <v>0</v>
      </c>
      <c r="F158" s="180">
        <f>+F62-F128</f>
        <v>0</v>
      </c>
      <c r="G158" s="180">
        <f>+G62-G128</f>
        <v>0</v>
      </c>
    </row>
    <row r="159" spans="1:7" ht="27.75" customHeight="1" thickBot="1" x14ac:dyDescent="0.35">
      <c r="A159" s="18" t="s">
        <v>17</v>
      </c>
      <c r="B159" s="23" t="s">
        <v>487</v>
      </c>
      <c r="C159" s="180">
        <f>+C86-C153</f>
        <v>0</v>
      </c>
      <c r="D159" s="180">
        <f>+D86-D153</f>
        <v>0</v>
      </c>
      <c r="E159" s="180">
        <f>+E86-E153</f>
        <v>0</v>
      </c>
      <c r="F159" s="180">
        <f>+F86-F153</f>
        <v>0</v>
      </c>
      <c r="G159" s="180">
        <f>+G86-G153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45" fitToHeight="2" orientation="landscape" r:id="rId1"/>
  <headerFooter alignWithMargins="0">
    <oddHeader>&amp;C&amp;"Times New Roman CE,Félkövér"&amp;12
Vonyarcvashegy Nagyközség Önkormányzata
2016. ÉVI KÖLTSÉGVETÉS
ÁLLAMI (ÁLLAMIGAZGATÁSI) FELADATOK MÉRLEGE
&amp;R&amp;"Times New Roman CE,Félkövér dőlt"&amp;11 1.4. melléklet a ........./2016. () önkormányzati rendelethez</oddHeader>
    <oddFooter>&amp;P. oldal, összesen: &amp;N</oddFooter>
  </headerFooter>
  <rowBreaks count="1" manualBreakCount="1">
    <brk id="8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M34"/>
  <sheetViews>
    <sheetView topLeftCell="A13" zoomScale="115" zoomScaleNormal="115" zoomScaleSheetLayoutView="100" workbookViewId="0">
      <selection activeCell="I5" sqref="I5"/>
    </sheetView>
  </sheetViews>
  <sheetFormatPr defaultColWidth="9.33203125" defaultRowHeight="13.2" x14ac:dyDescent="0.25"/>
  <cols>
    <col min="1" max="1" width="5.6640625" style="575" bestFit="1" customWidth="1"/>
    <col min="2" max="2" width="61.77734375" style="576" bestFit="1" customWidth="1"/>
    <col min="3" max="4" width="11.109375" style="575" bestFit="1" customWidth="1"/>
    <col min="5" max="5" width="13.77734375" style="575" customWidth="1"/>
    <col min="6" max="7" width="15" style="575" customWidth="1"/>
    <col min="8" max="8" width="56.6640625" style="575" bestFit="1" customWidth="1"/>
    <col min="9" max="13" width="19.44140625" style="575" bestFit="1" customWidth="1"/>
    <col min="14" max="16384" width="9.33203125" style="575"/>
  </cols>
  <sheetData>
    <row r="1" spans="1:13" ht="19.5" customHeight="1" x14ac:dyDescent="0.25">
      <c r="B1" s="575"/>
      <c r="H1" s="680" t="s">
        <v>716</v>
      </c>
      <c r="I1" s="680"/>
    </row>
    <row r="2" spans="1:13" ht="39.75" customHeight="1" x14ac:dyDescent="0.25">
      <c r="B2" s="480" t="s">
        <v>152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</row>
    <row r="3" spans="1:13" ht="14.4" thickBot="1" x14ac:dyDescent="0.3">
      <c r="I3" s="481" t="s">
        <v>606</v>
      </c>
      <c r="J3" s="481" t="s">
        <v>606</v>
      </c>
      <c r="K3" s="481" t="s">
        <v>615</v>
      </c>
      <c r="L3" s="481" t="s">
        <v>615</v>
      </c>
      <c r="M3" s="481" t="s">
        <v>615</v>
      </c>
    </row>
    <row r="4" spans="1:13" ht="18" customHeight="1" thickBot="1" x14ac:dyDescent="0.3">
      <c r="A4" s="677" t="s">
        <v>67</v>
      </c>
      <c r="B4" s="482" t="s">
        <v>54</v>
      </c>
      <c r="C4" s="483"/>
      <c r="D4" s="483"/>
      <c r="E4" s="483"/>
      <c r="F4" s="483"/>
      <c r="G4" s="483"/>
      <c r="H4" s="482" t="s">
        <v>55</v>
      </c>
      <c r="I4" s="484"/>
      <c r="J4" s="484"/>
      <c r="K4" s="484"/>
      <c r="L4" s="484"/>
      <c r="M4" s="484"/>
    </row>
    <row r="5" spans="1:13" s="485" customFormat="1" ht="35.25" customHeight="1" thickBot="1" x14ac:dyDescent="0.3">
      <c r="A5" s="678"/>
      <c r="B5" s="420" t="s">
        <v>59</v>
      </c>
      <c r="C5" s="524" t="s">
        <v>638</v>
      </c>
      <c r="D5" s="524" t="s">
        <v>681</v>
      </c>
      <c r="E5" s="524" t="s">
        <v>699</v>
      </c>
      <c r="F5" s="524" t="s">
        <v>710</v>
      </c>
      <c r="G5" s="524" t="s">
        <v>723</v>
      </c>
      <c r="H5" s="420" t="s">
        <v>59</v>
      </c>
      <c r="I5" s="524" t="s">
        <v>638</v>
      </c>
      <c r="J5" s="524" t="s">
        <v>681</v>
      </c>
      <c r="K5" s="524" t="s">
        <v>699</v>
      </c>
      <c r="L5" s="524" t="s">
        <v>710</v>
      </c>
      <c r="M5" s="524" t="s">
        <v>723</v>
      </c>
    </row>
    <row r="6" spans="1:13" s="511" customFormat="1" ht="12" customHeight="1" thickBot="1" x14ac:dyDescent="0.3">
      <c r="A6" s="193" t="s">
        <v>494</v>
      </c>
      <c r="B6" s="194" t="s">
        <v>495</v>
      </c>
      <c r="C6" s="486" t="s">
        <v>496</v>
      </c>
      <c r="D6" s="486" t="s">
        <v>496</v>
      </c>
      <c r="E6" s="486" t="s">
        <v>496</v>
      </c>
      <c r="F6" s="486" t="s">
        <v>496</v>
      </c>
      <c r="G6" s="486" t="s">
        <v>496</v>
      </c>
      <c r="H6" s="194" t="s">
        <v>498</v>
      </c>
      <c r="I6" s="195" t="s">
        <v>497</v>
      </c>
      <c r="J6" s="195" t="s">
        <v>497</v>
      </c>
      <c r="K6" s="195" t="s">
        <v>497</v>
      </c>
      <c r="L6" s="195" t="s">
        <v>497</v>
      </c>
      <c r="M6" s="195" t="s">
        <v>497</v>
      </c>
    </row>
    <row r="7" spans="1:13" ht="12.9" customHeight="1" x14ac:dyDescent="0.25">
      <c r="A7" s="589" t="s">
        <v>16</v>
      </c>
      <c r="B7" s="487" t="s">
        <v>377</v>
      </c>
      <c r="C7" s="488">
        <f>220374+352</f>
        <v>220726</v>
      </c>
      <c r="D7" s="488">
        <f>220374+352+690+342+926</f>
        <v>222684</v>
      </c>
      <c r="E7" s="488">
        <f>222684069+15721200+342000+738759-914933+342000</f>
        <v>238913095</v>
      </c>
      <c r="F7" s="488">
        <f>222684069+15721200+342000+738759-914933+342000+64140+114000+1373593+655828</f>
        <v>241120656</v>
      </c>
      <c r="G7" s="488">
        <f>222684069+15721200+342000+738759-914933+342000+64140+114000+1373593+655828+1182674</f>
        <v>242303330</v>
      </c>
      <c r="H7" s="487" t="s">
        <v>60</v>
      </c>
      <c r="I7" s="39">
        <v>73044</v>
      </c>
      <c r="J7" s="39">
        <f>73044+4468+476+22-7-1</f>
        <v>78002</v>
      </c>
      <c r="K7" s="39">
        <f>78002488+384300+227638+40112+85275+640500+26000-3000+2198950-173700-26000</f>
        <v>81402563</v>
      </c>
      <c r="L7" s="39">
        <f>81402563+471000+70650+224350+200000</f>
        <v>82368563</v>
      </c>
      <c r="M7" s="39">
        <f>81402563+471000+70650+224350+200000+237795</f>
        <v>82606358</v>
      </c>
    </row>
    <row r="8" spans="1:13" ht="12.9" customHeight="1" x14ac:dyDescent="0.25">
      <c r="A8" s="590" t="s">
        <v>17</v>
      </c>
      <c r="B8" s="489" t="s">
        <v>378</v>
      </c>
      <c r="C8" s="41">
        <v>46768</v>
      </c>
      <c r="D8" s="41">
        <f>46768+586+75+5040-1</f>
        <v>52468</v>
      </c>
      <c r="E8" s="41">
        <f>52468339+110200+289100</f>
        <v>52867639</v>
      </c>
      <c r="F8" s="41">
        <f>52867639+98600+482744+2812727-74627</f>
        <v>56187083</v>
      </c>
      <c r="G8" s="41">
        <f>52867639+98600+482744+2812727-74627+3850000</f>
        <v>60037083</v>
      </c>
      <c r="H8" s="489" t="s">
        <v>177</v>
      </c>
      <c r="I8" s="42">
        <v>23620</v>
      </c>
      <c r="J8" s="42">
        <f>23620+572+129-22</f>
        <v>24299</v>
      </c>
      <c r="K8" s="42">
        <f>24299233+103761+61462+10832+23025+172935+7020+20000+2002+593726-46895-7020</f>
        <v>25240081</v>
      </c>
      <c r="L8" s="42">
        <f>25240081+127170+19076+60575+102340</f>
        <v>25549242</v>
      </c>
      <c r="M8" s="42">
        <f>25240081+127170+19076+60575+102340+64205</f>
        <v>25613447</v>
      </c>
    </row>
    <row r="9" spans="1:13" ht="12.9" customHeight="1" x14ac:dyDescent="0.25">
      <c r="A9" s="590" t="s">
        <v>18</v>
      </c>
      <c r="B9" s="489" t="s">
        <v>399</v>
      </c>
      <c r="C9" s="41"/>
      <c r="D9" s="41"/>
      <c r="E9" s="41"/>
      <c r="F9" s="41"/>
      <c r="G9" s="41"/>
      <c r="H9" s="489" t="s">
        <v>228</v>
      </c>
      <c r="I9" s="42">
        <f>175156+1436</f>
        <v>176592</v>
      </c>
      <c r="J9" s="42">
        <f>176592+281-1210-2+179+2286</f>
        <v>178126</v>
      </c>
      <c r="K9" s="42">
        <f>178126582-280889-1435608+2286000+718947+228600-80000-20000-1000</f>
        <v>179542632</v>
      </c>
      <c r="L9" s="42">
        <f>179542632+457200-302340+380400+150000+762000</f>
        <v>180989892</v>
      </c>
      <c r="M9" s="42">
        <f>179542632+457200-302340+380400+150000+762000+3548000</f>
        <v>184537892</v>
      </c>
    </row>
    <row r="10" spans="1:13" ht="12.9" customHeight="1" x14ac:dyDescent="0.25">
      <c r="A10" s="590" t="s">
        <v>19</v>
      </c>
      <c r="B10" s="489" t="s">
        <v>168</v>
      </c>
      <c r="C10" s="41">
        <v>120530</v>
      </c>
      <c r="D10" s="41">
        <v>120530</v>
      </c>
      <c r="E10" s="41">
        <v>120530000</v>
      </c>
      <c r="F10" s="41">
        <v>120530000</v>
      </c>
      <c r="G10" s="41">
        <f>120530000+5735000</f>
        <v>126265000</v>
      </c>
      <c r="H10" s="489" t="s">
        <v>178</v>
      </c>
      <c r="I10" s="42">
        <v>6014</v>
      </c>
      <c r="J10" s="42">
        <f>6014+7</f>
        <v>6021</v>
      </c>
      <c r="K10" s="42">
        <f>6021600+110200+1020+284480+2050000</f>
        <v>8467300</v>
      </c>
      <c r="L10" s="42">
        <f>8467300+98600+3307500+1055000</f>
        <v>12928400</v>
      </c>
      <c r="M10" s="42">
        <f>8467300+98600+3307500+1055000+1277500</f>
        <v>14205900</v>
      </c>
    </row>
    <row r="11" spans="1:13" ht="12.9" customHeight="1" x14ac:dyDescent="0.25">
      <c r="A11" s="590" t="s">
        <v>20</v>
      </c>
      <c r="B11" s="512" t="s">
        <v>425</v>
      </c>
      <c r="C11" s="41">
        <v>111028</v>
      </c>
      <c r="D11" s="41">
        <f>111028+2286+32</f>
        <v>113346</v>
      </c>
      <c r="E11" s="41">
        <f>113346842+12700000+166000</f>
        <v>126212842</v>
      </c>
      <c r="F11" s="41">
        <f>126212842+127000+457200+380400+16299920</f>
        <v>143477362</v>
      </c>
      <c r="G11" s="41">
        <f>126212842+127000+457200+380400+16299920+3150000+2164583</f>
        <v>148791945</v>
      </c>
      <c r="H11" s="489" t="s">
        <v>179</v>
      </c>
      <c r="I11" s="42">
        <v>110372</v>
      </c>
      <c r="J11" s="42">
        <f>110372+4487+314-3590+1316+2701+15+10-5516-650+2+75+180</f>
        <v>109716</v>
      </c>
      <c r="K11" s="42">
        <f>109715674+15721200+152781+280889+80000+254635-137+707187+72390</f>
        <v>126984619</v>
      </c>
      <c r="L11" s="42">
        <f>126984619+100000+3198+5600000</f>
        <v>132687817</v>
      </c>
      <c r="M11" s="42">
        <f>126984619+100000+3198+5600000-28-900000</f>
        <v>131787789</v>
      </c>
    </row>
    <row r="12" spans="1:13" ht="12.9" customHeight="1" x14ac:dyDescent="0.25">
      <c r="A12" s="590" t="s">
        <v>21</v>
      </c>
      <c r="B12" s="489" t="s">
        <v>379</v>
      </c>
      <c r="C12" s="490"/>
      <c r="D12" s="490">
        <v>50</v>
      </c>
      <c r="E12" s="490">
        <f>50000+100000</f>
        <v>150000</v>
      </c>
      <c r="F12" s="490">
        <f>50000+100000</f>
        <v>150000</v>
      </c>
      <c r="G12" s="490">
        <f>50000+100000</f>
        <v>150000</v>
      </c>
      <c r="H12" s="489" t="s">
        <v>47</v>
      </c>
      <c r="I12" s="42">
        <f>25488+352</f>
        <v>25840</v>
      </c>
      <c r="J12" s="42">
        <f>35235-180-16</f>
        <v>35039</v>
      </c>
      <c r="K12" s="42">
        <f>35037848+342000-914933-2814772+342000+12700000-2286000-718947-228600-1020+100000-50944+166000-108300-254635-14605-125673-4315355-813435-33020+9424+52-360-1+2135-707187-284480-2792676+2428907+220595-2050000-72390+33020</f>
        <v>32794648</v>
      </c>
      <c r="L12" s="42">
        <f>32794648+127000-100000-598170-89726-284925-3198+64140+482744+114000-5600000-495500-3307500-3150000+1373593+2812727-74627-1055000-400000+655828+16339920-150000-762000</f>
        <v>38693954</v>
      </c>
      <c r="M12" s="42">
        <f>32794648+127000-100000-598170-89726-284925-3198+64140+482744+114000-5600000-495500-3307500-3150000+1373593+2812727-74627-1055000-400000+655828+16339920-150000-762000+19200280</f>
        <v>57894234</v>
      </c>
    </row>
    <row r="13" spans="1:13" ht="12.9" customHeight="1" x14ac:dyDescent="0.25">
      <c r="A13" s="590" t="s">
        <v>22</v>
      </c>
      <c r="B13" s="489" t="s">
        <v>488</v>
      </c>
      <c r="C13" s="41"/>
      <c r="D13" s="41"/>
      <c r="E13" s="41"/>
      <c r="F13" s="41"/>
      <c r="G13" s="41"/>
      <c r="H13" s="492"/>
      <c r="I13" s="42"/>
      <c r="J13" s="42"/>
      <c r="K13" s="42"/>
      <c r="L13" s="42"/>
      <c r="M13" s="42"/>
    </row>
    <row r="14" spans="1:13" ht="12.9" customHeight="1" x14ac:dyDescent="0.25">
      <c r="A14" s="590" t="s">
        <v>23</v>
      </c>
      <c r="B14" s="492"/>
      <c r="C14" s="41"/>
      <c r="D14" s="41"/>
      <c r="E14" s="41"/>
      <c r="F14" s="41"/>
      <c r="G14" s="41"/>
      <c r="H14" s="492"/>
      <c r="I14" s="42"/>
      <c r="J14" s="42"/>
      <c r="K14" s="42"/>
      <c r="L14" s="42"/>
      <c r="M14" s="42"/>
    </row>
    <row r="15" spans="1:13" ht="12.9" customHeight="1" x14ac:dyDescent="0.25">
      <c r="A15" s="590" t="s">
        <v>24</v>
      </c>
      <c r="B15" s="513"/>
      <c r="C15" s="490"/>
      <c r="D15" s="490"/>
      <c r="E15" s="490"/>
      <c r="F15" s="490"/>
      <c r="G15" s="490"/>
      <c r="H15" s="492"/>
      <c r="I15" s="42"/>
      <c r="J15" s="42"/>
      <c r="K15" s="42"/>
      <c r="L15" s="42"/>
      <c r="M15" s="42"/>
    </row>
    <row r="16" spans="1:13" ht="12.9" customHeight="1" x14ac:dyDescent="0.25">
      <c r="A16" s="590" t="s">
        <v>25</v>
      </c>
      <c r="B16" s="492"/>
      <c r="C16" s="41"/>
      <c r="D16" s="41"/>
      <c r="E16" s="41"/>
      <c r="F16" s="41"/>
      <c r="G16" s="41"/>
      <c r="H16" s="492"/>
      <c r="I16" s="42"/>
      <c r="J16" s="42"/>
      <c r="K16" s="42"/>
      <c r="L16" s="42"/>
      <c r="M16" s="42"/>
    </row>
    <row r="17" spans="1:13" ht="12.9" customHeight="1" x14ac:dyDescent="0.25">
      <c r="A17" s="590" t="s">
        <v>26</v>
      </c>
      <c r="B17" s="492"/>
      <c r="C17" s="41"/>
      <c r="D17" s="41"/>
      <c r="E17" s="41"/>
      <c r="F17" s="41"/>
      <c r="G17" s="41"/>
      <c r="H17" s="492"/>
      <c r="I17" s="42"/>
      <c r="J17" s="42"/>
      <c r="K17" s="42"/>
      <c r="L17" s="42"/>
      <c r="M17" s="42"/>
    </row>
    <row r="18" spans="1:13" ht="12.9" customHeight="1" thickBot="1" x14ac:dyDescent="0.3">
      <c r="A18" s="590" t="s">
        <v>27</v>
      </c>
      <c r="B18" s="514"/>
      <c r="C18" s="515"/>
      <c r="D18" s="515"/>
      <c r="E18" s="515"/>
      <c r="F18" s="515"/>
      <c r="G18" s="515"/>
      <c r="H18" s="492"/>
      <c r="I18" s="516"/>
      <c r="J18" s="516"/>
      <c r="K18" s="516"/>
      <c r="L18" s="516"/>
      <c r="M18" s="516"/>
    </row>
    <row r="19" spans="1:13" ht="15.9" customHeight="1" thickBot="1" x14ac:dyDescent="0.3">
      <c r="A19" s="497" t="s">
        <v>28</v>
      </c>
      <c r="B19" s="498" t="s">
        <v>489</v>
      </c>
      <c r="C19" s="499">
        <f>SUM(C7:C18)</f>
        <v>499052</v>
      </c>
      <c r="D19" s="499">
        <f>SUM(D7:D18)</f>
        <v>509078</v>
      </c>
      <c r="E19" s="499">
        <f>SUM(E7:E18)</f>
        <v>538673576</v>
      </c>
      <c r="F19" s="499">
        <f>SUM(F7:F18)</f>
        <v>561465101</v>
      </c>
      <c r="G19" s="499">
        <f>SUM(G7:G18)</f>
        <v>577547358</v>
      </c>
      <c r="H19" s="498" t="s">
        <v>385</v>
      </c>
      <c r="I19" s="191">
        <f>SUM(I7:I18)</f>
        <v>415482</v>
      </c>
      <c r="J19" s="191">
        <f>SUM(J7:J18)</f>
        <v>431203</v>
      </c>
      <c r="K19" s="191">
        <f>SUM(K7:K18)</f>
        <v>454431843</v>
      </c>
      <c r="L19" s="191">
        <f>SUM(L7:L18)</f>
        <v>473217868</v>
      </c>
      <c r="M19" s="191">
        <f>SUM(M7:M18)</f>
        <v>496645620</v>
      </c>
    </row>
    <row r="20" spans="1:13" ht="12.9" customHeight="1" x14ac:dyDescent="0.25">
      <c r="A20" s="591" t="s">
        <v>29</v>
      </c>
      <c r="B20" s="496" t="s">
        <v>382</v>
      </c>
      <c r="C20" s="517">
        <f>+C21+C22+C23+C24</f>
        <v>77433</v>
      </c>
      <c r="D20" s="517">
        <f>+D21+D22+D23+D24</f>
        <v>82667</v>
      </c>
      <c r="E20" s="517">
        <f>+E21+E22+E23+E24</f>
        <v>78425302</v>
      </c>
      <c r="F20" s="517">
        <f>+F21+F22+F23+F24</f>
        <v>74419802</v>
      </c>
      <c r="G20" s="517">
        <f>+G21+G22+G23+G24</f>
        <v>81717008</v>
      </c>
      <c r="H20" s="489" t="s">
        <v>185</v>
      </c>
      <c r="I20" s="192"/>
      <c r="J20" s="192"/>
      <c r="K20" s="192"/>
      <c r="L20" s="192"/>
      <c r="M20" s="192"/>
    </row>
    <row r="21" spans="1:13" ht="12.9" customHeight="1" x14ac:dyDescent="0.25">
      <c r="A21" s="590" t="s">
        <v>30</v>
      </c>
      <c r="B21" s="489" t="s">
        <v>220</v>
      </c>
      <c r="C21" s="41">
        <f>159250-81817</f>
        <v>77433</v>
      </c>
      <c r="D21" s="41">
        <v>82667</v>
      </c>
      <c r="E21" s="41">
        <f>82666619-1435608-2814772+9424-360-1</f>
        <v>78425302</v>
      </c>
      <c r="F21" s="41">
        <f>82666619-1435608-2814772+9424-360-1-495500-3150000-400000+40000</f>
        <v>74419802</v>
      </c>
      <c r="G21" s="41">
        <f>82666619-1435608-2814772+9424-360-1-495500-3150000-400000+40000-480000</f>
        <v>73939802</v>
      </c>
      <c r="H21" s="489" t="s">
        <v>384</v>
      </c>
      <c r="I21" s="42"/>
      <c r="J21" s="42"/>
      <c r="K21" s="42"/>
      <c r="L21" s="42"/>
      <c r="M21" s="42"/>
    </row>
    <row r="22" spans="1:13" ht="12.9" customHeight="1" x14ac:dyDescent="0.25">
      <c r="A22" s="590" t="s">
        <v>31</v>
      </c>
      <c r="B22" s="489" t="s">
        <v>221</v>
      </c>
      <c r="C22" s="41"/>
      <c r="D22" s="41"/>
      <c r="E22" s="41"/>
      <c r="F22" s="41"/>
      <c r="G22" s="41"/>
      <c r="H22" s="489" t="s">
        <v>150</v>
      </c>
      <c r="I22" s="42"/>
      <c r="J22" s="42"/>
      <c r="K22" s="42"/>
      <c r="L22" s="42"/>
      <c r="M22" s="42"/>
    </row>
    <row r="23" spans="1:13" ht="12.9" customHeight="1" x14ac:dyDescent="0.25">
      <c r="A23" s="590" t="s">
        <v>32</v>
      </c>
      <c r="B23" s="489" t="s">
        <v>226</v>
      </c>
      <c r="C23" s="41"/>
      <c r="D23" s="41"/>
      <c r="E23" s="41"/>
      <c r="F23" s="41"/>
      <c r="G23" s="41"/>
      <c r="H23" s="489" t="s">
        <v>151</v>
      </c>
      <c r="I23" s="42"/>
      <c r="J23" s="42"/>
      <c r="K23" s="42"/>
      <c r="L23" s="42"/>
      <c r="M23" s="42"/>
    </row>
    <row r="24" spans="1:13" ht="12.9" customHeight="1" x14ac:dyDescent="0.25">
      <c r="A24" s="590" t="s">
        <v>33</v>
      </c>
      <c r="B24" s="489" t="s">
        <v>227</v>
      </c>
      <c r="C24" s="41"/>
      <c r="D24" s="41"/>
      <c r="E24" s="41"/>
      <c r="F24" s="41"/>
      <c r="G24" s="41">
        <v>7777206</v>
      </c>
      <c r="H24" s="496" t="s">
        <v>229</v>
      </c>
      <c r="I24" s="42"/>
      <c r="J24" s="42"/>
      <c r="K24" s="42"/>
      <c r="L24" s="42"/>
      <c r="M24" s="42"/>
    </row>
    <row r="25" spans="1:13" ht="12.9" customHeight="1" x14ac:dyDescent="0.25">
      <c r="A25" s="590" t="s">
        <v>34</v>
      </c>
      <c r="B25" s="489" t="s">
        <v>383</v>
      </c>
      <c r="C25" s="505">
        <f>+C26+C27</f>
        <v>0</v>
      </c>
      <c r="D25" s="505">
        <f>+D26+D27</f>
        <v>0</v>
      </c>
      <c r="E25" s="505">
        <f>+E26+E27</f>
        <v>0</v>
      </c>
      <c r="F25" s="505">
        <f>+F26+F27</f>
        <v>0</v>
      </c>
      <c r="G25" s="505">
        <f>+G26+G27</f>
        <v>0</v>
      </c>
      <c r="H25" s="489" t="s">
        <v>186</v>
      </c>
      <c r="I25" s="42"/>
      <c r="J25" s="42"/>
      <c r="K25" s="42"/>
      <c r="L25" s="42"/>
      <c r="M25" s="42"/>
    </row>
    <row r="26" spans="1:13" ht="12.9" customHeight="1" x14ac:dyDescent="0.25">
      <c r="A26" s="591" t="s">
        <v>35</v>
      </c>
      <c r="B26" s="496" t="s">
        <v>380</v>
      </c>
      <c r="C26" s="518"/>
      <c r="D26" s="518"/>
      <c r="E26" s="518"/>
      <c r="F26" s="518"/>
      <c r="G26" s="518"/>
      <c r="H26" s="487" t="s">
        <v>471</v>
      </c>
      <c r="I26" s="192"/>
      <c r="J26" s="192"/>
      <c r="K26" s="192"/>
      <c r="L26" s="192"/>
      <c r="M26" s="192"/>
    </row>
    <row r="27" spans="1:13" ht="12.9" customHeight="1" x14ac:dyDescent="0.25">
      <c r="A27" s="590" t="s">
        <v>36</v>
      </c>
      <c r="B27" s="489" t="s">
        <v>381</v>
      </c>
      <c r="C27" s="41"/>
      <c r="D27" s="41"/>
      <c r="E27" s="41"/>
      <c r="F27" s="41"/>
      <c r="G27" s="41"/>
      <c r="H27" s="489" t="s">
        <v>477</v>
      </c>
      <c r="I27" s="42"/>
      <c r="J27" s="42"/>
      <c r="K27" s="42"/>
      <c r="L27" s="42"/>
      <c r="M27" s="42"/>
    </row>
    <row r="28" spans="1:13" ht="12.9" customHeight="1" x14ac:dyDescent="0.25">
      <c r="A28" s="590" t="s">
        <v>37</v>
      </c>
      <c r="B28" s="489" t="s">
        <v>482</v>
      </c>
      <c r="C28" s="41"/>
      <c r="D28" s="41"/>
      <c r="E28" s="41"/>
      <c r="F28" s="41"/>
      <c r="G28" s="41"/>
      <c r="H28" s="489" t="s">
        <v>599</v>
      </c>
      <c r="I28" s="42">
        <v>8111</v>
      </c>
      <c r="J28" s="42">
        <v>8111</v>
      </c>
      <c r="K28" s="42">
        <v>8111444</v>
      </c>
      <c r="L28" s="42">
        <v>8111444</v>
      </c>
      <c r="M28" s="42">
        <v>8111444</v>
      </c>
    </row>
    <row r="29" spans="1:13" ht="12.9" customHeight="1" thickBot="1" x14ac:dyDescent="0.3">
      <c r="A29" s="591" t="s">
        <v>38</v>
      </c>
      <c r="B29" s="496" t="s">
        <v>338</v>
      </c>
      <c r="C29" s="518"/>
      <c r="D29" s="518"/>
      <c r="E29" s="518"/>
      <c r="F29" s="518"/>
      <c r="G29" s="518"/>
      <c r="H29" s="494" t="s">
        <v>553</v>
      </c>
      <c r="I29" s="192">
        <v>152892</v>
      </c>
      <c r="J29" s="192">
        <f>152892-461</f>
        <v>152431</v>
      </c>
      <c r="K29" s="192">
        <f>152431000+8763+89154+14605+125673+4315355-52-2428907</f>
        <v>154555591</v>
      </c>
      <c r="L29" s="192">
        <f>152431000+8763+89154+14605+125673+4315355-52-2428907</f>
        <v>154555591</v>
      </c>
      <c r="M29" s="192">
        <f>152431000+8763+89154+14605+125673+4315355-52-2428907-48289</f>
        <v>154507302</v>
      </c>
    </row>
    <row r="30" spans="1:13" ht="15.9" customHeight="1" thickBot="1" x14ac:dyDescent="0.3">
      <c r="A30" s="497" t="s">
        <v>39</v>
      </c>
      <c r="B30" s="498" t="s">
        <v>490</v>
      </c>
      <c r="C30" s="499">
        <f>+C20+C25+C28+C29</f>
        <v>77433</v>
      </c>
      <c r="D30" s="499">
        <f>+D20+D25+D28+D29</f>
        <v>82667</v>
      </c>
      <c r="E30" s="499">
        <f>+E20+E25+E28+E29</f>
        <v>78425302</v>
      </c>
      <c r="F30" s="499">
        <f>+F20+F25+F28+F29</f>
        <v>74419802</v>
      </c>
      <c r="G30" s="499">
        <f>+G20+G25+G28+G29</f>
        <v>81717008</v>
      </c>
      <c r="H30" s="498" t="s">
        <v>492</v>
      </c>
      <c r="I30" s="191">
        <f>SUM(I20:I29)</f>
        <v>161003</v>
      </c>
      <c r="J30" s="191">
        <f>SUM(J20:J29)</f>
        <v>160542</v>
      </c>
      <c r="K30" s="191">
        <f>SUM(K20:K29)</f>
        <v>162667035</v>
      </c>
      <c r="L30" s="191">
        <f>SUM(L20:L29)</f>
        <v>162667035</v>
      </c>
      <c r="M30" s="191">
        <f>SUM(M20:M29)</f>
        <v>162618746</v>
      </c>
    </row>
    <row r="31" spans="1:13" ht="13.8" thickBot="1" x14ac:dyDescent="0.3">
      <c r="A31" s="497" t="s">
        <v>40</v>
      </c>
      <c r="B31" s="509" t="s">
        <v>491</v>
      </c>
      <c r="C31" s="510">
        <f>+C19+C30</f>
        <v>576485</v>
      </c>
      <c r="D31" s="510">
        <f>+D19+D30</f>
        <v>591745</v>
      </c>
      <c r="E31" s="510">
        <f>E19+E30</f>
        <v>617098878</v>
      </c>
      <c r="F31" s="510">
        <f>F19+F30</f>
        <v>635884903</v>
      </c>
      <c r="G31" s="510">
        <f>G19+G30</f>
        <v>659264366</v>
      </c>
      <c r="H31" s="509" t="s">
        <v>493</v>
      </c>
      <c r="I31" s="510">
        <f>+I19+I30</f>
        <v>576485</v>
      </c>
      <c r="J31" s="510">
        <f>+J19+J30</f>
        <v>591745</v>
      </c>
      <c r="K31" s="510">
        <f>+K19+K30</f>
        <v>617098878</v>
      </c>
      <c r="L31" s="510">
        <f>+L19+L30</f>
        <v>635884903</v>
      </c>
      <c r="M31" s="510">
        <f>+M19+M30</f>
        <v>659264366</v>
      </c>
    </row>
    <row r="32" spans="1:13" ht="13.8" thickBot="1" x14ac:dyDescent="0.3">
      <c r="A32" s="497" t="s">
        <v>41</v>
      </c>
      <c r="B32" s="509" t="s">
        <v>163</v>
      </c>
      <c r="C32" s="510"/>
      <c r="D32" s="510"/>
      <c r="E32" s="510"/>
      <c r="F32" s="510"/>
      <c r="G32" s="510"/>
      <c r="H32" s="509" t="s">
        <v>164</v>
      </c>
      <c r="I32" s="510"/>
      <c r="J32" s="510"/>
      <c r="K32" s="510"/>
      <c r="L32" s="510"/>
      <c r="M32" s="510"/>
    </row>
    <row r="33" spans="1:13" ht="13.8" thickBot="1" x14ac:dyDescent="0.3">
      <c r="A33" s="497" t="s">
        <v>42</v>
      </c>
      <c r="B33" s="509" t="s">
        <v>230</v>
      </c>
      <c r="C33" s="510"/>
      <c r="D33" s="510"/>
      <c r="E33" s="510"/>
      <c r="F33" s="510"/>
      <c r="G33" s="510"/>
      <c r="H33" s="509" t="s">
        <v>231</v>
      </c>
      <c r="I33" s="510"/>
      <c r="J33" s="510"/>
      <c r="K33" s="510"/>
      <c r="L33" s="510"/>
      <c r="M33" s="510"/>
    </row>
    <row r="34" spans="1:13" ht="17.399999999999999" x14ac:dyDescent="0.25">
      <c r="B34" s="679"/>
      <c r="C34" s="679"/>
      <c r="D34" s="679"/>
      <c r="E34" s="679"/>
      <c r="F34" s="679"/>
      <c r="G34" s="679"/>
      <c r="H34" s="679"/>
    </row>
  </sheetData>
  <mergeCells count="3">
    <mergeCell ref="A4:A5"/>
    <mergeCell ref="B34:H34"/>
    <mergeCell ref="H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0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M34"/>
  <sheetViews>
    <sheetView topLeftCell="C13" zoomScaleNormal="100" zoomScaleSheetLayoutView="115" workbookViewId="0">
      <selection activeCell="H39" sqref="H39"/>
    </sheetView>
  </sheetViews>
  <sheetFormatPr defaultColWidth="9.33203125" defaultRowHeight="13.2" x14ac:dyDescent="0.25"/>
  <cols>
    <col min="1" max="1" width="6.77734375" style="575" customWidth="1"/>
    <col min="2" max="2" width="55.109375" style="576" customWidth="1"/>
    <col min="3" max="7" width="16.33203125" style="575" customWidth="1"/>
    <col min="8" max="8" width="55.109375" style="575" customWidth="1"/>
    <col min="9" max="13" width="16.33203125" style="575" customWidth="1"/>
    <col min="14" max="16384" width="9.33203125" style="575"/>
  </cols>
  <sheetData>
    <row r="1" spans="1:13" ht="19.5" customHeight="1" x14ac:dyDescent="0.25">
      <c r="B1" s="575"/>
      <c r="H1" s="479" t="s">
        <v>715</v>
      </c>
      <c r="I1" s="479"/>
      <c r="J1" s="479"/>
      <c r="K1" s="479"/>
      <c r="L1" s="479"/>
      <c r="M1" s="479"/>
    </row>
    <row r="2" spans="1:13" ht="31.5" customHeight="1" x14ac:dyDescent="0.25">
      <c r="B2" s="480" t="s">
        <v>153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</row>
    <row r="3" spans="1:13" ht="14.4" thickBot="1" x14ac:dyDescent="0.3">
      <c r="I3" s="481" t="s">
        <v>606</v>
      </c>
      <c r="J3" s="481" t="s">
        <v>606</v>
      </c>
      <c r="K3" s="481" t="s">
        <v>615</v>
      </c>
      <c r="L3" s="481" t="s">
        <v>615</v>
      </c>
      <c r="M3" s="481" t="s">
        <v>615</v>
      </c>
    </row>
    <row r="4" spans="1:13" ht="13.8" thickBot="1" x14ac:dyDescent="0.3">
      <c r="A4" s="681" t="s">
        <v>67</v>
      </c>
      <c r="B4" s="482" t="s">
        <v>54</v>
      </c>
      <c r="C4" s="483"/>
      <c r="D4" s="483"/>
      <c r="E4" s="483"/>
      <c r="F4" s="483"/>
      <c r="G4" s="483"/>
      <c r="H4" s="482" t="s">
        <v>55</v>
      </c>
      <c r="I4" s="484"/>
      <c r="J4" s="484"/>
      <c r="K4" s="484"/>
      <c r="L4" s="484"/>
      <c r="M4" s="484"/>
    </row>
    <row r="5" spans="1:13" s="485" customFormat="1" ht="23.4" thickBot="1" x14ac:dyDescent="0.3">
      <c r="A5" s="682"/>
      <c r="B5" s="420" t="s">
        <v>59</v>
      </c>
      <c r="C5" s="524" t="s">
        <v>638</v>
      </c>
      <c r="D5" s="524" t="s">
        <v>681</v>
      </c>
      <c r="E5" s="524" t="s">
        <v>699</v>
      </c>
      <c r="F5" s="524" t="s">
        <v>710</v>
      </c>
      <c r="G5" s="524" t="s">
        <v>723</v>
      </c>
      <c r="H5" s="420" t="s">
        <v>59</v>
      </c>
      <c r="I5" s="524" t="s">
        <v>638</v>
      </c>
      <c r="J5" s="524" t="s">
        <v>681</v>
      </c>
      <c r="K5" s="524" t="s">
        <v>699</v>
      </c>
      <c r="L5" s="524" t="s">
        <v>710</v>
      </c>
      <c r="M5" s="524" t="s">
        <v>723</v>
      </c>
    </row>
    <row r="6" spans="1:13" s="485" customFormat="1" ht="13.8" thickBot="1" x14ac:dyDescent="0.3">
      <c r="A6" s="193" t="s">
        <v>494</v>
      </c>
      <c r="B6" s="194" t="s">
        <v>495</v>
      </c>
      <c r="C6" s="486" t="s">
        <v>496</v>
      </c>
      <c r="D6" s="486" t="s">
        <v>496</v>
      </c>
      <c r="E6" s="486" t="s">
        <v>496</v>
      </c>
      <c r="F6" s="486" t="s">
        <v>496</v>
      </c>
      <c r="G6" s="486" t="s">
        <v>496</v>
      </c>
      <c r="H6" s="194" t="s">
        <v>498</v>
      </c>
      <c r="I6" s="195" t="s">
        <v>497</v>
      </c>
      <c r="J6" s="195" t="s">
        <v>497</v>
      </c>
      <c r="K6" s="195" t="s">
        <v>497</v>
      </c>
      <c r="L6" s="195" t="s">
        <v>497</v>
      </c>
      <c r="M6" s="195" t="s">
        <v>497</v>
      </c>
    </row>
    <row r="7" spans="1:13" ht="12.9" customHeight="1" x14ac:dyDescent="0.25">
      <c r="A7" s="589" t="s">
        <v>16</v>
      </c>
      <c r="B7" s="487" t="s">
        <v>386</v>
      </c>
      <c r="C7" s="488"/>
      <c r="D7" s="488"/>
      <c r="E7" s="488"/>
      <c r="F7" s="488"/>
      <c r="G7" s="488">
        <v>43811784</v>
      </c>
      <c r="H7" s="487" t="s">
        <v>222</v>
      </c>
      <c r="I7" s="39">
        <f>64633+300+4700</f>
        <v>69633</v>
      </c>
      <c r="J7" s="39">
        <f>69633+1210+8522+270-1</f>
        <v>79634</v>
      </c>
      <c r="K7" s="39">
        <f>79634032+1435608+2814772+1</f>
        <v>83884413</v>
      </c>
      <c r="L7" s="39">
        <f>83884413+495500+3150000</f>
        <v>87529913</v>
      </c>
      <c r="M7" s="39">
        <f>83884413+495500+3150000+480000</f>
        <v>88009913</v>
      </c>
    </row>
    <row r="8" spans="1:13" x14ac:dyDescent="0.25">
      <c r="A8" s="590" t="s">
        <v>17</v>
      </c>
      <c r="B8" s="489" t="s">
        <v>387</v>
      </c>
      <c r="C8" s="41"/>
      <c r="D8" s="41"/>
      <c r="E8" s="41"/>
      <c r="F8" s="41"/>
      <c r="G8" s="41"/>
      <c r="H8" s="489" t="s">
        <v>392</v>
      </c>
      <c r="I8" s="42"/>
      <c r="J8" s="42"/>
      <c r="K8" s="42"/>
      <c r="L8" s="42"/>
      <c r="M8" s="42"/>
    </row>
    <row r="9" spans="1:13" ht="12.9" customHeight="1" x14ac:dyDescent="0.25">
      <c r="A9" s="590" t="s">
        <v>18</v>
      </c>
      <c r="B9" s="489" t="s">
        <v>10</v>
      </c>
      <c r="C9" s="41">
        <v>397</v>
      </c>
      <c r="D9" s="41">
        <v>397</v>
      </c>
      <c r="E9" s="41">
        <f>396576+9424</f>
        <v>406000</v>
      </c>
      <c r="F9" s="41">
        <f>406000+40000</f>
        <v>446000</v>
      </c>
      <c r="G9" s="41">
        <f>406000+40000</f>
        <v>446000</v>
      </c>
      <c r="H9" s="489" t="s">
        <v>181</v>
      </c>
      <c r="I9" s="42">
        <f>19881-5000</f>
        <v>14881</v>
      </c>
      <c r="J9" s="42">
        <f>19881-5000-8522</f>
        <v>6359</v>
      </c>
      <c r="K9" s="42">
        <v>6358626</v>
      </c>
      <c r="L9" s="42">
        <v>6358626</v>
      </c>
      <c r="M9" s="42">
        <f>6358626+43811784</f>
        <v>50170410</v>
      </c>
    </row>
    <row r="10" spans="1:13" ht="12.9" customHeight="1" x14ac:dyDescent="0.25">
      <c r="A10" s="590" t="s">
        <v>19</v>
      </c>
      <c r="B10" s="489" t="s">
        <v>388</v>
      </c>
      <c r="C10" s="41">
        <v>4700</v>
      </c>
      <c r="D10" s="41">
        <v>4700</v>
      </c>
      <c r="E10" s="41">
        <v>4700000</v>
      </c>
      <c r="F10" s="41">
        <v>4700000</v>
      </c>
      <c r="G10" s="41">
        <v>4700000</v>
      </c>
      <c r="H10" s="489" t="s">
        <v>393</v>
      </c>
      <c r="I10" s="42"/>
      <c r="J10" s="42"/>
      <c r="K10" s="42"/>
      <c r="L10" s="42"/>
      <c r="M10" s="42"/>
    </row>
    <row r="11" spans="1:13" ht="12.75" customHeight="1" x14ac:dyDescent="0.25">
      <c r="A11" s="590" t="s">
        <v>20</v>
      </c>
      <c r="B11" s="489" t="s">
        <v>389</v>
      </c>
      <c r="C11" s="41"/>
      <c r="D11" s="41"/>
      <c r="E11" s="41"/>
      <c r="F11" s="41"/>
      <c r="G11" s="41"/>
      <c r="H11" s="489" t="s">
        <v>225</v>
      </c>
      <c r="I11" s="42">
        <v>2400</v>
      </c>
      <c r="J11" s="42">
        <f>2400+5516+650</f>
        <v>8566</v>
      </c>
      <c r="K11" s="42">
        <v>8565833</v>
      </c>
      <c r="L11" s="42">
        <f>8565833+400000</f>
        <v>8965833</v>
      </c>
      <c r="M11" s="42">
        <f>8565833+400000</f>
        <v>8965833</v>
      </c>
    </row>
    <row r="12" spans="1:13" ht="12.9" customHeight="1" x14ac:dyDescent="0.25">
      <c r="A12" s="590" t="s">
        <v>21</v>
      </c>
      <c r="B12" s="489" t="s">
        <v>390</v>
      </c>
      <c r="C12" s="490"/>
      <c r="D12" s="490"/>
      <c r="E12" s="490"/>
      <c r="F12" s="490"/>
      <c r="G12" s="490">
        <v>3150000</v>
      </c>
      <c r="H12" s="491"/>
      <c r="I12" s="42"/>
      <c r="J12" s="42"/>
      <c r="K12" s="42"/>
      <c r="L12" s="42"/>
      <c r="M12" s="42"/>
    </row>
    <row r="13" spans="1:13" ht="12.9" customHeight="1" x14ac:dyDescent="0.25">
      <c r="A13" s="590" t="s">
        <v>22</v>
      </c>
      <c r="B13" s="492"/>
      <c r="C13" s="41"/>
      <c r="D13" s="41"/>
      <c r="E13" s="41"/>
      <c r="F13" s="41"/>
      <c r="G13" s="41"/>
      <c r="H13" s="491"/>
      <c r="I13" s="42"/>
      <c r="J13" s="42"/>
      <c r="K13" s="42"/>
      <c r="L13" s="42"/>
      <c r="M13" s="42"/>
    </row>
    <row r="14" spans="1:13" ht="12.9" customHeight="1" x14ac:dyDescent="0.25">
      <c r="A14" s="590" t="s">
        <v>23</v>
      </c>
      <c r="B14" s="492"/>
      <c r="C14" s="41"/>
      <c r="D14" s="41"/>
      <c r="E14" s="41"/>
      <c r="F14" s="41"/>
      <c r="G14" s="41"/>
      <c r="H14" s="491"/>
      <c r="I14" s="42"/>
      <c r="J14" s="42"/>
      <c r="K14" s="42"/>
      <c r="L14" s="42"/>
      <c r="M14" s="42"/>
    </row>
    <row r="15" spans="1:13" ht="12.9" customHeight="1" x14ac:dyDescent="0.25">
      <c r="A15" s="590" t="s">
        <v>24</v>
      </c>
      <c r="B15" s="493"/>
      <c r="C15" s="490"/>
      <c r="D15" s="490"/>
      <c r="E15" s="490"/>
      <c r="F15" s="490"/>
      <c r="G15" s="490"/>
      <c r="H15" s="491"/>
      <c r="I15" s="42"/>
      <c r="J15" s="42"/>
      <c r="K15" s="42"/>
      <c r="L15" s="42"/>
      <c r="M15" s="42"/>
    </row>
    <row r="16" spans="1:13" x14ac:dyDescent="0.25">
      <c r="A16" s="590" t="s">
        <v>25</v>
      </c>
      <c r="B16" s="492"/>
      <c r="C16" s="490"/>
      <c r="D16" s="490"/>
      <c r="E16" s="490"/>
      <c r="F16" s="490"/>
      <c r="G16" s="490"/>
      <c r="H16" s="491"/>
      <c r="I16" s="42"/>
      <c r="J16" s="42"/>
      <c r="K16" s="42"/>
      <c r="L16" s="42"/>
      <c r="M16" s="42"/>
    </row>
    <row r="17" spans="1:13" ht="12.9" customHeight="1" thickBot="1" x14ac:dyDescent="0.3">
      <c r="A17" s="591" t="s">
        <v>26</v>
      </c>
      <c r="B17" s="494"/>
      <c r="C17" s="495"/>
      <c r="D17" s="495"/>
      <c r="E17" s="495"/>
      <c r="F17" s="495"/>
      <c r="G17" s="495"/>
      <c r="H17" s="496" t="s">
        <v>47</v>
      </c>
      <c r="I17" s="192"/>
      <c r="J17" s="192"/>
      <c r="K17" s="192"/>
      <c r="L17" s="192"/>
      <c r="M17" s="192"/>
    </row>
    <row r="18" spans="1:13" ht="15.9" customHeight="1" thickBot="1" x14ac:dyDescent="0.3">
      <c r="A18" s="497" t="s">
        <v>27</v>
      </c>
      <c r="B18" s="498" t="s">
        <v>400</v>
      </c>
      <c r="C18" s="499">
        <f>+C7+C9+C10+C12+C13+C14+C15+C16+C17</f>
        <v>5097</v>
      </c>
      <c r="D18" s="499">
        <f>+D7+D9+D10+D12+D13+D14+D15+D16+D17</f>
        <v>5097</v>
      </c>
      <c r="E18" s="499">
        <f>+E7+E9+E10+E12+E13+E14+E15+E16+E17</f>
        <v>5106000</v>
      </c>
      <c r="F18" s="499">
        <f>+F7+F9+F10+F12+F13+F14+F15+F16+F17</f>
        <v>5146000</v>
      </c>
      <c r="G18" s="499">
        <f>+G7+G9+G10+G12+G13+G14+G15+G16+G17</f>
        <v>52107784</v>
      </c>
      <c r="H18" s="498" t="s">
        <v>401</v>
      </c>
      <c r="I18" s="191">
        <f>+I7+I9+I11+I12+I13+I14+I15+I16+I17</f>
        <v>86914</v>
      </c>
      <c r="J18" s="191">
        <f>+J7+J9+J11+J12+J13+J14+J15+J16+J17</f>
        <v>94559</v>
      </c>
      <c r="K18" s="191">
        <f>+K7+K9+K11+K12+K13+K14+K15+K16+K17</f>
        <v>98808872</v>
      </c>
      <c r="L18" s="191">
        <f>+L7+L9+L11+L12+L13+L14+L15+L16+L17</f>
        <v>102854372</v>
      </c>
      <c r="M18" s="191">
        <f>+M7+M9+M11+M12+M13+M14+M15+M16+M17</f>
        <v>147146156</v>
      </c>
    </row>
    <row r="19" spans="1:13" ht="12.9" customHeight="1" x14ac:dyDescent="0.25">
      <c r="A19" s="589" t="s">
        <v>28</v>
      </c>
      <c r="B19" s="500" t="s">
        <v>243</v>
      </c>
      <c r="C19" s="501">
        <f>+C20+C21+C22+C23+C24</f>
        <v>81817</v>
      </c>
      <c r="D19" s="501">
        <f>+D20+D21+D22+D23+D24</f>
        <v>89462</v>
      </c>
      <c r="E19" s="501">
        <f>+E20+E21+E22+E23+E24</f>
        <v>93702872</v>
      </c>
      <c r="F19" s="501">
        <f>+F20+F21+F22+F23+F24</f>
        <v>97708372</v>
      </c>
      <c r="G19" s="501">
        <f>+G20+G21+G22+G23+G24</f>
        <v>95038372</v>
      </c>
      <c r="H19" s="489" t="s">
        <v>185</v>
      </c>
      <c r="I19" s="39"/>
      <c r="J19" s="39"/>
      <c r="K19" s="39"/>
      <c r="L19" s="39"/>
      <c r="M19" s="39"/>
    </row>
    <row r="20" spans="1:13" ht="12.9" customHeight="1" x14ac:dyDescent="0.25">
      <c r="A20" s="590" t="s">
        <v>29</v>
      </c>
      <c r="B20" s="502" t="s">
        <v>232</v>
      </c>
      <c r="C20" s="41">
        <v>81817</v>
      </c>
      <c r="D20" s="41">
        <v>89462</v>
      </c>
      <c r="E20" s="41">
        <f>89461915+1435608+2814772-9424+1</f>
        <v>93702872</v>
      </c>
      <c r="F20" s="41">
        <f>89461915+1435608+2814772-9424+1+495500+3150000+400000-40000</f>
        <v>97708372</v>
      </c>
      <c r="G20" s="41">
        <f>89461915+1435608+2814772-9424+1+495500+3150000+400000-40000-2670000</f>
        <v>95038372</v>
      </c>
      <c r="H20" s="489" t="s">
        <v>188</v>
      </c>
      <c r="I20" s="42"/>
      <c r="J20" s="42"/>
      <c r="K20" s="42"/>
      <c r="L20" s="42"/>
      <c r="M20" s="42"/>
    </row>
    <row r="21" spans="1:13" ht="12.9" customHeight="1" x14ac:dyDescent="0.25">
      <c r="A21" s="589" t="s">
        <v>30</v>
      </c>
      <c r="B21" s="502" t="s">
        <v>233</v>
      </c>
      <c r="C21" s="41"/>
      <c r="D21" s="41"/>
      <c r="E21" s="41"/>
      <c r="F21" s="41"/>
      <c r="G21" s="41"/>
      <c r="H21" s="489" t="s">
        <v>150</v>
      </c>
      <c r="I21" s="42"/>
      <c r="J21" s="42"/>
      <c r="K21" s="42"/>
      <c r="L21" s="42"/>
      <c r="M21" s="42"/>
    </row>
    <row r="22" spans="1:13" ht="12.9" customHeight="1" x14ac:dyDescent="0.25">
      <c r="A22" s="590" t="s">
        <v>31</v>
      </c>
      <c r="B22" s="502" t="s">
        <v>234</v>
      </c>
      <c r="C22" s="41"/>
      <c r="D22" s="41"/>
      <c r="E22" s="41"/>
      <c r="F22" s="41"/>
      <c r="G22" s="41"/>
      <c r="H22" s="489" t="s">
        <v>151</v>
      </c>
      <c r="I22" s="42"/>
      <c r="J22" s="42"/>
      <c r="K22" s="42"/>
      <c r="L22" s="42"/>
      <c r="M22" s="42"/>
    </row>
    <row r="23" spans="1:13" ht="12.9" customHeight="1" x14ac:dyDescent="0.25">
      <c r="A23" s="589" t="s">
        <v>32</v>
      </c>
      <c r="B23" s="502" t="s">
        <v>235</v>
      </c>
      <c r="C23" s="41"/>
      <c r="D23" s="41"/>
      <c r="E23" s="41"/>
      <c r="F23" s="41"/>
      <c r="G23" s="41"/>
      <c r="H23" s="496" t="s">
        <v>229</v>
      </c>
      <c r="I23" s="42"/>
      <c r="J23" s="42"/>
      <c r="K23" s="42"/>
      <c r="L23" s="42"/>
      <c r="M23" s="42"/>
    </row>
    <row r="24" spans="1:13" ht="12.9" customHeight="1" x14ac:dyDescent="0.25">
      <c r="A24" s="590" t="s">
        <v>33</v>
      </c>
      <c r="B24" s="503" t="s">
        <v>236</v>
      </c>
      <c r="C24" s="41"/>
      <c r="D24" s="41"/>
      <c r="E24" s="41"/>
      <c r="F24" s="41"/>
      <c r="G24" s="41"/>
      <c r="H24" s="489" t="s">
        <v>189</v>
      </c>
      <c r="I24" s="42"/>
      <c r="J24" s="42"/>
      <c r="K24" s="42"/>
      <c r="L24" s="42"/>
      <c r="M24" s="42"/>
    </row>
    <row r="25" spans="1:13" ht="12.9" customHeight="1" x14ac:dyDescent="0.25">
      <c r="A25" s="589" t="s">
        <v>34</v>
      </c>
      <c r="B25" s="504" t="s">
        <v>237</v>
      </c>
      <c r="C25" s="505">
        <f>+C26+C27+C28+C29+C30</f>
        <v>0</v>
      </c>
      <c r="D25" s="505">
        <f>+D26+D27+D28+D29+D30</f>
        <v>0</v>
      </c>
      <c r="E25" s="505">
        <f>+E26+E27+E28+E29+E30</f>
        <v>0</v>
      </c>
      <c r="F25" s="505">
        <f>+F26+F27+F28+F29+F30</f>
        <v>0</v>
      </c>
      <c r="G25" s="505">
        <f>+G26+G27+G28+G29+G30</f>
        <v>0</v>
      </c>
      <c r="H25" s="487" t="s">
        <v>187</v>
      </c>
      <c r="I25" s="42"/>
      <c r="J25" s="42"/>
      <c r="K25" s="42"/>
      <c r="L25" s="42"/>
      <c r="M25" s="42"/>
    </row>
    <row r="26" spans="1:13" ht="12.9" customHeight="1" x14ac:dyDescent="0.25">
      <c r="A26" s="590" t="s">
        <v>35</v>
      </c>
      <c r="B26" s="503" t="s">
        <v>238</v>
      </c>
      <c r="C26" s="41"/>
      <c r="D26" s="41"/>
      <c r="E26" s="41"/>
      <c r="F26" s="41"/>
      <c r="G26" s="41"/>
      <c r="H26" s="487" t="s">
        <v>394</v>
      </c>
      <c r="I26" s="42"/>
      <c r="J26" s="42"/>
      <c r="K26" s="42"/>
      <c r="L26" s="42"/>
      <c r="M26" s="42"/>
    </row>
    <row r="27" spans="1:13" ht="12.9" customHeight="1" x14ac:dyDescent="0.25">
      <c r="A27" s="589" t="s">
        <v>36</v>
      </c>
      <c r="B27" s="503" t="s">
        <v>239</v>
      </c>
      <c r="C27" s="41"/>
      <c r="D27" s="41"/>
      <c r="E27" s="41"/>
      <c r="F27" s="41"/>
      <c r="G27" s="41"/>
      <c r="H27" s="506"/>
      <c r="I27" s="42"/>
      <c r="J27" s="42"/>
      <c r="K27" s="42"/>
      <c r="L27" s="42"/>
      <c r="M27" s="42"/>
    </row>
    <row r="28" spans="1:13" ht="12.9" customHeight="1" x14ac:dyDescent="0.25">
      <c r="A28" s="590" t="s">
        <v>37</v>
      </c>
      <c r="B28" s="502" t="s">
        <v>240</v>
      </c>
      <c r="C28" s="41"/>
      <c r="D28" s="41"/>
      <c r="E28" s="41"/>
      <c r="F28" s="41"/>
      <c r="G28" s="41"/>
      <c r="H28" s="506"/>
      <c r="I28" s="42"/>
      <c r="J28" s="42"/>
      <c r="K28" s="42"/>
      <c r="L28" s="42"/>
      <c r="M28" s="42"/>
    </row>
    <row r="29" spans="1:13" ht="12.9" customHeight="1" x14ac:dyDescent="0.25">
      <c r="A29" s="589" t="s">
        <v>38</v>
      </c>
      <c r="B29" s="507" t="s">
        <v>241</v>
      </c>
      <c r="C29" s="41"/>
      <c r="D29" s="41"/>
      <c r="E29" s="41"/>
      <c r="F29" s="41"/>
      <c r="G29" s="41"/>
      <c r="H29" s="492"/>
      <c r="I29" s="42"/>
      <c r="J29" s="42"/>
      <c r="K29" s="42"/>
      <c r="L29" s="42"/>
      <c r="M29" s="42"/>
    </row>
    <row r="30" spans="1:13" ht="12.9" customHeight="1" thickBot="1" x14ac:dyDescent="0.3">
      <c r="A30" s="590" t="s">
        <v>39</v>
      </c>
      <c r="B30" s="508" t="s">
        <v>242</v>
      </c>
      <c r="C30" s="41"/>
      <c r="D30" s="41"/>
      <c r="E30" s="41"/>
      <c r="F30" s="41"/>
      <c r="G30" s="41"/>
      <c r="H30" s="506"/>
      <c r="I30" s="42"/>
      <c r="J30" s="42"/>
      <c r="K30" s="42"/>
      <c r="L30" s="42"/>
      <c r="M30" s="42"/>
    </row>
    <row r="31" spans="1:13" ht="21.75" customHeight="1" thickBot="1" x14ac:dyDescent="0.3">
      <c r="A31" s="497" t="s">
        <v>40</v>
      </c>
      <c r="B31" s="498" t="s">
        <v>391</v>
      </c>
      <c r="C31" s="499">
        <f>+C19+C25</f>
        <v>81817</v>
      </c>
      <c r="D31" s="499">
        <f>+D19+D25</f>
        <v>89462</v>
      </c>
      <c r="E31" s="499">
        <f>+E19+E25</f>
        <v>93702872</v>
      </c>
      <c r="F31" s="499">
        <f>+F19+F25</f>
        <v>97708372</v>
      </c>
      <c r="G31" s="499">
        <f>+G19+G25</f>
        <v>95038372</v>
      </c>
      <c r="H31" s="498" t="s">
        <v>395</v>
      </c>
      <c r="I31" s="191">
        <f>SUM(I19:I30)</f>
        <v>0</v>
      </c>
      <c r="J31" s="191">
        <f>SUM(J19:J30)</f>
        <v>0</v>
      </c>
      <c r="K31" s="191">
        <f>SUM(K19:K30)</f>
        <v>0</v>
      </c>
      <c r="L31" s="191">
        <f>SUM(L19:L30)</f>
        <v>0</v>
      </c>
      <c r="M31" s="191">
        <f>SUM(M19:M30)</f>
        <v>0</v>
      </c>
    </row>
    <row r="32" spans="1:13" ht="13.8" thickBot="1" x14ac:dyDescent="0.3">
      <c r="A32" s="497" t="s">
        <v>41</v>
      </c>
      <c r="B32" s="509" t="s">
        <v>396</v>
      </c>
      <c r="C32" s="510">
        <f>C18+C31</f>
        <v>86914</v>
      </c>
      <c r="D32" s="510">
        <f>D18+D31</f>
        <v>94559</v>
      </c>
      <c r="E32" s="510">
        <f>E18+E31</f>
        <v>98808872</v>
      </c>
      <c r="F32" s="510">
        <f>F18+F31</f>
        <v>102854372</v>
      </c>
      <c r="G32" s="510">
        <f>G18+G31</f>
        <v>147146156</v>
      </c>
      <c r="H32" s="509" t="s">
        <v>397</v>
      </c>
      <c r="I32" s="510">
        <f>I18+I31</f>
        <v>86914</v>
      </c>
      <c r="J32" s="510">
        <f>J18+J31</f>
        <v>94559</v>
      </c>
      <c r="K32" s="510">
        <f>K18+K31</f>
        <v>98808872</v>
      </c>
      <c r="L32" s="510">
        <f>L18+L31</f>
        <v>102854372</v>
      </c>
      <c r="M32" s="510">
        <f>M18+M31</f>
        <v>147146156</v>
      </c>
    </row>
    <row r="33" spans="1:13" ht="13.8" thickBot="1" x14ac:dyDescent="0.3">
      <c r="A33" s="497" t="s">
        <v>42</v>
      </c>
      <c r="B33" s="509" t="s">
        <v>163</v>
      </c>
      <c r="C33" s="510"/>
      <c r="D33" s="510"/>
      <c r="E33" s="510"/>
      <c r="F33" s="510"/>
      <c r="G33" s="510"/>
      <c r="H33" s="509" t="s">
        <v>164</v>
      </c>
      <c r="I33" s="510"/>
      <c r="J33" s="510"/>
      <c r="K33" s="510"/>
      <c r="L33" s="510"/>
      <c r="M33" s="510"/>
    </row>
    <row r="34" spans="1:13" ht="13.8" thickBot="1" x14ac:dyDescent="0.3">
      <c r="A34" s="497" t="s">
        <v>43</v>
      </c>
      <c r="B34" s="509" t="s">
        <v>230</v>
      </c>
      <c r="C34" s="510"/>
      <c r="D34" s="510"/>
      <c r="E34" s="510"/>
      <c r="F34" s="510"/>
      <c r="G34" s="510"/>
      <c r="H34" s="509" t="s">
        <v>231</v>
      </c>
      <c r="I34" s="510"/>
      <c r="J34" s="510"/>
      <c r="K34" s="510"/>
      <c r="L34" s="510"/>
      <c r="M34" s="510"/>
    </row>
  </sheetData>
  <mergeCells count="1">
    <mergeCell ref="A4:A5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0" orientation="landscape" verticalDpi="300" r:id="rId1"/>
  <headerFooter alignWithMargins="0">
    <oddHeader>&amp;CVonyarcvashegy Nagyközség Önkormányzata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G11"/>
  <sheetViews>
    <sheetView zoomScale="120" zoomScaleNormal="120" workbookViewId="0">
      <selection activeCell="D16" sqref="D16"/>
    </sheetView>
  </sheetViews>
  <sheetFormatPr defaultColWidth="5.77734375" defaultRowHeight="13.8" x14ac:dyDescent="0.25"/>
  <cols>
    <col min="1" max="1" width="5.77734375" style="74" customWidth="1"/>
    <col min="2" max="2" width="28.77734375" style="74" bestFit="1" customWidth="1"/>
    <col min="3" max="6" width="16.33203125" style="74" bestFit="1" customWidth="1"/>
    <col min="7" max="16384" width="5.77734375" style="74"/>
  </cols>
  <sheetData>
    <row r="1" spans="1:7" ht="33" customHeight="1" x14ac:dyDescent="0.25">
      <c r="A1" s="683" t="s">
        <v>551</v>
      </c>
      <c r="B1" s="683"/>
      <c r="C1" s="683"/>
      <c r="D1" s="683"/>
      <c r="E1" s="683"/>
      <c r="F1" s="683"/>
    </row>
    <row r="2" spans="1:7" ht="15.9" customHeight="1" thickBot="1" x14ac:dyDescent="0.35">
      <c r="A2" s="75"/>
      <c r="B2" s="75"/>
      <c r="C2" s="684"/>
      <c r="D2" s="684"/>
      <c r="E2" s="691" t="s">
        <v>615</v>
      </c>
      <c r="F2" s="691"/>
      <c r="G2" s="81"/>
    </row>
    <row r="3" spans="1:7" ht="63" customHeight="1" x14ac:dyDescent="0.25">
      <c r="A3" s="687" t="s">
        <v>14</v>
      </c>
      <c r="B3" s="689" t="s">
        <v>191</v>
      </c>
      <c r="C3" s="689" t="s">
        <v>247</v>
      </c>
      <c r="D3" s="689"/>
      <c r="E3" s="689"/>
      <c r="F3" s="685" t="s">
        <v>504</v>
      </c>
    </row>
    <row r="4" spans="1:7" ht="14.4" thickBot="1" x14ac:dyDescent="0.3">
      <c r="A4" s="688"/>
      <c r="B4" s="690"/>
      <c r="C4" s="411">
        <v>2017</v>
      </c>
      <c r="D4" s="411" t="s">
        <v>637</v>
      </c>
      <c r="E4" s="411">
        <v>2019</v>
      </c>
      <c r="F4" s="686"/>
    </row>
    <row r="5" spans="1:7" ht="14.4" thickBot="1" x14ac:dyDescent="0.3">
      <c r="A5" s="78" t="s">
        <v>494</v>
      </c>
      <c r="B5" s="79" t="s">
        <v>495</v>
      </c>
      <c r="C5" s="79" t="s">
        <v>496</v>
      </c>
      <c r="D5" s="79" t="s">
        <v>498</v>
      </c>
      <c r="E5" s="79" t="s">
        <v>497</v>
      </c>
      <c r="F5" s="80" t="s">
        <v>499</v>
      </c>
    </row>
    <row r="6" spans="1:7" x14ac:dyDescent="0.25">
      <c r="A6" s="77" t="s">
        <v>16</v>
      </c>
      <c r="B6" s="98" t="s">
        <v>569</v>
      </c>
      <c r="C6" s="99">
        <v>113000000</v>
      </c>
      <c r="D6" s="99">
        <v>113000000</v>
      </c>
      <c r="E6" s="99">
        <v>113000000</v>
      </c>
      <c r="F6" s="83">
        <f>SUM(C6:E6)</f>
        <v>339000000</v>
      </c>
    </row>
    <row r="7" spans="1:7" x14ac:dyDescent="0.25">
      <c r="A7" s="76" t="s">
        <v>17</v>
      </c>
      <c r="B7" s="100" t="s">
        <v>570</v>
      </c>
      <c r="C7" s="101">
        <v>130000</v>
      </c>
      <c r="D7" s="101">
        <v>130000</v>
      </c>
      <c r="E7" s="101">
        <v>130000</v>
      </c>
      <c r="F7" s="84">
        <f>SUM(C7:E7)</f>
        <v>390000</v>
      </c>
    </row>
    <row r="8" spans="1:7" x14ac:dyDescent="0.25">
      <c r="A8" s="76" t="s">
        <v>18</v>
      </c>
      <c r="B8" s="100"/>
      <c r="C8" s="101"/>
      <c r="D8" s="101"/>
      <c r="E8" s="101"/>
      <c r="F8" s="84">
        <f>SUM(C8:E8)</f>
        <v>0</v>
      </c>
    </row>
    <row r="9" spans="1:7" x14ac:dyDescent="0.25">
      <c r="A9" s="76" t="s">
        <v>19</v>
      </c>
      <c r="B9" s="100"/>
      <c r="C9" s="101"/>
      <c r="D9" s="101"/>
      <c r="E9" s="101"/>
      <c r="F9" s="84">
        <f>SUM(C9:E9)</f>
        <v>0</v>
      </c>
    </row>
    <row r="10" spans="1:7" ht="14.4" thickBot="1" x14ac:dyDescent="0.3">
      <c r="A10" s="82" t="s">
        <v>20</v>
      </c>
      <c r="B10" s="102"/>
      <c r="C10" s="103"/>
      <c r="D10" s="103"/>
      <c r="E10" s="103"/>
      <c r="F10" s="84">
        <f>SUM(C10:E10)</f>
        <v>0</v>
      </c>
    </row>
    <row r="11" spans="1:7" s="416" customFormat="1" ht="14.4" thickBot="1" x14ac:dyDescent="0.3">
      <c r="A11" s="412" t="s">
        <v>21</v>
      </c>
      <c r="B11" s="413" t="s">
        <v>192</v>
      </c>
      <c r="C11" s="414">
        <f>SUM(C6:C10)</f>
        <v>113130000</v>
      </c>
      <c r="D11" s="414">
        <f>SUM(D6:D10)</f>
        <v>113130000</v>
      </c>
      <c r="E11" s="414">
        <f>SUM(E6:E10)</f>
        <v>113130000</v>
      </c>
      <c r="F11" s="415">
        <f>SUM(F6:F10)</f>
        <v>339390000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...../2016.()
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G12"/>
  <sheetViews>
    <sheetView topLeftCell="C1" zoomScale="120" zoomScaleNormal="120" workbookViewId="0">
      <selection activeCell="E14" sqref="E14"/>
    </sheetView>
  </sheetViews>
  <sheetFormatPr defaultColWidth="9.33203125" defaultRowHeight="13.8" x14ac:dyDescent="0.25"/>
  <cols>
    <col min="1" max="1" width="5.6640625" style="74" customWidth="1"/>
    <col min="2" max="2" width="65.33203125" style="74" bestFit="1" customWidth="1"/>
    <col min="3" max="3" width="18.109375" style="74" bestFit="1" customWidth="1"/>
    <col min="4" max="7" width="19.6640625" style="74" bestFit="1" customWidth="1"/>
    <col min="8" max="16384" width="9.33203125" style="74"/>
  </cols>
  <sheetData>
    <row r="1" spans="1:7" ht="43.5" customHeight="1" x14ac:dyDescent="0.25">
      <c r="A1" s="683" t="s">
        <v>552</v>
      </c>
      <c r="B1" s="683"/>
      <c r="C1" s="683"/>
    </row>
    <row r="2" spans="1:7" ht="15.9" customHeight="1" thickBot="1" x14ac:dyDescent="0.3">
      <c r="A2" s="75"/>
      <c r="B2" s="75"/>
      <c r="C2" s="85" t="s">
        <v>606</v>
      </c>
      <c r="D2" s="85" t="s">
        <v>606</v>
      </c>
      <c r="E2" s="85" t="s">
        <v>615</v>
      </c>
      <c r="F2" s="85" t="s">
        <v>615</v>
      </c>
      <c r="G2" s="85" t="s">
        <v>615</v>
      </c>
    </row>
    <row r="3" spans="1:7" ht="26.25" customHeight="1" thickBot="1" x14ac:dyDescent="0.3">
      <c r="A3" s="104" t="s">
        <v>14</v>
      </c>
      <c r="B3" s="105" t="s">
        <v>190</v>
      </c>
      <c r="C3" s="30" t="s">
        <v>638</v>
      </c>
      <c r="D3" s="30" t="s">
        <v>681</v>
      </c>
      <c r="E3" s="30" t="s">
        <v>699</v>
      </c>
      <c r="F3" s="30" t="s">
        <v>710</v>
      </c>
      <c r="G3" s="30" t="s">
        <v>723</v>
      </c>
    </row>
    <row r="4" spans="1:7" ht="14.4" thickBot="1" x14ac:dyDescent="0.3">
      <c r="A4" s="106" t="s">
        <v>494</v>
      </c>
      <c r="B4" s="107" t="s">
        <v>495</v>
      </c>
      <c r="C4" s="108" t="s">
        <v>496</v>
      </c>
      <c r="D4" s="108" t="s">
        <v>496</v>
      </c>
      <c r="E4" s="445" t="s">
        <v>496</v>
      </c>
      <c r="F4" s="445" t="s">
        <v>496</v>
      </c>
      <c r="G4" s="445" t="s">
        <v>496</v>
      </c>
    </row>
    <row r="5" spans="1:7" x14ac:dyDescent="0.25">
      <c r="A5" s="109" t="s">
        <v>16</v>
      </c>
      <c r="B5" s="199" t="s">
        <v>505</v>
      </c>
      <c r="C5" s="196">
        <v>114400</v>
      </c>
      <c r="D5" s="196">
        <v>114400</v>
      </c>
      <c r="E5" s="526">
        <v>114400000</v>
      </c>
      <c r="F5" s="526">
        <v>114400000</v>
      </c>
      <c r="G5" s="526">
        <v>114400000</v>
      </c>
    </row>
    <row r="6" spans="1:7" ht="24" x14ac:dyDescent="0.25">
      <c r="A6" s="110" t="s">
        <v>17</v>
      </c>
      <c r="B6" s="218" t="s">
        <v>244</v>
      </c>
      <c r="C6" s="197"/>
      <c r="D6" s="197"/>
      <c r="E6" s="527"/>
      <c r="F6" s="527"/>
      <c r="G6" s="527"/>
    </row>
    <row r="7" spans="1:7" x14ac:dyDescent="0.25">
      <c r="A7" s="110" t="s">
        <v>18</v>
      </c>
      <c r="B7" s="219" t="s">
        <v>506</v>
      </c>
      <c r="C7" s="197"/>
      <c r="D7" s="197"/>
      <c r="E7" s="527"/>
      <c r="F7" s="527"/>
      <c r="G7" s="527"/>
    </row>
    <row r="8" spans="1:7" ht="24" x14ac:dyDescent="0.25">
      <c r="A8" s="110" t="s">
        <v>19</v>
      </c>
      <c r="B8" s="219" t="s">
        <v>246</v>
      </c>
      <c r="C8" s="197"/>
      <c r="D8" s="197"/>
      <c r="E8" s="527"/>
      <c r="F8" s="527"/>
      <c r="G8" s="527"/>
    </row>
    <row r="9" spans="1:7" x14ac:dyDescent="0.25">
      <c r="A9" s="111" t="s">
        <v>20</v>
      </c>
      <c r="B9" s="219" t="s">
        <v>245</v>
      </c>
      <c r="C9" s="198">
        <v>500</v>
      </c>
      <c r="D9" s="198">
        <v>500</v>
      </c>
      <c r="E9" s="528">
        <v>500000</v>
      </c>
      <c r="F9" s="528">
        <v>500000</v>
      </c>
      <c r="G9" s="528">
        <v>500000</v>
      </c>
    </row>
    <row r="10" spans="1:7" ht="14.4" thickBot="1" x14ac:dyDescent="0.3">
      <c r="A10" s="110" t="s">
        <v>21</v>
      </c>
      <c r="B10" s="220" t="s">
        <v>507</v>
      </c>
      <c r="C10" s="197"/>
      <c r="D10" s="197"/>
      <c r="E10" s="527"/>
      <c r="F10" s="527"/>
      <c r="G10" s="527"/>
    </row>
    <row r="11" spans="1:7" ht="14.4" thickBot="1" x14ac:dyDescent="0.3">
      <c r="A11" s="692" t="s">
        <v>193</v>
      </c>
      <c r="B11" s="693"/>
      <c r="C11" s="112">
        <f>SUM(C5:C10)</f>
        <v>114900</v>
      </c>
      <c r="D11" s="112">
        <f>SUM(D5:D10)</f>
        <v>114900</v>
      </c>
      <c r="E11" s="457">
        <f>SUM(E5:E10)</f>
        <v>114900000</v>
      </c>
      <c r="F11" s="457">
        <f>SUM(F5:F10)</f>
        <v>114900000</v>
      </c>
      <c r="G11" s="457">
        <f>SUM(G5:G10)</f>
        <v>114900000</v>
      </c>
    </row>
    <row r="12" spans="1:7" ht="23.25" customHeight="1" x14ac:dyDescent="0.25">
      <c r="A12" s="694" t="s">
        <v>219</v>
      </c>
      <c r="B12" s="694"/>
      <c r="C12" s="694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landscape" r:id="rId1"/>
  <headerFooter alignWithMargins="0">
    <oddHeader>&amp;R&amp;"Times New Roman CE,Félkövér dőlt"&amp;11 4. melléklet a ...../2016.()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D8"/>
  <sheetViews>
    <sheetView zoomScale="120" zoomScaleNormal="120" workbookViewId="0">
      <selection activeCell="B14" sqref="B14"/>
    </sheetView>
  </sheetViews>
  <sheetFormatPr defaultColWidth="9.33203125" defaultRowHeight="13.8" x14ac:dyDescent="0.25"/>
  <cols>
    <col min="1" max="1" width="5.6640625" style="74" customWidth="1"/>
    <col min="2" max="2" width="66.77734375" style="74" customWidth="1"/>
    <col min="3" max="3" width="27" style="74" customWidth="1"/>
    <col min="4" max="16384" width="9.33203125" style="74"/>
  </cols>
  <sheetData>
    <row r="1" spans="1:4" ht="33" customHeight="1" x14ac:dyDescent="0.25">
      <c r="A1" s="683" t="s">
        <v>636</v>
      </c>
      <c r="B1" s="683"/>
      <c r="C1" s="683"/>
    </row>
    <row r="2" spans="1:4" ht="15.9" customHeight="1" thickBot="1" x14ac:dyDescent="0.35">
      <c r="A2" s="75"/>
      <c r="B2" s="75"/>
      <c r="C2" s="85" t="s">
        <v>52</v>
      </c>
      <c r="D2" s="81"/>
    </row>
    <row r="3" spans="1:4" ht="26.25" customHeight="1" thickBot="1" x14ac:dyDescent="0.3">
      <c r="A3" s="440" t="s">
        <v>14</v>
      </c>
      <c r="B3" s="441" t="s">
        <v>194</v>
      </c>
      <c r="C3" s="442" t="s">
        <v>218</v>
      </c>
    </row>
    <row r="4" spans="1:4" ht="14.4" thickBot="1" x14ac:dyDescent="0.3">
      <c r="A4" s="443" t="s">
        <v>494</v>
      </c>
      <c r="B4" s="444" t="s">
        <v>495</v>
      </c>
      <c r="C4" s="445" t="s">
        <v>496</v>
      </c>
    </row>
    <row r="5" spans="1:4" x14ac:dyDescent="0.25">
      <c r="A5" s="446" t="s">
        <v>16</v>
      </c>
      <c r="B5" s="447"/>
      <c r="C5" s="448"/>
    </row>
    <row r="6" spans="1:4" x14ac:dyDescent="0.25">
      <c r="A6" s="449" t="s">
        <v>17</v>
      </c>
      <c r="B6" s="450"/>
      <c r="C6" s="451"/>
    </row>
    <row r="7" spans="1:4" ht="14.4" thickBot="1" x14ac:dyDescent="0.3">
      <c r="A7" s="452" t="s">
        <v>18</v>
      </c>
      <c r="B7" s="453"/>
      <c r="C7" s="454"/>
    </row>
    <row r="8" spans="1:4" s="416" customFormat="1" ht="17.25" customHeight="1" thickBot="1" x14ac:dyDescent="0.3">
      <c r="A8" s="455" t="s">
        <v>19</v>
      </c>
      <c r="B8" s="456" t="s">
        <v>195</v>
      </c>
      <c r="C8" s="457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...../2016.()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20</vt:i4>
      </vt:variant>
    </vt:vector>
  </HeadingPairs>
  <TitlesOfParts>
    <vt:vector size="54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</cp:lastModifiedBy>
  <cp:lastPrinted>2017-04-25T08:23:55Z</cp:lastPrinted>
  <dcterms:created xsi:type="dcterms:W3CDTF">1999-10-30T10:30:45Z</dcterms:created>
  <dcterms:modified xsi:type="dcterms:W3CDTF">2017-05-03T14:03:43Z</dcterms:modified>
</cp:coreProperties>
</file>