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03" activeTab="0"/>
  </bookViews>
  <sheets>
    <sheet name="önként2018." sheetId="1" r:id="rId1"/>
    <sheet name="kötelező2018." sheetId="2" r:id="rId2"/>
    <sheet name="önként2018.felh." sheetId="3" r:id="rId3"/>
    <sheet name="kötelező2018.felh." sheetId="4" r:id="rId4"/>
    <sheet name="önkét2018.finansz." sheetId="5" r:id="rId5"/>
    <sheet name="kötelező2018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'kötelező2018.'!$A$1:$M$45</definedName>
    <definedName name="_xlnm.Print_Area" localSheetId="3">'kötelező2018.felh.'!$A$1:$M$26</definedName>
    <definedName name="_xlnm.Print_Area" localSheetId="5">'kötelező2018.finansz.'!$A$1:$M$10</definedName>
    <definedName name="_xlnm.Print_Area" localSheetId="0">'önként2018.'!$A$1:$L$34</definedName>
    <definedName name="_xlnm.Print_Area" localSheetId="2">'önként2018.felh.'!$A$1:$L$45</definedName>
    <definedName name="_xlnm.Print_Area" localSheetId="4">'önkét2018.finansz.'!$A$1:$L$31</definedName>
  </definedNames>
  <calcPr fullCalcOnLoad="1"/>
</workbook>
</file>

<file path=xl/sharedStrings.xml><?xml version="1.0" encoding="utf-8"?>
<sst xmlns="http://schemas.openxmlformats.org/spreadsheetml/2006/main" count="228" uniqueCount="116">
  <si>
    <t>ezer Ft-ban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</si>
  <si>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</si>
  <si>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</si>
  <si>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</si>
  <si>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</si>
  <si>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</si>
  <si>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</si>
  <si>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</si>
  <si>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</si>
  <si>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</si>
  <si>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</si>
  <si>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</si>
  <si>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</si>
  <si>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</si>
  <si>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</si>
  <si>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</si>
  <si>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</si>
  <si>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</si>
  <si>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</si>
  <si>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</si>
  <si>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</si>
  <si>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</si>
  <si>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</si>
  <si>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</si>
  <si>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</si>
  <si>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</si>
  <si>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</si>
  <si>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</si>
  <si>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</si>
  <si>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</si>
  <si>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</si>
  <si>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</si>
  <si>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</si>
  <si>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</si>
  <si>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</si>
  <si>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</si>
  <si>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</si>
  <si>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</si>
  <si>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</si>
  <si>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</si>
  <si>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</si>
  <si>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</si>
  <si>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</si>
  <si>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</si>
  <si>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</si>
  <si>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</si>
  <si>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</si>
  <si>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</si>
  <si>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</si>
  <si>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</si>
  <si>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</si>
  <si>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</si>
  <si>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</si>
  <si>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</si>
  <si>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</si>
  <si>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</si>
  <si>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</si>
  <si>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</si>
  <si>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</si>
  <si>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</si>
  <si>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</si>
  <si>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</si>
  <si>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</si>
  <si>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</si>
  <si>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</si>
  <si>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</si>
  <si>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</si>
  <si>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</si>
  <si>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</si>
  <si>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</si>
  <si>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</si>
  <si>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</si>
  <si>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</si>
  <si>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</si>
  <si>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</si>
  <si>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</si>
  <si>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</si>
  <si>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</si>
  <si>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</si>
  <si>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</si>
  <si>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</si>
  <si>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</si>
  <si>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</si>
  <si>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</si>
  <si>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</si>
  <si>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</si>
  <si>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</si>
  <si>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</si>
  <si>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</si>
  <si>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Belföldi értékpapírok kiadásai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</si>
  <si>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</si>
  <si>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</si>
  <si>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</si>
  <si>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</si>
  <si>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</si>
  <si>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</si>
  <si>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2018. Működési költségvetés  -  Kötelezően előírt feladatkörök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</si>
  <si>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</si>
  <si>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</si>
  <si>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</si>
  <si>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</si>
  <si>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</si>
  <si>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</si>
  <si>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2018. Működési költségvetés -  Önként vállalt feladatkörök</t>
  </si>
  <si>
    <t>2018. Finanszírozási kiadások  -  Kötelezően előírt feladatkörök</t>
  </si>
  <si>
    <t>2018. Finanszírozási kiadások -  Önként vállalt feladatkörök</t>
  </si>
  <si>
    <t>2018. Felhalmozási költségvetés  -  Kötelezően előírt feladatkörök</t>
  </si>
  <si>
    <t>2018. Felhalmozási költségvetés -  Önként vállalt feladatkörök</t>
  </si>
  <si>
    <t>Oktatási Bizottság kiadásai</t>
  </si>
  <si>
    <t>Kulturális tanácsnoki keret kiadásai</t>
  </si>
  <si>
    <t>Nemzetiségi önkorm. támogatása</t>
  </si>
  <si>
    <t>Közbiztonság kiadásai</t>
  </si>
  <si>
    <t>Egészségügyi és Szoc.Biz.kiadásai</t>
  </si>
  <si>
    <t xml:space="preserve">Emberi jogi,Nemz.és Egyházügyi Biz.kiad. </t>
  </si>
  <si>
    <t xml:space="preserve"> tárgyévi tervezett kiadás</t>
  </si>
  <si>
    <t>Felhalmozási pénzeszköz átadás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</si>
</sst>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shrinkToFit="1"/>
    </xf>
    <xf numFmtId="2" fontId="9" fillId="0" borderId="17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19" xfId="0" applyFont="1" applyFill="1" applyBorder="1" applyAlignment="1">
      <alignment shrinkToFit="1"/>
    </xf>
    <xf numFmtId="3" fontId="3" fillId="0" borderId="20" xfId="0" applyNumberFormat="1" applyFont="1" applyFill="1" applyBorder="1" applyAlignment="1">
      <alignment horizontal="right"/>
    </xf>
    <xf numFmtId="2" fontId="3" fillId="0" borderId="20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shrinkToFit="1"/>
    </xf>
    <xf numFmtId="2" fontId="3" fillId="0" borderId="18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5" xfId="0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25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7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26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5" xfId="0" applyNumberFormat="1" applyFont="1" applyFill="1" applyBorder="1" applyAlignment="1">
      <alignment horizontal="right"/>
    </xf>
    <xf numFmtId="2" fontId="10" fillId="0" borderId="15" xfId="0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30" xfId="0" applyFont="1" applyFill="1" applyBorder="1" applyAlignment="1">
      <alignment shrinkToFit="1"/>
    </xf>
    <xf numFmtId="0" fontId="12" fillId="0" borderId="19" xfId="0" applyFont="1" applyFill="1" applyBorder="1" applyAlignment="1">
      <alignment shrinkToFit="1"/>
    </xf>
    <xf numFmtId="172" fontId="10" fillId="0" borderId="11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3" fontId="10" fillId="0" borderId="18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0" fontId="3" fillId="0" borderId="32" xfId="0" applyFont="1" applyFill="1" applyBorder="1" applyAlignment="1">
      <alignment shrinkToFit="1"/>
    </xf>
    <xf numFmtId="172" fontId="9" fillId="0" borderId="17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0" fontId="12" fillId="0" borderId="19" xfId="0" applyFont="1" applyFill="1" applyBorder="1" applyAlignment="1">
      <alignment shrinkToFit="1"/>
    </xf>
    <xf numFmtId="0" fontId="3" fillId="0" borderId="30" xfId="0" applyFont="1" applyFill="1" applyBorder="1" applyAlignment="1">
      <alignment shrinkToFit="1"/>
    </xf>
    <xf numFmtId="3" fontId="10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24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172" fontId="9" fillId="0" borderId="28" xfId="0" applyNumberFormat="1" applyFont="1" applyFill="1" applyBorder="1" applyAlignment="1">
      <alignment/>
    </xf>
    <xf numFmtId="2" fontId="9" fillId="0" borderId="28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72" fontId="9" fillId="0" borderId="13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172" fontId="9" fillId="0" borderId="33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172" fontId="9" fillId="0" borderId="18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2" fontId="9" fillId="0" borderId="15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16" xfId="0" applyFont="1" applyFill="1" applyBorder="1" applyAlignment="1">
      <alignment shrinkToFit="1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" fontId="9" fillId="0" borderId="17" xfId="0" applyNumberFormat="1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" fontId="0" fillId="0" borderId="17" xfId="0" applyNumberForma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3" fillId="0" borderId="30" xfId="0" applyFont="1" applyFill="1" applyBorder="1" applyAlignment="1">
      <alignment shrinkToFit="1"/>
    </xf>
    <xf numFmtId="3" fontId="3" fillId="0" borderId="15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shrinkToFit="1"/>
    </xf>
    <xf numFmtId="4" fontId="3" fillId="0" borderId="2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2" fontId="12" fillId="0" borderId="17" xfId="0" applyNumberFormat="1" applyFont="1" applyFill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4" fontId="12" fillId="0" borderId="20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2" fontId="12" fillId="0" borderId="35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2" fontId="12" fillId="0" borderId="37" xfId="0" applyNumberFormat="1" applyFont="1" applyFill="1" applyBorder="1" applyAlignment="1">
      <alignment/>
    </xf>
    <xf numFmtId="0" fontId="10" fillId="0" borderId="30" xfId="0" applyFont="1" applyFill="1" applyBorder="1" applyAlignment="1">
      <alignment shrinkToFit="1"/>
    </xf>
    <xf numFmtId="0" fontId="10" fillId="0" borderId="34" xfId="0" applyFont="1" applyFill="1" applyBorder="1" applyAlignment="1">
      <alignment shrinkToFit="1"/>
    </xf>
    <xf numFmtId="172" fontId="10" fillId="0" borderId="11" xfId="0" applyNumberFormat="1" applyFont="1" applyFill="1" applyBorder="1" applyAlignment="1">
      <alignment horizontal="right"/>
    </xf>
    <xf numFmtId="172" fontId="10" fillId="0" borderId="13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172" fontId="10" fillId="0" borderId="15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shrinkToFit="1"/>
    </xf>
    <xf numFmtId="172" fontId="10" fillId="0" borderId="20" xfId="0" applyNumberFormat="1" applyFont="1" applyFill="1" applyBorder="1" applyAlignment="1">
      <alignment horizontal="right"/>
    </xf>
    <xf numFmtId="172" fontId="10" fillId="0" borderId="18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10" fillId="0" borderId="18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36" sqref="A36:IV57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6"/>
      <c r="B1" s="36"/>
      <c r="C1" s="36"/>
      <c r="D1" s="69"/>
      <c r="E1" s="36"/>
      <c r="F1" s="36"/>
      <c r="G1" s="36"/>
      <c r="H1" s="36"/>
      <c r="I1" s="36"/>
      <c r="J1" s="36"/>
      <c r="K1" s="185" t="s">
        <v>29</v>
      </c>
      <c r="L1" s="185"/>
    </row>
    <row r="2" spans="1:12" ht="12.75">
      <c r="A2" s="186" t="s">
        <v>103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3.5" thickBot="1">
      <c r="A4" s="57"/>
      <c r="B4" s="57"/>
      <c r="C4" s="57"/>
      <c r="D4" s="70"/>
      <c r="E4" s="42"/>
      <c r="F4" s="43"/>
      <c r="G4" s="42"/>
      <c r="H4" s="43"/>
      <c r="I4" s="43"/>
      <c r="J4" s="43"/>
      <c r="K4" s="44"/>
      <c r="L4" s="53" t="s">
        <v>0</v>
      </c>
    </row>
    <row r="5" spans="1:12" ht="92.25" customHeight="1" thickBot="1">
      <c r="A5" s="37" t="s">
        <v>2</v>
      </c>
      <c r="B5" s="45" t="s">
        <v>67</v>
      </c>
      <c r="C5" s="45" t="s">
        <v>62</v>
      </c>
      <c r="D5" s="46" t="s">
        <v>68</v>
      </c>
      <c r="E5" s="45" t="s">
        <v>58</v>
      </c>
      <c r="F5" s="46" t="s">
        <v>69</v>
      </c>
      <c r="G5" s="45" t="s">
        <v>70</v>
      </c>
      <c r="H5" s="46" t="s">
        <v>71</v>
      </c>
      <c r="I5" s="46" t="s">
        <v>74</v>
      </c>
      <c r="J5" s="46" t="s">
        <v>46</v>
      </c>
      <c r="K5" s="47" t="s">
        <v>72</v>
      </c>
      <c r="L5" s="54" t="s">
        <v>73</v>
      </c>
    </row>
    <row r="6" spans="1:12" ht="12.75">
      <c r="A6" s="14" t="s">
        <v>17</v>
      </c>
      <c r="B6" s="15">
        <f>86113+14820+3400+26800+40262+1600+4746+2769+925+316029</f>
        <v>497464</v>
      </c>
      <c r="C6" s="15"/>
      <c r="D6" s="178">
        <f>SUM(C6/B6)*100</f>
        <v>0</v>
      </c>
      <c r="E6" s="16"/>
      <c r="F6" s="17">
        <f aca="true" t="shared" si="0" ref="F6:F14">SUM(E6/B6)*100</f>
        <v>0</v>
      </c>
      <c r="G6" s="16"/>
      <c r="H6" s="17">
        <f>SUM(G6/B6*100)</f>
        <v>0</v>
      </c>
      <c r="I6" s="16"/>
      <c r="J6" s="17">
        <f>SUM(I6/B6*100)</f>
        <v>0</v>
      </c>
      <c r="K6" s="20">
        <f>SUM(B6-C6-E6-G6-I6)</f>
        <v>497464</v>
      </c>
      <c r="L6" s="18">
        <f>SUM(K6/B6)*100</f>
        <v>100</v>
      </c>
    </row>
    <row r="7" spans="1:12" ht="12.75">
      <c r="A7" s="14" t="s">
        <v>110</v>
      </c>
      <c r="B7" s="15">
        <f>21114+950+600</f>
        <v>22664</v>
      </c>
      <c r="C7" s="15"/>
      <c r="D7" s="178">
        <f>SUM(C7/B7)*100</f>
        <v>0</v>
      </c>
      <c r="E7" s="16"/>
      <c r="F7" s="17">
        <f>SUM(E7/B7)*100</f>
        <v>0</v>
      </c>
      <c r="G7" s="16"/>
      <c r="H7" s="17">
        <f>SUM(G7/B7*100)</f>
        <v>0</v>
      </c>
      <c r="I7" s="16"/>
      <c r="J7" s="17">
        <f>SUM(I7/B7*100)</f>
        <v>0</v>
      </c>
      <c r="K7" s="20">
        <f>SUM(B7-C7-E7-G7-I7)</f>
        <v>22664</v>
      </c>
      <c r="L7" s="18">
        <f>SUM(K7/B7)*100</f>
        <v>100</v>
      </c>
    </row>
    <row r="8" spans="1:12" ht="12.75">
      <c r="A8" s="14" t="s">
        <v>18</v>
      </c>
      <c r="B8" s="19">
        <f>3911053-'kötelező2018.'!C11</f>
        <v>3439496</v>
      </c>
      <c r="C8" s="19">
        <f>9091+21249+1981+1923833+788707</f>
        <v>2744861</v>
      </c>
      <c r="D8" s="179">
        <f>SUM(C8/B8)*100</f>
        <v>79.80416316809207</v>
      </c>
      <c r="E8" s="20"/>
      <c r="F8" s="21">
        <f t="shared" si="0"/>
        <v>0</v>
      </c>
      <c r="G8" s="20"/>
      <c r="H8" s="21">
        <f>SUM(G8/B8*100)</f>
        <v>0</v>
      </c>
      <c r="I8" s="20"/>
      <c r="J8" s="17">
        <f aca="true" t="shared" si="1" ref="J8:J31">SUM(I8/B8*100)</f>
        <v>0</v>
      </c>
      <c r="K8" s="20">
        <f aca="true" t="shared" si="2" ref="K8:K14">SUM(B8-C8-E8-G8-I8)</f>
        <v>694635</v>
      </c>
      <c r="L8" s="22">
        <f>SUM(K8/B8)*100</f>
        <v>20.195836831907933</v>
      </c>
    </row>
    <row r="9" spans="1:12" ht="12.75">
      <c r="A9" s="158" t="s">
        <v>56</v>
      </c>
      <c r="B9" s="23">
        <f>1268852-'kötelező2018.'!C12-B34</f>
        <v>867355</v>
      </c>
      <c r="C9" s="19"/>
      <c r="D9" s="179">
        <f aca="true" t="shared" si="3" ref="D9:D20">SUM(C9/B9)*100</f>
        <v>0</v>
      </c>
      <c r="E9" s="20"/>
      <c r="F9" s="21">
        <f t="shared" si="0"/>
        <v>0</v>
      </c>
      <c r="G9" s="20"/>
      <c r="H9" s="21">
        <f>SUM(G9/B9*100)</f>
        <v>0</v>
      </c>
      <c r="I9" s="20"/>
      <c r="J9" s="17">
        <f t="shared" si="1"/>
        <v>0</v>
      </c>
      <c r="K9" s="20">
        <f t="shared" si="2"/>
        <v>867355</v>
      </c>
      <c r="L9" s="22">
        <f>SUM(K9/B9)*100</f>
        <v>100</v>
      </c>
    </row>
    <row r="10" spans="1:12" ht="12.75">
      <c r="A10" s="158" t="s">
        <v>13</v>
      </c>
      <c r="B10" s="19">
        <v>78035</v>
      </c>
      <c r="C10" s="19"/>
      <c r="D10" s="179">
        <f>SUM(C10/B10)*100</f>
        <v>0</v>
      </c>
      <c r="E10" s="20"/>
      <c r="F10" s="21">
        <f>SUM(E10/B10)*100</f>
        <v>0</v>
      </c>
      <c r="G10" s="20"/>
      <c r="H10" s="21">
        <f>SUM(G10/B10*100)</f>
        <v>0</v>
      </c>
      <c r="I10" s="20"/>
      <c r="J10" s="17">
        <f>SUM(I10/B10*100)</f>
        <v>0</v>
      </c>
      <c r="K10" s="20">
        <f>SUM(B10-C10-E10-G10-I10)</f>
        <v>78035</v>
      </c>
      <c r="L10" s="22">
        <f>SUM(K10/B10)*100</f>
        <v>100</v>
      </c>
    </row>
    <row r="11" spans="1:12" ht="12.75">
      <c r="A11" s="158" t="s">
        <v>14</v>
      </c>
      <c r="B11" s="19">
        <f>508758-'kötelező2018.'!C10</f>
        <v>138323</v>
      </c>
      <c r="C11" s="19"/>
      <c r="D11" s="179">
        <f>SUM(C11/B11)*100</f>
        <v>0</v>
      </c>
      <c r="E11" s="20"/>
      <c r="F11" s="21">
        <f>SUM(E11/B11)*100</f>
        <v>0</v>
      </c>
      <c r="G11" s="20"/>
      <c r="H11" s="21">
        <f>SUM(G11/B11*100)</f>
        <v>0</v>
      </c>
      <c r="I11" s="20"/>
      <c r="J11" s="17">
        <f>SUM(I11/B11*100)</f>
        <v>0</v>
      </c>
      <c r="K11" s="20">
        <f>SUM(B11-C11-E11-G11-I11)</f>
        <v>138323</v>
      </c>
      <c r="L11" s="22">
        <f>SUM(K11/B11)*100</f>
        <v>100</v>
      </c>
    </row>
    <row r="12" spans="1:12" ht="12.75">
      <c r="A12" s="158" t="s">
        <v>1</v>
      </c>
      <c r="B12" s="19">
        <v>10145</v>
      </c>
      <c r="C12" s="19"/>
      <c r="D12" s="179">
        <f t="shared" si="3"/>
        <v>0</v>
      </c>
      <c r="E12" s="20"/>
      <c r="F12" s="21">
        <f t="shared" si="0"/>
        <v>0</v>
      </c>
      <c r="G12" s="20"/>
      <c r="H12" s="21">
        <f>SUM(G12/B12*100)</f>
        <v>0</v>
      </c>
      <c r="I12" s="20"/>
      <c r="J12" s="17">
        <f t="shared" si="1"/>
        <v>0</v>
      </c>
      <c r="K12" s="20">
        <f t="shared" si="2"/>
        <v>10145</v>
      </c>
      <c r="L12" s="22">
        <f>SUM(K12/B12)*100</f>
        <v>100</v>
      </c>
    </row>
    <row r="13" spans="1:12" ht="12.75">
      <c r="A13" s="158" t="s">
        <v>22</v>
      </c>
      <c r="B13" s="19">
        <v>66180</v>
      </c>
      <c r="C13" s="19"/>
      <c r="D13" s="179">
        <f t="shared" si="3"/>
        <v>0</v>
      </c>
      <c r="E13" s="20"/>
      <c r="F13" s="21">
        <f t="shared" si="0"/>
        <v>0</v>
      </c>
      <c r="G13" s="20"/>
      <c r="H13" s="21">
        <f>SUM(G13/B13*100)</f>
        <v>0</v>
      </c>
      <c r="I13" s="20"/>
      <c r="J13" s="17">
        <f t="shared" si="1"/>
        <v>0</v>
      </c>
      <c r="K13" s="20">
        <f t="shared" si="2"/>
        <v>66180</v>
      </c>
      <c r="L13" s="22">
        <f>SUM(K13/B13)*100</f>
        <v>100</v>
      </c>
    </row>
    <row r="14" spans="1:12" ht="12.75">
      <c r="A14" s="158" t="s">
        <v>23</v>
      </c>
      <c r="B14" s="19">
        <f>384682-'kötelező2018.'!C6</f>
        <v>329620</v>
      </c>
      <c r="C14" s="19"/>
      <c r="D14" s="179">
        <f t="shared" si="3"/>
        <v>0</v>
      </c>
      <c r="E14" s="20"/>
      <c r="F14" s="21">
        <f t="shared" si="0"/>
        <v>0</v>
      </c>
      <c r="G14" s="20"/>
      <c r="H14" s="21">
        <f>SUM(G14/B14*100)</f>
        <v>0</v>
      </c>
      <c r="I14" s="20"/>
      <c r="J14" s="17">
        <f t="shared" si="1"/>
        <v>0</v>
      </c>
      <c r="K14" s="20">
        <f t="shared" si="2"/>
        <v>329620</v>
      </c>
      <c r="L14" s="22">
        <f>SUM(K14/B14)*100</f>
        <v>100</v>
      </c>
    </row>
    <row r="15" spans="1:12" ht="12.75">
      <c r="A15" s="158" t="s">
        <v>108</v>
      </c>
      <c r="B15" s="19">
        <f>2158+10036</f>
        <v>12194</v>
      </c>
      <c r="C15" s="19"/>
      <c r="D15" s="179">
        <f t="shared" si="3"/>
        <v>0</v>
      </c>
      <c r="E15" s="20"/>
      <c r="F15" s="21">
        <f>SUM(E15/B15)*100</f>
        <v>0</v>
      </c>
      <c r="G15" s="20"/>
      <c r="H15" s="21">
        <f>SUM(G15/B15*100)</f>
        <v>0</v>
      </c>
      <c r="I15" s="20"/>
      <c r="J15" s="17">
        <f>SUM(I15/B15*100)</f>
        <v>0</v>
      </c>
      <c r="K15" s="20">
        <f>SUM(B15-C15-E15-G15-I15)</f>
        <v>12194</v>
      </c>
      <c r="L15" s="22">
        <f>SUM(K15/B15)*100</f>
        <v>100</v>
      </c>
    </row>
    <row r="16" spans="1:12" ht="12.75">
      <c r="A16" s="158" t="s">
        <v>113</v>
      </c>
      <c r="B16" s="19">
        <f>680+2836</f>
        <v>3516</v>
      </c>
      <c r="C16" s="19"/>
      <c r="D16" s="179">
        <f t="shared" si="3"/>
        <v>0</v>
      </c>
      <c r="E16" s="20"/>
      <c r="F16" s="21">
        <f>SUM(E16/B16)*100</f>
        <v>0</v>
      </c>
      <c r="G16" s="20"/>
      <c r="H16" s="21">
        <f>SUM(G16/B16*100)</f>
        <v>0</v>
      </c>
      <c r="I16" s="20"/>
      <c r="J16" s="17">
        <f>SUM(I16/B16*100)</f>
        <v>0</v>
      </c>
      <c r="K16" s="20">
        <f>SUM(B16-C16-E16-G16-I16)</f>
        <v>3516</v>
      </c>
      <c r="L16" s="22">
        <f>SUM(K16/B16)*100</f>
        <v>100</v>
      </c>
    </row>
    <row r="17" spans="1:12" ht="12.75">
      <c r="A17" s="158" t="s">
        <v>112</v>
      </c>
      <c r="B17" s="19">
        <f>4516+550</f>
        <v>5066</v>
      </c>
      <c r="C17" s="19"/>
      <c r="D17" s="179">
        <f t="shared" si="3"/>
        <v>0</v>
      </c>
      <c r="E17" s="20"/>
      <c r="F17" s="21">
        <f>SUM(E17/B17)*100</f>
        <v>0</v>
      </c>
      <c r="G17" s="20"/>
      <c r="H17" s="21">
        <f>SUM(G17/B17*100)</f>
        <v>0</v>
      </c>
      <c r="I17" s="20"/>
      <c r="J17" s="17">
        <f>SUM(I17/B17*100)</f>
        <v>0</v>
      </c>
      <c r="K17" s="20">
        <f>SUM(B17-C17-E17-G17-I17)</f>
        <v>5066</v>
      </c>
      <c r="L17" s="22">
        <f>SUM(K17/B17)*100</f>
        <v>100</v>
      </c>
    </row>
    <row r="18" spans="1:12" ht="12.75">
      <c r="A18" s="158" t="s">
        <v>111</v>
      </c>
      <c r="B18" s="19">
        <f>31121+18000</f>
        <v>49121</v>
      </c>
      <c r="C18" s="19"/>
      <c r="D18" s="179">
        <f t="shared" si="3"/>
        <v>0</v>
      </c>
      <c r="E18" s="20"/>
      <c r="F18" s="21">
        <f>SUM(E18/B18)*100</f>
        <v>0</v>
      </c>
      <c r="G18" s="20"/>
      <c r="H18" s="21">
        <f>SUM(G18/B18*100)</f>
        <v>0</v>
      </c>
      <c r="I18" s="20"/>
      <c r="J18" s="17">
        <f>SUM(I18/B18*100)</f>
        <v>0</v>
      </c>
      <c r="K18" s="20">
        <f>SUM(B18-C18-E18-G18-I18)</f>
        <v>49121</v>
      </c>
      <c r="L18" s="22">
        <f>SUM(K18/B18)*100</f>
        <v>100</v>
      </c>
    </row>
    <row r="19" spans="1:12" ht="13.5" thickBot="1">
      <c r="A19" s="158" t="s">
        <v>109</v>
      </c>
      <c r="B19" s="19">
        <f>6234+37272</f>
        <v>43506</v>
      </c>
      <c r="C19" s="19"/>
      <c r="D19" s="179">
        <f t="shared" si="3"/>
        <v>0</v>
      </c>
      <c r="E19" s="20"/>
      <c r="F19" s="21">
        <f>SUM(E19/B19)*100</f>
        <v>0</v>
      </c>
      <c r="G19" s="20"/>
      <c r="H19" s="21">
        <f>SUM(G19/B19*100)</f>
        <v>0</v>
      </c>
      <c r="I19" s="20"/>
      <c r="J19" s="17">
        <f>SUM(I19/B19*100)</f>
        <v>0</v>
      </c>
      <c r="K19" s="20">
        <f>SUM(B19-C19-E19-G19-I19)</f>
        <v>43506</v>
      </c>
      <c r="L19" s="22">
        <f>SUM(K19/B19)*100</f>
        <v>100</v>
      </c>
    </row>
    <row r="20" spans="1:12" s="31" customFormat="1" ht="13.5" thickBot="1">
      <c r="A20" s="29" t="s">
        <v>37</v>
      </c>
      <c r="B20" s="26">
        <f>SUM(B6:B19)</f>
        <v>5562685</v>
      </c>
      <c r="C20" s="26">
        <f>SUM(C6:C14)</f>
        <v>2744861</v>
      </c>
      <c r="D20" s="203">
        <f t="shared" si="3"/>
        <v>49.34417462070924</v>
      </c>
      <c r="E20" s="26">
        <f>SUM(E6:E14)</f>
        <v>0</v>
      </c>
      <c r="F20" s="56">
        <f>SUM(E20/B20*100)</f>
        <v>0</v>
      </c>
      <c r="G20" s="26">
        <f>SUM(G6:G14)</f>
        <v>0</v>
      </c>
      <c r="H20" s="30">
        <f>SUM(G20/B20*100)</f>
        <v>0</v>
      </c>
      <c r="I20" s="26">
        <f>SUM(I6:I14)</f>
        <v>0</v>
      </c>
      <c r="J20" s="30">
        <f t="shared" si="1"/>
        <v>0</v>
      </c>
      <c r="K20" s="26">
        <f>SUM(K6:K19)</f>
        <v>2817824</v>
      </c>
      <c r="L20" s="41">
        <f>SUM(K20/B20)*100</f>
        <v>50.655825379290754</v>
      </c>
    </row>
    <row r="21" spans="1:12" ht="12.75">
      <c r="A21" s="180" t="s">
        <v>19</v>
      </c>
      <c r="B21" s="15">
        <v>92476</v>
      </c>
      <c r="C21" s="15">
        <v>702</v>
      </c>
      <c r="D21" s="178">
        <f aca="true" t="shared" si="4" ref="D21:D31">SUM(C21/B21)*100</f>
        <v>0.7591158787144773</v>
      </c>
      <c r="E21" s="78">
        <v>61</v>
      </c>
      <c r="F21" s="17">
        <f aca="true" t="shared" si="5" ref="F21:F31">SUM(E21/B21)*100</f>
        <v>0.06596306068601583</v>
      </c>
      <c r="G21" s="78">
        <v>99045</v>
      </c>
      <c r="H21" s="17">
        <f aca="true" t="shared" si="6" ref="H21:H27">SUM(G21/B21*100)</f>
        <v>107.10346468272849</v>
      </c>
      <c r="I21" s="16"/>
      <c r="J21" s="17">
        <f t="shared" si="1"/>
        <v>0</v>
      </c>
      <c r="K21" s="16">
        <f aca="true" t="shared" si="7" ref="K21:K26">SUM(B21-C21-E21-G21-I21)</f>
        <v>-7332</v>
      </c>
      <c r="L21" s="18">
        <f aca="true" t="shared" si="8" ref="L21:L29">SUM(K21/B21)*100</f>
        <v>-7.928543622128985</v>
      </c>
    </row>
    <row r="22" spans="1:12" ht="12.75">
      <c r="A22" s="176" t="s">
        <v>31</v>
      </c>
      <c r="B22" s="19">
        <v>949516</v>
      </c>
      <c r="C22" s="19">
        <v>48158</v>
      </c>
      <c r="D22" s="179">
        <f t="shared" si="4"/>
        <v>5.071847130538084</v>
      </c>
      <c r="E22" s="75">
        <v>7283</v>
      </c>
      <c r="F22" s="21">
        <f t="shared" si="5"/>
        <v>0.7670223566532844</v>
      </c>
      <c r="G22" s="75">
        <v>572150</v>
      </c>
      <c r="H22" s="21">
        <f t="shared" si="6"/>
        <v>60.25701515298321</v>
      </c>
      <c r="I22" s="16">
        <v>39029</v>
      </c>
      <c r="J22" s="17">
        <f t="shared" si="1"/>
        <v>4.110409935166969</v>
      </c>
      <c r="K22" s="16">
        <f t="shared" si="7"/>
        <v>282896</v>
      </c>
      <c r="L22" s="22">
        <f t="shared" si="8"/>
        <v>29.793705424658455</v>
      </c>
    </row>
    <row r="23" spans="1:12" ht="12.75">
      <c r="A23" s="176" t="s">
        <v>20</v>
      </c>
      <c r="B23" s="19">
        <v>134365</v>
      </c>
      <c r="C23" s="19">
        <v>14039</v>
      </c>
      <c r="D23" s="179">
        <f t="shared" si="4"/>
        <v>10.44840546273211</v>
      </c>
      <c r="E23" s="75">
        <v>355</v>
      </c>
      <c r="F23" s="21">
        <f t="shared" si="5"/>
        <v>0.26420570833178286</v>
      </c>
      <c r="G23" s="75">
        <v>91174</v>
      </c>
      <c r="H23" s="21">
        <f t="shared" si="6"/>
        <v>67.85546831392104</v>
      </c>
      <c r="I23" s="16"/>
      <c r="J23" s="17">
        <f t="shared" si="1"/>
        <v>0</v>
      </c>
      <c r="K23" s="16">
        <f t="shared" si="7"/>
        <v>28797</v>
      </c>
      <c r="L23" s="22">
        <f t="shared" si="8"/>
        <v>21.431920515015072</v>
      </c>
    </row>
    <row r="24" spans="1:12" ht="12.75">
      <c r="A24" s="176" t="s">
        <v>21</v>
      </c>
      <c r="B24" s="19">
        <v>69433</v>
      </c>
      <c r="C24" s="19">
        <v>10319</v>
      </c>
      <c r="D24" s="179">
        <f t="shared" si="4"/>
        <v>14.86180922616047</v>
      </c>
      <c r="E24" s="75">
        <v>0</v>
      </c>
      <c r="F24" s="21">
        <f t="shared" si="5"/>
        <v>0</v>
      </c>
      <c r="G24" s="75">
        <v>69964</v>
      </c>
      <c r="H24" s="21">
        <f t="shared" si="6"/>
        <v>100.76476603344231</v>
      </c>
      <c r="I24" s="16"/>
      <c r="J24" s="17">
        <f t="shared" si="1"/>
        <v>0</v>
      </c>
      <c r="K24" s="16">
        <f t="shared" si="7"/>
        <v>-10850</v>
      </c>
      <c r="L24" s="22">
        <f t="shared" si="8"/>
        <v>-15.626575259602781</v>
      </c>
    </row>
    <row r="25" spans="1:12" ht="12.75">
      <c r="A25" s="176" t="s">
        <v>32</v>
      </c>
      <c r="B25" s="19">
        <v>28585</v>
      </c>
      <c r="C25" s="19">
        <v>37720</v>
      </c>
      <c r="D25" s="179">
        <f t="shared" si="4"/>
        <v>131.9573202728704</v>
      </c>
      <c r="E25" s="75">
        <v>1655</v>
      </c>
      <c r="F25" s="21">
        <f t="shared" si="5"/>
        <v>5.789749868812314</v>
      </c>
      <c r="G25" s="75">
        <v>3930</v>
      </c>
      <c r="H25" s="21">
        <f t="shared" si="6"/>
        <v>13.748469476998427</v>
      </c>
      <c r="I25" s="16"/>
      <c r="J25" s="17">
        <f t="shared" si="1"/>
        <v>0</v>
      </c>
      <c r="K25" s="16">
        <f t="shared" si="7"/>
        <v>-14720</v>
      </c>
      <c r="L25" s="22">
        <f t="shared" si="8"/>
        <v>-51.49553961868113</v>
      </c>
    </row>
    <row r="26" spans="1:12" ht="13.5" thickBot="1">
      <c r="A26" s="177" t="s">
        <v>33</v>
      </c>
      <c r="B26" s="23">
        <v>93920</v>
      </c>
      <c r="C26" s="23">
        <v>920</v>
      </c>
      <c r="D26" s="181">
        <f t="shared" si="4"/>
        <v>0.9795570698466781</v>
      </c>
      <c r="E26" s="81">
        <v>355</v>
      </c>
      <c r="F26" s="24">
        <f t="shared" si="5"/>
        <v>0.37798126064735943</v>
      </c>
      <c r="G26" s="81">
        <v>23405</v>
      </c>
      <c r="H26" s="24">
        <f t="shared" si="6"/>
        <v>24.920144804088586</v>
      </c>
      <c r="I26" s="33"/>
      <c r="J26" s="17">
        <f t="shared" si="1"/>
        <v>0</v>
      </c>
      <c r="K26" s="16">
        <f t="shared" si="7"/>
        <v>69240</v>
      </c>
      <c r="L26" s="73">
        <f t="shared" si="8"/>
        <v>73.72231686541738</v>
      </c>
    </row>
    <row r="27" spans="1:12" s="31" customFormat="1" ht="13.5" thickBot="1">
      <c r="A27" s="25" t="s">
        <v>41</v>
      </c>
      <c r="B27" s="26">
        <f>SUM(B21:B26)</f>
        <v>1368295</v>
      </c>
      <c r="C27" s="26">
        <f aca="true" t="shared" si="9" ref="C27:K27">SUM(C21:C26)</f>
        <v>111858</v>
      </c>
      <c r="D27" s="103">
        <f t="shared" si="4"/>
        <v>8.174991504025082</v>
      </c>
      <c r="E27" s="26">
        <f t="shared" si="9"/>
        <v>9709</v>
      </c>
      <c r="F27" s="30">
        <f t="shared" si="5"/>
        <v>0.7095692083943886</v>
      </c>
      <c r="G27" s="26">
        <f t="shared" si="9"/>
        <v>859668</v>
      </c>
      <c r="H27" s="30">
        <f t="shared" si="6"/>
        <v>62.82767970357269</v>
      </c>
      <c r="I27" s="26">
        <f>SUM(I21:I26)</f>
        <v>39029</v>
      </c>
      <c r="J27" s="30">
        <f t="shared" si="1"/>
        <v>2.8523819790322995</v>
      </c>
      <c r="K27" s="26">
        <f t="shared" si="9"/>
        <v>348031</v>
      </c>
      <c r="L27" s="41">
        <f t="shared" si="8"/>
        <v>25.435377604975535</v>
      </c>
    </row>
    <row r="28" spans="1:12" s="91" customFormat="1" ht="12.75">
      <c r="A28" s="182" t="s">
        <v>53</v>
      </c>
      <c r="B28" s="151">
        <f>2357060-'kötelező2018.'!C25-'kötelező2018.'!C26-B29</f>
        <v>477096</v>
      </c>
      <c r="C28" s="151"/>
      <c r="D28" s="183">
        <f t="shared" si="4"/>
        <v>0</v>
      </c>
      <c r="E28" s="151"/>
      <c r="F28" s="34">
        <f t="shared" si="5"/>
        <v>0</v>
      </c>
      <c r="G28" s="151"/>
      <c r="H28" s="34">
        <f>SUM(G28/B28*100)</f>
        <v>0</v>
      </c>
      <c r="I28" s="151"/>
      <c r="J28" s="34">
        <f t="shared" si="1"/>
        <v>0</v>
      </c>
      <c r="K28" s="33">
        <f>SUM(B28-C28-E28-G28-I28)</f>
        <v>477096</v>
      </c>
      <c r="L28" s="35">
        <f t="shared" si="8"/>
        <v>100</v>
      </c>
    </row>
    <row r="29" spans="1:12" ht="13.5" thickBot="1">
      <c r="A29" s="38" t="s">
        <v>34</v>
      </c>
      <c r="B29" s="27">
        <v>2550</v>
      </c>
      <c r="C29" s="27"/>
      <c r="D29" s="184">
        <f t="shared" si="4"/>
        <v>0</v>
      </c>
      <c r="E29" s="28"/>
      <c r="F29" s="39">
        <f t="shared" si="5"/>
        <v>0</v>
      </c>
      <c r="G29" s="28"/>
      <c r="H29" s="39">
        <f>SUM(G29/B29*100)</f>
        <v>0</v>
      </c>
      <c r="I29" s="28"/>
      <c r="J29" s="39">
        <f t="shared" si="1"/>
        <v>0</v>
      </c>
      <c r="K29" s="28">
        <f>SUM(B29-C29-E29-G29-I29)</f>
        <v>2550</v>
      </c>
      <c r="L29" s="40">
        <f t="shared" si="8"/>
        <v>100</v>
      </c>
    </row>
    <row r="30" spans="1:12" s="31" customFormat="1" ht="13.5" thickBot="1">
      <c r="A30" s="29" t="s">
        <v>38</v>
      </c>
      <c r="B30" s="26">
        <f>SUM(B28:B29)</f>
        <v>479646</v>
      </c>
      <c r="C30" s="26">
        <f>SUM(C28:C29)</f>
        <v>0</v>
      </c>
      <c r="D30" s="103">
        <f t="shared" si="4"/>
        <v>0</v>
      </c>
      <c r="E30" s="26">
        <f>SUM(E29)</f>
        <v>0</v>
      </c>
      <c r="F30" s="30">
        <f t="shared" si="5"/>
        <v>0</v>
      </c>
      <c r="G30" s="26">
        <f>SUM(G28:G29)</f>
        <v>0</v>
      </c>
      <c r="H30" s="30">
        <f>SUM(H29)</f>
        <v>0</v>
      </c>
      <c r="I30" s="26">
        <f>SUM(I28:I29)</f>
        <v>0</v>
      </c>
      <c r="J30" s="30">
        <f t="shared" si="1"/>
        <v>0</v>
      </c>
      <c r="K30" s="26">
        <f>SUM(K28:K29)</f>
        <v>479646</v>
      </c>
      <c r="L30" s="41">
        <f>SUM(L29)</f>
        <v>100</v>
      </c>
    </row>
    <row r="31" spans="1:12" s="31" customFormat="1" ht="13.5" thickBot="1">
      <c r="A31" s="25" t="s">
        <v>16</v>
      </c>
      <c r="B31" s="26">
        <f>SUM(B30,B27,B20)</f>
        <v>7410626</v>
      </c>
      <c r="C31" s="26">
        <f>SUM(C30,C27,C20)</f>
        <v>2856719</v>
      </c>
      <c r="D31" s="103">
        <f t="shared" si="4"/>
        <v>38.54895659287083</v>
      </c>
      <c r="E31" s="26">
        <f>SUM(E30,E27,E20)</f>
        <v>9709</v>
      </c>
      <c r="F31" s="30">
        <f t="shared" si="5"/>
        <v>0.1310145728579475</v>
      </c>
      <c r="G31" s="26">
        <f>SUM(G30,G27,G20)</f>
        <v>859668</v>
      </c>
      <c r="H31" s="30">
        <f>SUM(G31/B31*100)</f>
        <v>11.600477476531672</v>
      </c>
      <c r="I31" s="26">
        <f>SUM(I30,I27,I20)</f>
        <v>39029</v>
      </c>
      <c r="J31" s="30">
        <f t="shared" si="1"/>
        <v>0.5266626598076869</v>
      </c>
      <c r="K31" s="26">
        <f>SUM(K30,K27,K20)</f>
        <v>3645501</v>
      </c>
      <c r="L31" s="41">
        <f>SUM(K31/B31)*100</f>
        <v>49.19288869793186</v>
      </c>
    </row>
    <row r="32" spans="3:11" ht="12.75">
      <c r="C32" s="6"/>
      <c r="D32" s="71"/>
      <c r="E32" s="3"/>
      <c r="F32" s="2"/>
      <c r="G32" s="3"/>
      <c r="H32" s="2"/>
      <c r="I32" s="2"/>
      <c r="J32" s="2"/>
      <c r="K32" s="6"/>
    </row>
    <row r="33" spans="1:7" s="3" customFormat="1" ht="13.5" thickBot="1">
      <c r="A33" s="152" t="s">
        <v>54</v>
      </c>
      <c r="D33" s="104"/>
      <c r="G33" s="48"/>
    </row>
    <row r="34" spans="1:12" s="3" customFormat="1" ht="13.5" thickBot="1">
      <c r="A34" s="153" t="s">
        <v>55</v>
      </c>
      <c r="B34" s="154">
        <v>32400</v>
      </c>
      <c r="C34" s="154"/>
      <c r="D34" s="155">
        <f>SUM(C34/B34)*100</f>
        <v>0</v>
      </c>
      <c r="E34" s="154"/>
      <c r="F34" s="154">
        <f>SUM(E34/B34)*100</f>
        <v>0</v>
      </c>
      <c r="G34" s="156"/>
      <c r="H34" s="154">
        <f>SUM(G34/B34*100)</f>
        <v>0</v>
      </c>
      <c r="I34" s="154"/>
      <c r="J34" s="154">
        <f>SUM(I34/B34*100)</f>
        <v>0</v>
      </c>
      <c r="K34" s="154">
        <f>SUM(B34-C34-E34-G34-I34)</f>
        <v>32400</v>
      </c>
      <c r="L34" s="157">
        <f>SUM(K34/B34)*100</f>
        <v>100</v>
      </c>
    </row>
    <row r="35" spans="4:7" s="3" customFormat="1" ht="12.75">
      <c r="D35" s="104"/>
      <c r="G35" s="48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23">
      <selection activeCell="B47" sqref="A47:IV106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375" style="3" customWidth="1"/>
    <col min="4" max="4" width="9.7539062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88" t="s">
        <v>28</v>
      </c>
      <c r="M1" s="188"/>
    </row>
    <row r="2" spans="2:13" ht="14.25" customHeight="1">
      <c r="B2" s="187" t="s">
        <v>96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13" ht="12" customHeight="1" thickBot="1">
      <c r="B3" s="36"/>
      <c r="C3" s="48"/>
      <c r="D3" s="48"/>
      <c r="E3" s="49"/>
      <c r="F3" s="48"/>
      <c r="G3" s="50"/>
      <c r="H3" s="59"/>
      <c r="I3" s="62"/>
      <c r="J3" s="51"/>
      <c r="K3" s="67"/>
      <c r="L3" s="52"/>
      <c r="M3" s="53" t="s">
        <v>0</v>
      </c>
    </row>
    <row r="4" spans="2:13" s="55" customFormat="1" ht="41.25" customHeight="1" thickBot="1">
      <c r="B4" s="37" t="s">
        <v>2</v>
      </c>
      <c r="C4" s="45" t="s">
        <v>63</v>
      </c>
      <c r="D4" s="45" t="s">
        <v>62</v>
      </c>
      <c r="E4" s="46" t="s">
        <v>61</v>
      </c>
      <c r="F4" s="45" t="s">
        <v>60</v>
      </c>
      <c r="G4" s="150" t="s">
        <v>59</v>
      </c>
      <c r="H4" s="45" t="s">
        <v>100</v>
      </c>
      <c r="I4" s="150" t="s">
        <v>64</v>
      </c>
      <c r="J4" s="46" t="s">
        <v>57</v>
      </c>
      <c r="K4" s="46" t="s">
        <v>46</v>
      </c>
      <c r="L4" s="47" t="s">
        <v>65</v>
      </c>
      <c r="M4" s="54" t="s">
        <v>66</v>
      </c>
    </row>
    <row r="5" spans="2:13" ht="12" customHeight="1">
      <c r="B5" s="158" t="s">
        <v>35</v>
      </c>
      <c r="C5" s="19">
        <f>47664-'önként2018.'!B7</f>
        <v>25000</v>
      </c>
      <c r="D5" s="20"/>
      <c r="E5" s="21">
        <f>SUM(D5/C5)*100</f>
        <v>0</v>
      </c>
      <c r="F5" s="20"/>
      <c r="G5" s="17">
        <f>SUM(F5/C5)*100</f>
        <v>0</v>
      </c>
      <c r="H5" s="20"/>
      <c r="I5" s="63">
        <f aca="true" t="shared" si="0" ref="I5:I20">SUM(H5/C5)*100</f>
        <v>0</v>
      </c>
      <c r="J5" s="16"/>
      <c r="K5" s="17">
        <f aca="true" t="shared" si="1" ref="K5:K20">SUM(J5/C5)*100</f>
        <v>0</v>
      </c>
      <c r="L5" s="16">
        <f aca="true" t="shared" si="2" ref="L5:L14">SUM(C5-D5-F5-H5-J5)</f>
        <v>25000</v>
      </c>
      <c r="M5" s="22">
        <f>SUM(L5/C5)*100</f>
        <v>100</v>
      </c>
    </row>
    <row r="6" spans="2:13" ht="12" customHeight="1">
      <c r="B6" s="158" t="s">
        <v>4</v>
      </c>
      <c r="C6" s="19">
        <v>55062</v>
      </c>
      <c r="D6" s="20"/>
      <c r="E6" s="21">
        <f>SUM(D6/C6)*100</f>
        <v>0</v>
      </c>
      <c r="F6" s="20"/>
      <c r="G6" s="17">
        <f>SUM(F6/C6)*100</f>
        <v>0</v>
      </c>
      <c r="H6" s="20">
        <f>38+65-23</f>
        <v>80</v>
      </c>
      <c r="I6" s="63">
        <f t="shared" si="0"/>
        <v>0.1452907631397334</v>
      </c>
      <c r="J6" s="16"/>
      <c r="K6" s="17">
        <f t="shared" si="1"/>
        <v>0</v>
      </c>
      <c r="L6" s="16">
        <f t="shared" si="2"/>
        <v>54982</v>
      </c>
      <c r="M6" s="22">
        <f>SUM(L6/C6)*100</f>
        <v>99.85470923686026</v>
      </c>
    </row>
    <row r="7" spans="2:13" ht="12" customHeight="1">
      <c r="B7" s="158" t="s">
        <v>5</v>
      </c>
      <c r="C7" s="19">
        <f>265000-5500</f>
        <v>259500</v>
      </c>
      <c r="D7" s="20"/>
      <c r="E7" s="21">
        <f>SUM(D7/C7)*100</f>
        <v>0</v>
      </c>
      <c r="F7" s="20">
        <v>10524</v>
      </c>
      <c r="G7" s="17">
        <f>SUM(F7/C7)*100</f>
        <v>4.055491329479769</v>
      </c>
      <c r="H7" s="20"/>
      <c r="I7" s="63">
        <f t="shared" si="0"/>
        <v>0</v>
      </c>
      <c r="J7" s="16"/>
      <c r="K7" s="17">
        <f t="shared" si="1"/>
        <v>0</v>
      </c>
      <c r="L7" s="16">
        <f t="shared" si="2"/>
        <v>248976</v>
      </c>
      <c r="M7" s="22">
        <f>SUM(L7/C7)*100</f>
        <v>95.94450867052024</v>
      </c>
    </row>
    <row r="8" spans="2:13" ht="12" customHeight="1">
      <c r="B8" s="158" t="s">
        <v>12</v>
      </c>
      <c r="C8" s="19">
        <v>207818</v>
      </c>
      <c r="D8" s="20"/>
      <c r="E8" s="21">
        <f aca="true" t="shared" si="3" ref="E8:E15">SUM(D8/C8)*100</f>
        <v>0</v>
      </c>
      <c r="F8" s="20"/>
      <c r="G8" s="21">
        <f aca="true" t="shared" si="4" ref="G8:G15">SUM(F8/C8)*100</f>
        <v>0</v>
      </c>
      <c r="H8" s="20"/>
      <c r="I8" s="63">
        <f t="shared" si="0"/>
        <v>0</v>
      </c>
      <c r="J8" s="16"/>
      <c r="K8" s="17">
        <f t="shared" si="1"/>
        <v>0</v>
      </c>
      <c r="L8" s="16">
        <f t="shared" si="2"/>
        <v>207818</v>
      </c>
      <c r="M8" s="22">
        <f aca="true" t="shared" si="5" ref="M8:M15">SUM(L8/C8)*100</f>
        <v>100</v>
      </c>
    </row>
    <row r="9" spans="2:13" ht="12" customHeight="1">
      <c r="B9" s="158" t="s">
        <v>13</v>
      </c>
      <c r="C9" s="19">
        <f>886776-'önként2018.'!B10</f>
        <v>808741</v>
      </c>
      <c r="D9" s="20"/>
      <c r="E9" s="21">
        <f t="shared" si="3"/>
        <v>0</v>
      </c>
      <c r="F9" s="20"/>
      <c r="G9" s="21">
        <f t="shared" si="4"/>
        <v>0</v>
      </c>
      <c r="H9" s="20"/>
      <c r="I9" s="63">
        <f t="shared" si="0"/>
        <v>0</v>
      </c>
      <c r="J9" s="16">
        <v>372672</v>
      </c>
      <c r="K9" s="17">
        <f t="shared" si="1"/>
        <v>46.08051279705122</v>
      </c>
      <c r="L9" s="16">
        <f t="shared" si="2"/>
        <v>436069</v>
      </c>
      <c r="M9" s="22">
        <f t="shared" si="5"/>
        <v>53.91948720294878</v>
      </c>
    </row>
    <row r="10" spans="2:13" ht="12" customHeight="1">
      <c r="B10" s="158" t="s">
        <v>14</v>
      </c>
      <c r="C10" s="19">
        <v>370435</v>
      </c>
      <c r="D10" s="20"/>
      <c r="E10" s="21">
        <f t="shared" si="3"/>
        <v>0</v>
      </c>
      <c r="F10" s="20"/>
      <c r="G10" s="21">
        <f t="shared" si="4"/>
        <v>0</v>
      </c>
      <c r="H10" s="20"/>
      <c r="I10" s="63">
        <f t="shared" si="0"/>
        <v>0</v>
      </c>
      <c r="J10" s="16"/>
      <c r="K10" s="17">
        <f t="shared" si="1"/>
        <v>0</v>
      </c>
      <c r="L10" s="16">
        <f t="shared" si="2"/>
        <v>370435</v>
      </c>
      <c r="M10" s="22">
        <f t="shared" si="5"/>
        <v>100</v>
      </c>
    </row>
    <row r="11" spans="2:13" ht="12" customHeight="1">
      <c r="B11" s="158" t="s">
        <v>15</v>
      </c>
      <c r="C11" s="19">
        <v>471557</v>
      </c>
      <c r="D11" s="20">
        <v>299834</v>
      </c>
      <c r="E11" s="21">
        <f t="shared" si="3"/>
        <v>63.58382973850457</v>
      </c>
      <c r="F11" s="20"/>
      <c r="G11" s="21">
        <f t="shared" si="4"/>
        <v>0</v>
      </c>
      <c r="H11" s="20"/>
      <c r="I11" s="63">
        <f t="shared" si="0"/>
        <v>0</v>
      </c>
      <c r="J11" s="16">
        <f>40000-27357</f>
        <v>12643</v>
      </c>
      <c r="K11" s="17">
        <f t="shared" si="1"/>
        <v>2.6811180832857957</v>
      </c>
      <c r="L11" s="16">
        <f>SUM(C11-D11-F11-H11-J11)</f>
        <v>159080</v>
      </c>
      <c r="M11" s="22">
        <f t="shared" si="5"/>
        <v>33.735052178209635</v>
      </c>
    </row>
    <row r="12" spans="2:13" ht="12" customHeight="1">
      <c r="B12" s="158" t="s">
        <v>56</v>
      </c>
      <c r="C12" s="23">
        <v>369097</v>
      </c>
      <c r="D12" s="159"/>
      <c r="E12" s="21">
        <f t="shared" si="3"/>
        <v>0</v>
      </c>
      <c r="F12" s="159"/>
      <c r="G12" s="21">
        <f t="shared" si="4"/>
        <v>0</v>
      </c>
      <c r="H12" s="159"/>
      <c r="I12" s="63">
        <f t="shared" si="0"/>
        <v>0</v>
      </c>
      <c r="J12" s="20">
        <v>300</v>
      </c>
      <c r="K12" s="17">
        <f t="shared" si="1"/>
        <v>0.08127944686627092</v>
      </c>
      <c r="L12" s="16">
        <f>SUM(C12-D12-F12-H12-J12)</f>
        <v>368797</v>
      </c>
      <c r="M12" s="22">
        <f t="shared" si="5"/>
        <v>99.91872055313374</v>
      </c>
    </row>
    <row r="13" spans="2:13" ht="12" customHeight="1">
      <c r="B13" s="160" t="s">
        <v>51</v>
      </c>
      <c r="C13" s="23">
        <f>1109089+345652</f>
        <v>1454741</v>
      </c>
      <c r="D13" s="159">
        <v>3270213</v>
      </c>
      <c r="E13" s="24">
        <f t="shared" si="3"/>
        <v>224.79692261371613</v>
      </c>
      <c r="F13" s="159"/>
      <c r="G13" s="24">
        <f t="shared" si="4"/>
        <v>0</v>
      </c>
      <c r="H13" s="159"/>
      <c r="I13" s="63">
        <f t="shared" si="0"/>
        <v>0</v>
      </c>
      <c r="J13" s="33"/>
      <c r="K13" s="17">
        <f t="shared" si="1"/>
        <v>0</v>
      </c>
      <c r="L13" s="16">
        <f t="shared" si="2"/>
        <v>-1815472</v>
      </c>
      <c r="M13" s="73">
        <f t="shared" si="5"/>
        <v>-124.7969226137161</v>
      </c>
    </row>
    <row r="14" spans="2:13" ht="12" customHeight="1" thickBot="1">
      <c r="B14" s="160" t="s">
        <v>27</v>
      </c>
      <c r="C14" s="23">
        <f>184351+6500</f>
        <v>190851</v>
      </c>
      <c r="D14" s="159">
        <v>64764</v>
      </c>
      <c r="E14" s="24">
        <f t="shared" si="3"/>
        <v>33.934325730543726</v>
      </c>
      <c r="F14" s="159"/>
      <c r="G14" s="24">
        <f t="shared" si="4"/>
        <v>0</v>
      </c>
      <c r="H14" s="159"/>
      <c r="I14" s="161">
        <f t="shared" si="0"/>
        <v>0</v>
      </c>
      <c r="J14" s="159"/>
      <c r="K14" s="34">
        <f t="shared" si="1"/>
        <v>0</v>
      </c>
      <c r="L14" s="33">
        <f t="shared" si="2"/>
        <v>126087</v>
      </c>
      <c r="M14" s="73">
        <f t="shared" si="5"/>
        <v>66.06567426945628</v>
      </c>
    </row>
    <row r="15" spans="2:13" s="31" customFormat="1" ht="12" customHeight="1" thickBot="1">
      <c r="B15" s="29" t="s">
        <v>37</v>
      </c>
      <c r="C15" s="26">
        <f>SUM(C5:C14)</f>
        <v>4212802</v>
      </c>
      <c r="D15" s="26">
        <f>SUM(D5:D14)</f>
        <v>3634811</v>
      </c>
      <c r="E15" s="56">
        <f t="shared" si="3"/>
        <v>86.28012899728019</v>
      </c>
      <c r="F15" s="26">
        <f>SUM(F5:F14)</f>
        <v>10524</v>
      </c>
      <c r="G15" s="56">
        <f t="shared" si="4"/>
        <v>0.2498099839489252</v>
      </c>
      <c r="H15" s="26">
        <f>SUM(H5:H14)</f>
        <v>80</v>
      </c>
      <c r="I15" s="56">
        <f t="shared" si="0"/>
        <v>0.001898973652215319</v>
      </c>
      <c r="J15" s="26">
        <f>SUM(J5:J14)</f>
        <v>385615</v>
      </c>
      <c r="K15" s="30">
        <f t="shared" si="1"/>
        <v>9.153409061237628</v>
      </c>
      <c r="L15" s="26">
        <f>SUM(L5:L14)</f>
        <v>181772</v>
      </c>
      <c r="M15" s="74">
        <f t="shared" si="5"/>
        <v>4.3147529838810375</v>
      </c>
    </row>
    <row r="16" spans="2:13" s="80" customFormat="1" ht="12" customHeight="1">
      <c r="B16" s="176" t="s">
        <v>11</v>
      </c>
      <c r="C16" s="19">
        <v>42712</v>
      </c>
      <c r="D16" s="75">
        <v>4617</v>
      </c>
      <c r="E16" s="21">
        <f aca="true" t="shared" si="6" ref="E16:E24">SUM(D16/C16)*100</f>
        <v>10.809608540925266</v>
      </c>
      <c r="F16" s="75"/>
      <c r="G16" s="76">
        <f aca="true" t="shared" si="7" ref="G16:G24">SUM(F16/C16)*100</f>
        <v>0</v>
      </c>
      <c r="H16" s="75"/>
      <c r="I16" s="77">
        <f t="shared" si="0"/>
        <v>0</v>
      </c>
      <c r="J16" s="78"/>
      <c r="K16" s="79">
        <f t="shared" si="1"/>
        <v>0</v>
      </c>
      <c r="L16" s="16">
        <f>SUM(C16-D16-F16-H16-J16)</f>
        <v>38095</v>
      </c>
      <c r="M16" s="22">
        <f aca="true" t="shared" si="8" ref="M16:M24">SUM(L16/C16)*100</f>
        <v>89.19039145907473</v>
      </c>
    </row>
    <row r="17" spans="2:13" s="80" customFormat="1" ht="12" customHeight="1">
      <c r="B17" s="176" t="s">
        <v>24</v>
      </c>
      <c r="C17" s="19">
        <v>58631</v>
      </c>
      <c r="D17" s="75">
        <v>19678</v>
      </c>
      <c r="E17" s="21">
        <f t="shared" si="6"/>
        <v>33.56244989851785</v>
      </c>
      <c r="F17" s="75"/>
      <c r="G17" s="76">
        <f t="shared" si="7"/>
        <v>0</v>
      </c>
      <c r="H17" s="75">
        <v>33070</v>
      </c>
      <c r="I17" s="77">
        <f t="shared" si="0"/>
        <v>56.40360901229725</v>
      </c>
      <c r="J17" s="78"/>
      <c r="K17" s="79">
        <f t="shared" si="1"/>
        <v>0</v>
      </c>
      <c r="L17" s="16">
        <f>SUM(C17-D17-F17-H17-J17)</f>
        <v>5883</v>
      </c>
      <c r="M17" s="22">
        <f t="shared" si="8"/>
        <v>10.033941089184902</v>
      </c>
    </row>
    <row r="18" spans="2:13" s="80" customFormat="1" ht="12" customHeight="1">
      <c r="B18" s="176" t="s">
        <v>30</v>
      </c>
      <c r="C18" s="19">
        <v>72429</v>
      </c>
      <c r="D18" s="75">
        <v>9</v>
      </c>
      <c r="E18" s="21">
        <f t="shared" si="6"/>
        <v>0.01242596197655635</v>
      </c>
      <c r="F18" s="75">
        <v>94</v>
      </c>
      <c r="G18" s="76">
        <f t="shared" si="7"/>
        <v>0.1297822695329219</v>
      </c>
      <c r="H18" s="75">
        <v>47628</v>
      </c>
      <c r="I18" s="77">
        <f t="shared" si="0"/>
        <v>65.75819077993621</v>
      </c>
      <c r="J18" s="78"/>
      <c r="K18" s="79">
        <f t="shared" si="1"/>
        <v>0</v>
      </c>
      <c r="L18" s="16">
        <f>SUM(C18-D18-F18-H18-J18)</f>
        <v>24698</v>
      </c>
      <c r="M18" s="22">
        <f t="shared" si="8"/>
        <v>34.09960098855431</v>
      </c>
    </row>
    <row r="19" spans="2:13" s="80" customFormat="1" ht="12" customHeight="1">
      <c r="B19" s="176" t="s">
        <v>26</v>
      </c>
      <c r="C19" s="19">
        <v>25312</v>
      </c>
      <c r="D19" s="75">
        <v>3</v>
      </c>
      <c r="E19" s="21">
        <f t="shared" si="6"/>
        <v>0.011852085967130215</v>
      </c>
      <c r="F19" s="75">
        <v>10</v>
      </c>
      <c r="G19" s="76">
        <f t="shared" si="7"/>
        <v>0.039506953223767384</v>
      </c>
      <c r="H19" s="75">
        <v>15867</v>
      </c>
      <c r="I19" s="77">
        <f t="shared" si="0"/>
        <v>62.685682680151714</v>
      </c>
      <c r="J19" s="78"/>
      <c r="K19" s="79">
        <f t="shared" si="1"/>
        <v>0</v>
      </c>
      <c r="L19" s="16">
        <f>SUM(C19-D19-F19-H19-J19)</f>
        <v>9432</v>
      </c>
      <c r="M19" s="22">
        <f t="shared" si="8"/>
        <v>37.262958280657394</v>
      </c>
    </row>
    <row r="20" spans="2:13" s="80" customFormat="1" ht="12" customHeight="1" thickBot="1">
      <c r="B20" s="177" t="s">
        <v>25</v>
      </c>
      <c r="C20" s="23">
        <v>22914</v>
      </c>
      <c r="D20" s="81">
        <v>2614</v>
      </c>
      <c r="E20" s="24">
        <f t="shared" si="6"/>
        <v>11.40787291612115</v>
      </c>
      <c r="F20" s="81"/>
      <c r="G20" s="82">
        <f t="shared" si="7"/>
        <v>0</v>
      </c>
      <c r="H20" s="81">
        <v>10622</v>
      </c>
      <c r="I20" s="77">
        <f t="shared" si="0"/>
        <v>46.3559396002444</v>
      </c>
      <c r="J20" s="83"/>
      <c r="K20" s="79">
        <f t="shared" si="1"/>
        <v>0</v>
      </c>
      <c r="L20" s="16">
        <f>SUM(C20-D20-F20-H20-J20)</f>
        <v>9678</v>
      </c>
      <c r="M20" s="73">
        <f t="shared" si="8"/>
        <v>42.23618748363446</v>
      </c>
    </row>
    <row r="21" spans="2:13" s="31" customFormat="1" ht="12" customHeight="1" thickBot="1">
      <c r="B21" s="29" t="s">
        <v>36</v>
      </c>
      <c r="C21" s="26">
        <f>SUM(C16:C20)</f>
        <v>221998</v>
      </c>
      <c r="D21" s="26">
        <f aca="true" t="shared" si="9" ref="D21:L21">SUM(D16:D20)</f>
        <v>26921</v>
      </c>
      <c r="E21" s="30">
        <f t="shared" si="6"/>
        <v>12.126685825998432</v>
      </c>
      <c r="F21" s="26">
        <f t="shared" si="9"/>
        <v>104</v>
      </c>
      <c r="G21" s="30">
        <f t="shared" si="7"/>
        <v>0.04684726889431436</v>
      </c>
      <c r="H21" s="26">
        <f t="shared" si="9"/>
        <v>107187</v>
      </c>
      <c r="I21" s="56">
        <f aca="true" t="shared" si="10" ref="I21:I39">SUM(H21/C21)*100</f>
        <v>48.28286741321994</v>
      </c>
      <c r="J21" s="26">
        <f>SUM(J16:J20)</f>
        <v>0</v>
      </c>
      <c r="K21" s="30">
        <f aca="true" t="shared" si="11" ref="K21:K39">SUM(J21/C21)*100</f>
        <v>0</v>
      </c>
      <c r="L21" s="26">
        <f t="shared" si="9"/>
        <v>87786</v>
      </c>
      <c r="M21" s="41">
        <f t="shared" si="8"/>
        <v>39.54359949188731</v>
      </c>
    </row>
    <row r="22" spans="2:13" ht="12" customHeight="1" thickBot="1">
      <c r="B22" s="84" t="s">
        <v>48</v>
      </c>
      <c r="C22" s="85">
        <v>525151</v>
      </c>
      <c r="D22" s="86">
        <v>148731</v>
      </c>
      <c r="E22" s="87">
        <f t="shared" si="6"/>
        <v>28.321568463165832</v>
      </c>
      <c r="F22" s="86">
        <f>19+13-1</f>
        <v>31</v>
      </c>
      <c r="G22" s="87">
        <f t="shared" si="7"/>
        <v>0.0059030640710957425</v>
      </c>
      <c r="H22" s="86"/>
      <c r="I22" s="88">
        <f>SUM(H22/C22)*100</f>
        <v>0</v>
      </c>
      <c r="J22" s="86">
        <v>10754</v>
      </c>
      <c r="K22" s="87">
        <f>SUM(J22/C22)*100</f>
        <v>2.047791968405278</v>
      </c>
      <c r="L22" s="86">
        <f>SUM(C22-D22-F22-H22-J22)</f>
        <v>365635</v>
      </c>
      <c r="M22" s="89">
        <f t="shared" si="8"/>
        <v>69.6247365043578</v>
      </c>
    </row>
    <row r="23" spans="2:13" ht="12" customHeight="1" thickBot="1">
      <c r="B23" s="38" t="s">
        <v>49</v>
      </c>
      <c r="C23" s="27">
        <v>811792</v>
      </c>
      <c r="D23" s="28">
        <v>334947</v>
      </c>
      <c r="E23" s="87">
        <f t="shared" si="6"/>
        <v>41.26019965705501</v>
      </c>
      <c r="F23" s="28">
        <f>28-2</f>
        <v>26</v>
      </c>
      <c r="G23" s="39">
        <f t="shared" si="7"/>
        <v>0.003202790862684037</v>
      </c>
      <c r="H23" s="28"/>
      <c r="I23" s="64">
        <f>SUM(H23/C23)*100</f>
        <v>0</v>
      </c>
      <c r="J23" s="28">
        <v>53912</v>
      </c>
      <c r="K23" s="39">
        <f>SUM(J23/C23)*100</f>
        <v>6.641110038039301</v>
      </c>
      <c r="L23" s="28">
        <f>SUM(C23-D23-F23-H23-J23)</f>
        <v>422907</v>
      </c>
      <c r="M23" s="40">
        <f t="shared" si="8"/>
        <v>52.095487514043</v>
      </c>
    </row>
    <row r="24" spans="2:13" ht="12" customHeight="1" thickBot="1">
      <c r="B24" s="29" t="s">
        <v>50</v>
      </c>
      <c r="C24" s="26">
        <f>SUM(C22:C23)</f>
        <v>1336943</v>
      </c>
      <c r="D24" s="26">
        <f>SUM(D22:D23)</f>
        <v>483678</v>
      </c>
      <c r="E24" s="56">
        <f t="shared" si="6"/>
        <v>36.17790736029883</v>
      </c>
      <c r="F24" s="26">
        <f aca="true" t="shared" si="12" ref="F24:L24">SUM(F22:F23)</f>
        <v>57</v>
      </c>
      <c r="G24" s="56">
        <f t="shared" si="7"/>
        <v>0.004263457753995496</v>
      </c>
      <c r="H24" s="26">
        <f t="shared" si="12"/>
        <v>0</v>
      </c>
      <c r="I24" s="56">
        <f t="shared" si="12"/>
        <v>0</v>
      </c>
      <c r="J24" s="26">
        <f t="shared" si="12"/>
        <v>64666</v>
      </c>
      <c r="K24" s="30">
        <f>SUM(J24/C24)*100</f>
        <v>4.8368554231556615</v>
      </c>
      <c r="L24" s="26">
        <f t="shared" si="12"/>
        <v>788542</v>
      </c>
      <c r="M24" s="74">
        <f t="shared" si="8"/>
        <v>58.980973758791514</v>
      </c>
    </row>
    <row r="25" spans="2:13" ht="12" customHeight="1">
      <c r="B25" s="32" t="s">
        <v>3</v>
      </c>
      <c r="C25" s="151">
        <f>1877097-683</f>
        <v>1876414</v>
      </c>
      <c r="D25" s="33">
        <v>83249</v>
      </c>
      <c r="E25" s="34">
        <f aca="true" t="shared" si="13" ref="E25:E45">SUM(D25/C25)*100</f>
        <v>4.436600878057828</v>
      </c>
      <c r="F25" s="33">
        <f>321653+16</f>
        <v>321669</v>
      </c>
      <c r="G25" s="34">
        <f aca="true" t="shared" si="14" ref="G25:G45">SUM(F25/C25)*100</f>
        <v>17.142752079231983</v>
      </c>
      <c r="H25" s="33">
        <v>7580</v>
      </c>
      <c r="I25" s="161">
        <f t="shared" si="10"/>
        <v>0.4039620254378831</v>
      </c>
      <c r="J25" s="33">
        <f>51800-20165</f>
        <v>31635</v>
      </c>
      <c r="K25" s="34">
        <f t="shared" si="11"/>
        <v>1.6859285850563894</v>
      </c>
      <c r="L25" s="33">
        <f>SUM(C25-D25-F25-H25-J25)</f>
        <v>1432281</v>
      </c>
      <c r="M25" s="35">
        <f aca="true" t="shared" si="15" ref="M25:M45">SUM(L25/C25)*100</f>
        <v>76.33075643221592</v>
      </c>
    </row>
    <row r="26" spans="2:13" ht="12" customHeight="1" thickBot="1">
      <c r="B26" s="158" t="s">
        <v>47</v>
      </c>
      <c r="C26" s="19">
        <v>1000</v>
      </c>
      <c r="D26" s="20"/>
      <c r="E26" s="21">
        <f t="shared" si="13"/>
        <v>0</v>
      </c>
      <c r="F26" s="20"/>
      <c r="G26" s="21">
        <f t="shared" si="14"/>
        <v>0</v>
      </c>
      <c r="H26" s="20"/>
      <c r="I26" s="162">
        <f t="shared" si="10"/>
        <v>0</v>
      </c>
      <c r="J26" s="20"/>
      <c r="K26" s="21">
        <f t="shared" si="11"/>
        <v>0</v>
      </c>
      <c r="L26" s="20">
        <f>SUM(C26-D26-F26-H26-J26)</f>
        <v>1000</v>
      </c>
      <c r="M26" s="22">
        <f t="shared" si="15"/>
        <v>100</v>
      </c>
    </row>
    <row r="27" spans="2:13" ht="12" customHeight="1" thickBot="1">
      <c r="B27" s="29" t="s">
        <v>38</v>
      </c>
      <c r="C27" s="26">
        <f>SUM(C25:C26)</f>
        <v>1877414</v>
      </c>
      <c r="D27" s="26">
        <f>SUM(D25:D26)</f>
        <v>83249</v>
      </c>
      <c r="E27" s="30">
        <f t="shared" si="13"/>
        <v>4.434237733392847</v>
      </c>
      <c r="F27" s="26">
        <f>SUM(F25:F26)</f>
        <v>321669</v>
      </c>
      <c r="G27" s="30">
        <f t="shared" si="14"/>
        <v>17.133621034039376</v>
      </c>
      <c r="H27" s="26">
        <f>SUM(H25:H26)</f>
        <v>7580</v>
      </c>
      <c r="I27" s="56">
        <f t="shared" si="10"/>
        <v>0.4037468560477337</v>
      </c>
      <c r="J27" s="26">
        <f>SUM(J25)</f>
        <v>31635</v>
      </c>
      <c r="K27" s="30">
        <f t="shared" si="11"/>
        <v>1.6850305792968412</v>
      </c>
      <c r="L27" s="26">
        <f>SUM(L25:L26)</f>
        <v>1433281</v>
      </c>
      <c r="M27" s="41">
        <f t="shared" si="15"/>
        <v>76.3433637972232</v>
      </c>
    </row>
    <row r="28" spans="2:13" s="91" customFormat="1" ht="12" customHeight="1" thickBot="1">
      <c r="B28" s="32" t="s">
        <v>6</v>
      </c>
      <c r="C28" s="151">
        <v>213182</v>
      </c>
      <c r="D28" s="33">
        <v>8045</v>
      </c>
      <c r="E28" s="34">
        <f t="shared" si="13"/>
        <v>3.773770768639003</v>
      </c>
      <c r="F28" s="33">
        <f>154389+34230+149+160</f>
        <v>188928</v>
      </c>
      <c r="G28" s="34">
        <f t="shared" si="14"/>
        <v>88.622866846169</v>
      </c>
      <c r="H28" s="33"/>
      <c r="I28" s="161">
        <f t="shared" si="10"/>
        <v>0</v>
      </c>
      <c r="J28" s="33">
        <v>1644</v>
      </c>
      <c r="K28" s="34">
        <f t="shared" si="11"/>
        <v>0.7711720501730915</v>
      </c>
      <c r="L28" s="33">
        <f>SUM(C28-D28-F28-H28-J28)</f>
        <v>14565</v>
      </c>
      <c r="M28" s="35">
        <f t="shared" si="15"/>
        <v>6.832190335018903</v>
      </c>
    </row>
    <row r="29" spans="2:13" s="91" customFormat="1" ht="12" customHeight="1" thickBot="1">
      <c r="B29" s="29" t="s">
        <v>39</v>
      </c>
      <c r="C29" s="26">
        <v>213182</v>
      </c>
      <c r="D29" s="163">
        <v>8045</v>
      </c>
      <c r="E29" s="164">
        <f t="shared" si="13"/>
        <v>3.773770768639003</v>
      </c>
      <c r="F29" s="163">
        <f>SUM(F28)</f>
        <v>188928</v>
      </c>
      <c r="G29" s="164">
        <f t="shared" si="14"/>
        <v>88.622866846169</v>
      </c>
      <c r="H29" s="163">
        <f>SUM(H28)</f>
        <v>0</v>
      </c>
      <c r="I29" s="165">
        <f t="shared" si="10"/>
        <v>0</v>
      </c>
      <c r="J29" s="163">
        <v>1644</v>
      </c>
      <c r="K29" s="164">
        <f t="shared" si="11"/>
        <v>0.7711720501730915</v>
      </c>
      <c r="L29" s="163">
        <f>SUM(L28)</f>
        <v>14565</v>
      </c>
      <c r="M29" s="166">
        <f t="shared" si="15"/>
        <v>6.832190335018903</v>
      </c>
    </row>
    <row r="30" spans="2:13" s="91" customFormat="1" ht="12" customHeight="1">
      <c r="B30" s="14" t="s">
        <v>7</v>
      </c>
      <c r="C30" s="15">
        <f>126361+29546+40941</f>
        <v>196848</v>
      </c>
      <c r="D30" s="16">
        <v>23</v>
      </c>
      <c r="E30" s="17">
        <f t="shared" si="13"/>
        <v>0.011684142079167683</v>
      </c>
      <c r="F30" s="16">
        <v>43733</v>
      </c>
      <c r="G30" s="17">
        <f t="shared" si="14"/>
        <v>22.21663415427132</v>
      </c>
      <c r="H30" s="16"/>
      <c r="I30" s="63">
        <f t="shared" si="10"/>
        <v>0</v>
      </c>
      <c r="J30" s="16"/>
      <c r="K30" s="17">
        <f t="shared" si="11"/>
        <v>0</v>
      </c>
      <c r="L30" s="16">
        <f>SUM(C30-D30-F30-H30-J30)</f>
        <v>153092</v>
      </c>
      <c r="M30" s="18">
        <f t="shared" si="15"/>
        <v>77.77168170364952</v>
      </c>
    </row>
    <row r="31" spans="2:13" s="91" customFormat="1" ht="12" customHeight="1">
      <c r="B31" s="158" t="s">
        <v>97</v>
      </c>
      <c r="C31" s="19">
        <f>89878+19197+7469+21</f>
        <v>116565</v>
      </c>
      <c r="D31" s="20">
        <f>14083+19</f>
        <v>14102</v>
      </c>
      <c r="E31" s="21">
        <f t="shared" si="13"/>
        <v>12.097971089091923</v>
      </c>
      <c r="F31" s="20">
        <f>31843+865</f>
        <v>32708</v>
      </c>
      <c r="G31" s="21">
        <f t="shared" si="14"/>
        <v>28.059880753227812</v>
      </c>
      <c r="H31" s="20"/>
      <c r="I31" s="63">
        <f t="shared" si="10"/>
        <v>0</v>
      </c>
      <c r="J31" s="16"/>
      <c r="K31" s="17">
        <f t="shared" si="11"/>
        <v>0</v>
      </c>
      <c r="L31" s="16">
        <f aca="true" t="shared" si="16" ref="L31:L39">SUM(C31-D31-F31-H31-J31)</f>
        <v>69755</v>
      </c>
      <c r="M31" s="22">
        <f t="shared" si="15"/>
        <v>59.84214815768026</v>
      </c>
    </row>
    <row r="32" spans="2:13" s="91" customFormat="1" ht="12" customHeight="1">
      <c r="B32" s="158" t="s">
        <v>98</v>
      </c>
      <c r="C32" s="19">
        <f>28835+6077+14678</f>
        <v>49590</v>
      </c>
      <c r="D32" s="20">
        <v>12437</v>
      </c>
      <c r="E32" s="21">
        <f t="shared" si="13"/>
        <v>25.0796531558782</v>
      </c>
      <c r="F32" s="20">
        <f>23074+222</f>
        <v>23296</v>
      </c>
      <c r="G32" s="21">
        <f t="shared" si="14"/>
        <v>46.97721314781206</v>
      </c>
      <c r="H32" s="20"/>
      <c r="I32" s="63">
        <f t="shared" si="10"/>
        <v>0</v>
      </c>
      <c r="J32" s="16"/>
      <c r="K32" s="17">
        <f t="shared" si="11"/>
        <v>0</v>
      </c>
      <c r="L32" s="16">
        <f t="shared" si="16"/>
        <v>13857</v>
      </c>
      <c r="M32" s="22">
        <f t="shared" si="15"/>
        <v>27.94313369630974</v>
      </c>
    </row>
    <row r="33" spans="2:13" s="91" customFormat="1" ht="12" customHeight="1">
      <c r="B33" s="158" t="s">
        <v>8</v>
      </c>
      <c r="C33" s="19">
        <f>4364+968+82173</f>
        <v>87505</v>
      </c>
      <c r="D33" s="20">
        <v>27073</v>
      </c>
      <c r="E33" s="21">
        <f t="shared" si="13"/>
        <v>30.93880349694303</v>
      </c>
      <c r="F33" s="20">
        <f>23555+132</f>
        <v>23687</v>
      </c>
      <c r="G33" s="21">
        <f t="shared" si="14"/>
        <v>27.06931032512428</v>
      </c>
      <c r="H33" s="20"/>
      <c r="I33" s="63">
        <f t="shared" si="10"/>
        <v>0</v>
      </c>
      <c r="J33" s="16"/>
      <c r="K33" s="17">
        <f t="shared" si="11"/>
        <v>0</v>
      </c>
      <c r="L33" s="16">
        <f t="shared" si="16"/>
        <v>36745</v>
      </c>
      <c r="M33" s="22">
        <f t="shared" si="15"/>
        <v>41.99188617793269</v>
      </c>
    </row>
    <row r="34" spans="2:13" s="91" customFormat="1" ht="12" customHeight="1">
      <c r="B34" s="158" t="s">
        <v>9</v>
      </c>
      <c r="C34" s="19">
        <f>4632+589+7</f>
        <v>5228</v>
      </c>
      <c r="D34" s="20"/>
      <c r="E34" s="21">
        <f t="shared" si="13"/>
        <v>0</v>
      </c>
      <c r="F34" s="20"/>
      <c r="G34" s="21">
        <f t="shared" si="14"/>
        <v>0</v>
      </c>
      <c r="H34" s="20">
        <v>3660</v>
      </c>
      <c r="I34" s="63">
        <f t="shared" si="10"/>
        <v>70.00765110941086</v>
      </c>
      <c r="J34" s="16"/>
      <c r="K34" s="17">
        <f t="shared" si="11"/>
        <v>0</v>
      </c>
      <c r="L34" s="16">
        <f t="shared" si="16"/>
        <v>1568</v>
      </c>
      <c r="M34" s="22">
        <f t="shared" si="15"/>
        <v>29.992348890589138</v>
      </c>
    </row>
    <row r="35" spans="2:13" s="91" customFormat="1" ht="12" customHeight="1">
      <c r="B35" s="158" t="s">
        <v>94</v>
      </c>
      <c r="C35" s="19">
        <f>48988+10566+12242</f>
        <v>71796</v>
      </c>
      <c r="D35" s="20"/>
      <c r="E35" s="21">
        <f t="shared" si="13"/>
        <v>0</v>
      </c>
      <c r="F35" s="20">
        <f>26701+512</f>
        <v>27213</v>
      </c>
      <c r="G35" s="21">
        <f t="shared" si="14"/>
        <v>37.903225806451616</v>
      </c>
      <c r="H35" s="20"/>
      <c r="I35" s="63">
        <f t="shared" si="10"/>
        <v>0</v>
      </c>
      <c r="J35" s="16">
        <v>7189</v>
      </c>
      <c r="K35" s="17">
        <f t="shared" si="11"/>
        <v>10.013092651401193</v>
      </c>
      <c r="L35" s="16">
        <f t="shared" si="16"/>
        <v>37394</v>
      </c>
      <c r="M35" s="22">
        <f t="shared" si="15"/>
        <v>52.0836815421472</v>
      </c>
    </row>
    <row r="36" spans="2:13" s="91" customFormat="1" ht="12" customHeight="1">
      <c r="B36" s="158" t="s">
        <v>10</v>
      </c>
      <c r="C36" s="19">
        <f>42274+13319+18960+10071+1</f>
        <v>84625</v>
      </c>
      <c r="D36" s="20">
        <v>10507</v>
      </c>
      <c r="E36" s="21">
        <f t="shared" si="13"/>
        <v>12.415952732644017</v>
      </c>
      <c r="F36" s="20">
        <f>7480+6506</f>
        <v>13986</v>
      </c>
      <c r="G36" s="21">
        <f t="shared" si="14"/>
        <v>16.52703101920236</v>
      </c>
      <c r="H36" s="20"/>
      <c r="I36" s="63">
        <f t="shared" si="10"/>
        <v>0</v>
      </c>
      <c r="J36" s="16">
        <v>10071</v>
      </c>
      <c r="K36" s="17">
        <f t="shared" si="11"/>
        <v>11.900738552437224</v>
      </c>
      <c r="L36" s="16">
        <f t="shared" si="16"/>
        <v>50061</v>
      </c>
      <c r="M36" s="22">
        <f t="shared" si="15"/>
        <v>59.1562776957164</v>
      </c>
    </row>
    <row r="37" spans="2:13" s="91" customFormat="1" ht="12" customHeight="1">
      <c r="B37" s="160" t="s">
        <v>95</v>
      </c>
      <c r="C37" s="23">
        <f>41267+8703+7200</f>
        <v>57170</v>
      </c>
      <c r="D37" s="159"/>
      <c r="E37" s="24">
        <f t="shared" si="13"/>
        <v>0</v>
      </c>
      <c r="F37" s="159">
        <v>90</v>
      </c>
      <c r="G37" s="21">
        <f t="shared" si="14"/>
        <v>0.15742522301906595</v>
      </c>
      <c r="H37" s="159"/>
      <c r="I37" s="161">
        <f t="shared" si="10"/>
        <v>0</v>
      </c>
      <c r="J37" s="33"/>
      <c r="K37" s="17">
        <f t="shared" si="11"/>
        <v>0</v>
      </c>
      <c r="L37" s="16">
        <f t="shared" si="16"/>
        <v>57080</v>
      </c>
      <c r="M37" s="22">
        <f t="shared" si="15"/>
        <v>99.84257477698092</v>
      </c>
    </row>
    <row r="38" spans="2:13" s="91" customFormat="1" ht="12" customHeight="1">
      <c r="B38" s="160" t="s">
        <v>52</v>
      </c>
      <c r="C38" s="23">
        <f>5759+1190+2723</f>
        <v>9672</v>
      </c>
      <c r="D38" s="159"/>
      <c r="E38" s="24">
        <f t="shared" si="13"/>
        <v>0</v>
      </c>
      <c r="F38" s="159">
        <f>1120+107</f>
        <v>1227</v>
      </c>
      <c r="G38" s="21">
        <f t="shared" si="14"/>
        <v>12.686104218362281</v>
      </c>
      <c r="H38" s="159">
        <v>2222</v>
      </c>
      <c r="I38" s="162">
        <f t="shared" si="10"/>
        <v>22.973531844499586</v>
      </c>
      <c r="J38" s="20"/>
      <c r="K38" s="21">
        <f t="shared" si="11"/>
        <v>0</v>
      </c>
      <c r="L38" s="16">
        <f t="shared" si="16"/>
        <v>6223</v>
      </c>
      <c r="M38" s="22">
        <f t="shared" si="15"/>
        <v>64.34036393713814</v>
      </c>
    </row>
    <row r="39" spans="2:13" s="91" customFormat="1" ht="12" customHeight="1" thickBot="1">
      <c r="B39" s="38" t="s">
        <v>99</v>
      </c>
      <c r="C39" s="27">
        <f>15493+3308+1188</f>
        <v>19989</v>
      </c>
      <c r="D39" s="28"/>
      <c r="E39" s="39">
        <f t="shared" si="13"/>
        <v>0</v>
      </c>
      <c r="F39" s="28">
        <f>13463+326</f>
        <v>13789</v>
      </c>
      <c r="G39" s="39">
        <f t="shared" si="14"/>
        <v>68.98294061733954</v>
      </c>
      <c r="H39" s="28"/>
      <c r="I39" s="64">
        <f t="shared" si="10"/>
        <v>0</v>
      </c>
      <c r="J39" s="28"/>
      <c r="K39" s="39">
        <f t="shared" si="11"/>
        <v>0</v>
      </c>
      <c r="L39" s="28">
        <f t="shared" si="16"/>
        <v>6200</v>
      </c>
      <c r="M39" s="40">
        <f t="shared" si="15"/>
        <v>31.017059382660463</v>
      </c>
    </row>
    <row r="40" spans="2:13" s="31" customFormat="1" ht="12" customHeight="1" thickBot="1">
      <c r="B40" s="167" t="s">
        <v>40</v>
      </c>
      <c r="C40" s="26">
        <f>SUM(C30:C39)</f>
        <v>698988</v>
      </c>
      <c r="D40" s="163">
        <f>SUM(D30:D39)</f>
        <v>64142</v>
      </c>
      <c r="E40" s="164">
        <f t="shared" si="13"/>
        <v>9.17640932319296</v>
      </c>
      <c r="F40" s="163">
        <f>SUM(F30:F39)</f>
        <v>179729</v>
      </c>
      <c r="G40" s="164">
        <f t="shared" si="14"/>
        <v>25.71274471092494</v>
      </c>
      <c r="H40" s="163">
        <f>SUM(H30:H39)</f>
        <v>5882</v>
      </c>
      <c r="I40" s="165">
        <f aca="true" t="shared" si="17" ref="I40:I45">SUM(H40/C40)*100</f>
        <v>0.8415022861622804</v>
      </c>
      <c r="J40" s="163">
        <f>SUM(J30:J39)</f>
        <v>17260</v>
      </c>
      <c r="K40" s="164">
        <f aca="true" t="shared" si="18" ref="K40:K45">SUM(J40/C40)*100</f>
        <v>2.4692841651072692</v>
      </c>
      <c r="L40" s="163">
        <f>SUM(L30:L39)</f>
        <v>431975</v>
      </c>
      <c r="M40" s="166">
        <f t="shared" si="15"/>
        <v>61.80005951461255</v>
      </c>
    </row>
    <row r="41" spans="2:13" s="31" customFormat="1" ht="12" customHeight="1" thickBot="1">
      <c r="B41" s="105" t="s">
        <v>42</v>
      </c>
      <c r="C41" s="168">
        <v>175194</v>
      </c>
      <c r="D41" s="169">
        <v>5461</v>
      </c>
      <c r="E41" s="170">
        <f t="shared" si="13"/>
        <v>3.1171158829640286</v>
      </c>
      <c r="F41" s="169">
        <f>32080+20382+13965+46581+3535-2698+1670-81</f>
        <v>115434</v>
      </c>
      <c r="G41" s="170">
        <f t="shared" si="14"/>
        <v>65.88924278228706</v>
      </c>
      <c r="H41" s="169"/>
      <c r="I41" s="171">
        <f t="shared" si="17"/>
        <v>0</v>
      </c>
      <c r="J41" s="169">
        <v>1733</v>
      </c>
      <c r="K41" s="164">
        <f t="shared" si="18"/>
        <v>0.9891891274815348</v>
      </c>
      <c r="L41" s="169">
        <f>SUM(C41-D41-F41-H41-J41)</f>
        <v>52566</v>
      </c>
      <c r="M41" s="172">
        <f t="shared" si="15"/>
        <v>30.004452207267374</v>
      </c>
    </row>
    <row r="42" spans="2:13" s="31" customFormat="1" ht="12" customHeight="1" thickBot="1">
      <c r="B42" s="29" t="s">
        <v>43</v>
      </c>
      <c r="C42" s="26">
        <v>101765</v>
      </c>
      <c r="D42" s="163">
        <v>3234</v>
      </c>
      <c r="E42" s="164">
        <f t="shared" si="13"/>
        <v>3.1779098904338428</v>
      </c>
      <c r="F42" s="163">
        <f>47512+7-736-191-936</f>
        <v>45656</v>
      </c>
      <c r="G42" s="164">
        <f t="shared" si="14"/>
        <v>44.86414779148037</v>
      </c>
      <c r="H42" s="163"/>
      <c r="I42" s="165">
        <f t="shared" si="17"/>
        <v>0</v>
      </c>
      <c r="J42" s="163">
        <f>1234+421</f>
        <v>1655</v>
      </c>
      <c r="K42" s="173">
        <f t="shared" si="18"/>
        <v>1.6262958777575787</v>
      </c>
      <c r="L42" s="174">
        <f>SUM(C42-D42-F42-H42-J42)</f>
        <v>51220</v>
      </c>
      <c r="M42" s="175">
        <f t="shared" si="15"/>
        <v>50.33164644032821</v>
      </c>
    </row>
    <row r="43" spans="2:13" s="31" customFormat="1" ht="12" customHeight="1" thickBot="1">
      <c r="B43" s="29" t="s">
        <v>44</v>
      </c>
      <c r="C43" s="26">
        <v>163279</v>
      </c>
      <c r="D43" s="163">
        <v>7904</v>
      </c>
      <c r="E43" s="164">
        <f t="shared" si="13"/>
        <v>4.8407939784050615</v>
      </c>
      <c r="F43" s="163">
        <f>19191+13230+1604+49157+9-9</f>
        <v>83182</v>
      </c>
      <c r="G43" s="164">
        <f t="shared" si="14"/>
        <v>50.94470201311865</v>
      </c>
      <c r="H43" s="163"/>
      <c r="I43" s="165">
        <f t="shared" si="17"/>
        <v>0</v>
      </c>
      <c r="J43" s="163">
        <v>3267</v>
      </c>
      <c r="K43" s="173">
        <f t="shared" si="18"/>
        <v>2.000869677055837</v>
      </c>
      <c r="L43" s="174">
        <f>SUM(C43-D43-F43-H43-J43)</f>
        <v>68926</v>
      </c>
      <c r="M43" s="175">
        <f t="shared" si="15"/>
        <v>42.21363433142045</v>
      </c>
    </row>
    <row r="44" spans="2:13" s="31" customFormat="1" ht="12" customHeight="1" thickBot="1">
      <c r="B44" s="105" t="s">
        <v>45</v>
      </c>
      <c r="C44" s="168">
        <v>140478</v>
      </c>
      <c r="D44" s="169">
        <v>3127</v>
      </c>
      <c r="E44" s="170">
        <f t="shared" si="13"/>
        <v>2.225971326471049</v>
      </c>
      <c r="F44" s="169">
        <f>56349+2</f>
        <v>56351</v>
      </c>
      <c r="G44" s="170">
        <f t="shared" si="14"/>
        <v>40.11375446689161</v>
      </c>
      <c r="H44" s="169"/>
      <c r="I44" s="171">
        <f t="shared" si="17"/>
        <v>0</v>
      </c>
      <c r="J44" s="169">
        <f>2273+14223</f>
        <v>16496</v>
      </c>
      <c r="K44" s="164">
        <f t="shared" si="18"/>
        <v>11.742763991514686</v>
      </c>
      <c r="L44" s="169">
        <f>SUM(C44-D44-F44-H44-J44)</f>
        <v>64504</v>
      </c>
      <c r="M44" s="172">
        <f t="shared" si="15"/>
        <v>45.917510215122654</v>
      </c>
    </row>
    <row r="45" spans="2:13" s="4" customFormat="1" ht="12" customHeight="1" thickBot="1">
      <c r="B45" s="25" t="s">
        <v>16</v>
      </c>
      <c r="C45" s="26">
        <f>SUM(C40,C29,C27,C21,C15,C41,C42,C43,C44,C24)</f>
        <v>9142043</v>
      </c>
      <c r="D45" s="26">
        <f>SUM(D40,D29,D27,D21,D15,D41,D42,D43,D44,D24)</f>
        <v>4320572</v>
      </c>
      <c r="E45" s="30">
        <f t="shared" si="13"/>
        <v>47.260464646687836</v>
      </c>
      <c r="F45" s="26">
        <f>SUM(F40,F29,F27,F21,F15,F41,F42,F43,F44,F24)</f>
        <v>1001634</v>
      </c>
      <c r="G45" s="30">
        <f t="shared" si="14"/>
        <v>10.956347503506601</v>
      </c>
      <c r="H45" s="26">
        <f>SUM(H40,H29,H27,H21,H15,H41,H42,H43,H44)</f>
        <v>120729</v>
      </c>
      <c r="I45" s="56">
        <f t="shared" si="17"/>
        <v>1.3205910320045529</v>
      </c>
      <c r="J45" s="26">
        <f>SUM(J40,J29,J27,J21,J15,J41,J42,J43,J44,J24)</f>
        <v>523971</v>
      </c>
      <c r="K45" s="164">
        <f t="shared" si="18"/>
        <v>5.731443179604384</v>
      </c>
      <c r="L45" s="26">
        <f>SUM(L40,L29,L27,L21,L15,L41,L42,L43,L44,L24)</f>
        <v>3175137</v>
      </c>
      <c r="M45" s="41">
        <f t="shared" si="15"/>
        <v>34.73115363819662</v>
      </c>
    </row>
  </sheetData>
  <sheetProtection/>
  <mergeCells count="2">
    <mergeCell ref="B2:M2"/>
    <mergeCell ref="L1:M1"/>
  </mergeCells>
  <printOptions/>
  <pageMargins left="0.5511811023622047" right="0.15748031496062992" top="0.5905511811023623" bottom="0.3937007874015748" header="0.2755905511811024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9">
      <selection activeCell="M1" sqref="M1:AF16384"/>
    </sheetView>
  </sheetViews>
  <sheetFormatPr defaultColWidth="9.00390625" defaultRowHeight="12.75"/>
  <cols>
    <col min="1" max="1" width="26.00390625" style="91" customWidth="1"/>
    <col min="2" max="2" width="10.125" style="91" customWidth="1"/>
    <col min="3" max="3" width="9.75390625" style="91" customWidth="1"/>
    <col min="4" max="4" width="9.625" style="149" customWidth="1"/>
    <col min="5" max="5" width="11.375" style="91" customWidth="1"/>
    <col min="6" max="6" width="10.375" style="91" customWidth="1"/>
    <col min="7" max="7" width="11.875" style="91" customWidth="1"/>
    <col min="8" max="8" width="9.375" style="91" customWidth="1"/>
    <col min="9" max="9" width="11.25390625" style="91" customWidth="1"/>
    <col min="10" max="10" width="9.75390625" style="91" customWidth="1"/>
    <col min="11" max="11" width="11.75390625" style="91" customWidth="1"/>
    <col min="12" max="12" width="13.375" style="91" customWidth="1"/>
    <col min="13" max="16384" width="9.125" style="91" customWidth="1"/>
  </cols>
  <sheetData>
    <row r="1" spans="1:12" ht="12.75">
      <c r="A1" s="36"/>
      <c r="B1" s="36"/>
      <c r="C1" s="36"/>
      <c r="D1" s="69"/>
      <c r="E1" s="36"/>
      <c r="F1" s="36"/>
      <c r="G1" s="36"/>
      <c r="H1" s="36"/>
      <c r="I1" s="36"/>
      <c r="J1" s="36"/>
      <c r="K1" s="185" t="s">
        <v>29</v>
      </c>
      <c r="L1" s="185"/>
    </row>
    <row r="2" spans="1:12" ht="12.75">
      <c r="A2" s="186" t="s">
        <v>107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3.7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3.5" thickBot="1">
      <c r="A4" s="108"/>
      <c r="B4" s="108"/>
      <c r="C4" s="108"/>
      <c r="D4" s="109"/>
      <c r="E4" s="110"/>
      <c r="F4" s="111"/>
      <c r="G4" s="110"/>
      <c r="H4" s="111"/>
      <c r="I4" s="111"/>
      <c r="J4" s="111"/>
      <c r="K4" s="112"/>
      <c r="L4" s="53" t="s">
        <v>0</v>
      </c>
    </row>
    <row r="5" spans="1:12" ht="77.25" customHeight="1" thickBot="1">
      <c r="A5" s="113" t="s">
        <v>2</v>
      </c>
      <c r="B5" s="114" t="s">
        <v>67</v>
      </c>
      <c r="C5" s="114" t="s">
        <v>78</v>
      </c>
      <c r="D5" s="115" t="s">
        <v>68</v>
      </c>
      <c r="E5" s="114" t="s">
        <v>101</v>
      </c>
      <c r="F5" s="115" t="s">
        <v>69</v>
      </c>
      <c r="G5" s="114" t="s">
        <v>79</v>
      </c>
      <c r="H5" s="115" t="s">
        <v>71</v>
      </c>
      <c r="I5" s="115" t="s">
        <v>74</v>
      </c>
      <c r="J5" s="115" t="s">
        <v>46</v>
      </c>
      <c r="K5" s="116" t="s">
        <v>72</v>
      </c>
      <c r="L5" s="117" t="s">
        <v>73</v>
      </c>
    </row>
    <row r="6" spans="1:12" ht="12.75">
      <c r="A6" s="92" t="s">
        <v>75</v>
      </c>
      <c r="B6" s="195"/>
      <c r="C6" s="195"/>
      <c r="D6" s="196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76</v>
      </c>
      <c r="B7" s="195">
        <f>29108</f>
        <v>29108</v>
      </c>
      <c r="C7" s="195"/>
      <c r="D7" s="196"/>
      <c r="E7" s="16"/>
      <c r="F7" s="17"/>
      <c r="G7" s="16"/>
      <c r="H7" s="17"/>
      <c r="I7" s="16">
        <v>29108</v>
      </c>
      <c r="J7" s="17">
        <f>SUM(I7/B7*100)</f>
        <v>100</v>
      </c>
      <c r="K7" s="20">
        <f>SUM(B7-C7-E7-G7-I7)</f>
        <v>0</v>
      </c>
      <c r="L7" s="22">
        <f>SUM(K7/B7)*100</f>
        <v>0</v>
      </c>
    </row>
    <row r="8" spans="1:12" ht="12.75">
      <c r="A8" s="14" t="s">
        <v>77</v>
      </c>
      <c r="B8" s="107">
        <f>36028+12700+17000+58017+39091+17064+18717+8206</f>
        <v>206823</v>
      </c>
      <c r="C8" s="107">
        <v>176823</v>
      </c>
      <c r="D8" s="197">
        <f>SUM(C8/B8)*100</f>
        <v>85.49484341683468</v>
      </c>
      <c r="E8" s="20">
        <v>30000</v>
      </c>
      <c r="F8" s="21">
        <f>SUM(E8/B8)*100</f>
        <v>14.505156583165316</v>
      </c>
      <c r="G8" s="20"/>
      <c r="H8" s="21">
        <f>SUM(G8/B8*100)</f>
        <v>0</v>
      </c>
      <c r="I8" s="20"/>
      <c r="J8" s="17">
        <f>SUM(I8/B8*100)</f>
        <v>0</v>
      </c>
      <c r="K8" s="20">
        <f>SUM(B8-C8-E8-G8-I8)</f>
        <v>0</v>
      </c>
      <c r="L8" s="22">
        <f>SUM(K8/B8)*100</f>
        <v>0</v>
      </c>
    </row>
    <row r="9" spans="1:12" ht="12.75">
      <c r="A9" s="93" t="s">
        <v>80</v>
      </c>
      <c r="B9" s="107"/>
      <c r="C9" s="107"/>
      <c r="D9" s="197"/>
      <c r="E9" s="20"/>
      <c r="F9" s="21"/>
      <c r="G9" s="20"/>
      <c r="H9" s="21"/>
      <c r="I9" s="20"/>
      <c r="J9" s="17"/>
      <c r="K9" s="20"/>
      <c r="L9" s="22"/>
    </row>
    <row r="10" spans="1:12" ht="12.75">
      <c r="A10" s="14" t="s">
        <v>76</v>
      </c>
      <c r="B10" s="107">
        <f>1439658-3207-38070</f>
        <v>1398381</v>
      </c>
      <c r="C10" s="107"/>
      <c r="D10" s="197">
        <f>SUM(C10/B10)*100</f>
        <v>0</v>
      </c>
      <c r="E10" s="20"/>
      <c r="F10" s="21">
        <f>SUM(E10/B10)*100</f>
        <v>0</v>
      </c>
      <c r="G10" s="20"/>
      <c r="H10" s="21">
        <f>SUM(G10/B10*100)</f>
        <v>0</v>
      </c>
      <c r="I10" s="20">
        <v>1398381</v>
      </c>
      <c r="J10" s="17">
        <f>SUM(I10/B10*100)</f>
        <v>100</v>
      </c>
      <c r="K10" s="20">
        <f>SUM(B10-C10-E10-G10-I10)</f>
        <v>0</v>
      </c>
      <c r="L10" s="22">
        <f>SUM(K10/B10)*100</f>
        <v>0</v>
      </c>
    </row>
    <row r="11" spans="1:12" ht="12.75">
      <c r="A11" s="14" t="s">
        <v>102</v>
      </c>
      <c r="B11" s="107">
        <f>2046155-'kötelező2018.felh.'!C10-9883-45144-13332-6604-1</f>
        <v>1936835</v>
      </c>
      <c r="C11" s="107"/>
      <c r="D11" s="197">
        <f>SUM(C11/B11)*100</f>
        <v>0</v>
      </c>
      <c r="E11" s="20">
        <v>1936835</v>
      </c>
      <c r="F11" s="21">
        <f>SUM(E11/B11)*100</f>
        <v>100</v>
      </c>
      <c r="G11" s="20"/>
      <c r="H11" s="21">
        <f>SUM(G11/B11*100)</f>
        <v>0</v>
      </c>
      <c r="I11" s="20"/>
      <c r="J11" s="17">
        <f>SUM(I11/B11*100)</f>
        <v>0</v>
      </c>
      <c r="K11" s="20">
        <f>SUM(B11-C11-E11-G11-I11)</f>
        <v>0</v>
      </c>
      <c r="L11" s="22">
        <f>SUM(K11/B11)*100</f>
        <v>0</v>
      </c>
    </row>
    <row r="12" spans="1:12" ht="12.75">
      <c r="A12" s="93" t="s">
        <v>81</v>
      </c>
      <c r="B12" s="107"/>
      <c r="C12" s="107"/>
      <c r="D12" s="197"/>
      <c r="E12" s="20"/>
      <c r="F12" s="21"/>
      <c r="G12" s="20"/>
      <c r="H12" s="21"/>
      <c r="I12" s="20"/>
      <c r="J12" s="17"/>
      <c r="K12" s="20"/>
      <c r="L12" s="198"/>
    </row>
    <row r="13" spans="1:12" ht="12.75">
      <c r="A13" s="14" t="s">
        <v>76</v>
      </c>
      <c r="B13" s="107">
        <f>187822-'kötelező2018.felh.'!C12</f>
        <v>184668</v>
      </c>
      <c r="C13" s="107"/>
      <c r="D13" s="197">
        <f>SUM(C13/B13)*100</f>
        <v>0</v>
      </c>
      <c r="E13" s="20"/>
      <c r="F13" s="21">
        <f>SUM(E13/B13)*100</f>
        <v>0</v>
      </c>
      <c r="G13" s="20"/>
      <c r="H13" s="21">
        <f>SUM(G13/B13*100)</f>
        <v>0</v>
      </c>
      <c r="I13" s="20">
        <v>184668</v>
      </c>
      <c r="J13" s="17">
        <f>SUM(I13/B13*100)</f>
        <v>100</v>
      </c>
      <c r="K13" s="20">
        <f>SUM(B13-C13-E13-G13-I13)</f>
        <v>0</v>
      </c>
      <c r="L13" s="22">
        <f>SUM(K13/B13)*100</f>
        <v>0</v>
      </c>
    </row>
    <row r="14" spans="1:12" ht="12.75">
      <c r="A14" s="14" t="s">
        <v>77</v>
      </c>
      <c r="B14" s="107">
        <f>109929-'kötelező2018.felh.'!C13</f>
        <v>108472</v>
      </c>
      <c r="C14" s="107">
        <v>108472</v>
      </c>
      <c r="D14" s="197">
        <f>SUM(C14/B14)*100</f>
        <v>100</v>
      </c>
      <c r="E14" s="20"/>
      <c r="F14" s="21">
        <f>SUM(E14/B14)*100</f>
        <v>0</v>
      </c>
      <c r="G14" s="20"/>
      <c r="H14" s="21">
        <f>SUM(G14/B14*100)</f>
        <v>0</v>
      </c>
      <c r="I14" s="20"/>
      <c r="J14" s="17">
        <f>SUM(I14/B14*100)</f>
        <v>0</v>
      </c>
      <c r="K14" s="20">
        <f>SUM(B14-C14-E14-G14-I14)</f>
        <v>0</v>
      </c>
      <c r="L14" s="22">
        <f>SUM(K14/B14)*100</f>
        <v>0</v>
      </c>
    </row>
    <row r="15" spans="1:12" ht="12.75">
      <c r="A15" s="93" t="s">
        <v>82</v>
      </c>
      <c r="B15" s="107"/>
      <c r="C15" s="107"/>
      <c r="D15" s="197"/>
      <c r="E15" s="20"/>
      <c r="F15" s="21"/>
      <c r="G15" s="20"/>
      <c r="H15" s="21"/>
      <c r="I15" s="20"/>
      <c r="J15" s="17"/>
      <c r="K15" s="20"/>
      <c r="L15" s="22"/>
    </row>
    <row r="16" spans="1:12" ht="13.5" thickBot="1">
      <c r="A16" s="14" t="s">
        <v>77</v>
      </c>
      <c r="B16" s="107">
        <v>6200</v>
      </c>
      <c r="C16" s="107">
        <v>6200</v>
      </c>
      <c r="D16" s="197">
        <f>SUM(C16/B16)*100</f>
        <v>100</v>
      </c>
      <c r="E16" s="20"/>
      <c r="F16" s="21">
        <f>SUM(E16/B16)*100</f>
        <v>0</v>
      </c>
      <c r="G16" s="20"/>
      <c r="H16" s="21">
        <f>SUM(G16/B16*100)</f>
        <v>0</v>
      </c>
      <c r="I16" s="20"/>
      <c r="J16" s="17">
        <f>SUM(I16/B16*100)</f>
        <v>0</v>
      </c>
      <c r="K16" s="20">
        <f>SUM(B16-C16-E16-G16-I16)</f>
        <v>0</v>
      </c>
      <c r="L16" s="22">
        <f>SUM(K16/B16)*100</f>
        <v>0</v>
      </c>
    </row>
    <row r="17" spans="1:12" s="31" customFormat="1" ht="13.5" thickBot="1">
      <c r="A17" s="29" t="s">
        <v>37</v>
      </c>
      <c r="B17" s="118">
        <f>SUM(B6:B16)</f>
        <v>3870487</v>
      </c>
      <c r="C17" s="118">
        <f>SUM(C6:C16)</f>
        <v>291495</v>
      </c>
      <c r="D17" s="199">
        <f>SUM(C17/B17)*100</f>
        <v>7.5312228151134475</v>
      </c>
      <c r="E17" s="118">
        <f>SUM(E6:E16)</f>
        <v>1966835</v>
      </c>
      <c r="F17" s="194">
        <f>SUM(E17/B17*100)</f>
        <v>50.816215117115746</v>
      </c>
      <c r="G17" s="118">
        <f>SUM(G6:G16)</f>
        <v>0</v>
      </c>
      <c r="H17" s="119">
        <f>SUM(G17/B17*100)</f>
        <v>0</v>
      </c>
      <c r="I17" s="118">
        <f>SUM(I6:I16)</f>
        <v>1612157</v>
      </c>
      <c r="J17" s="119">
        <f>SUM(I17/B17*100)</f>
        <v>41.6525620677708</v>
      </c>
      <c r="K17" s="118">
        <f>SUM(K6:K16)</f>
        <v>0</v>
      </c>
      <c r="L17" s="120">
        <f>SUM(K17/B17)*100</f>
        <v>0</v>
      </c>
    </row>
    <row r="18" spans="1:12" ht="12.75">
      <c r="A18" s="93" t="s">
        <v>80</v>
      </c>
      <c r="B18" s="200"/>
      <c r="C18" s="200"/>
      <c r="D18" s="201"/>
      <c r="E18" s="200"/>
      <c r="F18" s="34"/>
      <c r="G18" s="200"/>
      <c r="H18" s="34"/>
      <c r="I18" s="200"/>
      <c r="J18" s="34"/>
      <c r="K18" s="33"/>
      <c r="L18" s="35"/>
    </row>
    <row r="19" spans="1:12" ht="13.5" thickBot="1">
      <c r="A19" s="14" t="s">
        <v>77</v>
      </c>
      <c r="B19" s="99">
        <v>9882</v>
      </c>
      <c r="C19" s="99"/>
      <c r="D19" s="202">
        <f>SUM(C19/B19)*100</f>
        <v>0</v>
      </c>
      <c r="E19" s="28"/>
      <c r="F19" s="39">
        <f>SUM(E19/B19)*100</f>
        <v>0</v>
      </c>
      <c r="G19" s="28"/>
      <c r="H19" s="39">
        <f>SUM(G19/B19*100)</f>
        <v>0</v>
      </c>
      <c r="I19" s="28"/>
      <c r="J19" s="39">
        <f>SUM(I19/B19*100)</f>
        <v>0</v>
      </c>
      <c r="K19" s="28">
        <f>SUM(B19-C19-E19-G19-I19)</f>
        <v>9882</v>
      </c>
      <c r="L19" s="40">
        <f>SUM(K19/B19)*100</f>
        <v>100</v>
      </c>
    </row>
    <row r="20" spans="1:12" s="31" customFormat="1" ht="13.5" thickBot="1">
      <c r="A20" s="29" t="s">
        <v>38</v>
      </c>
      <c r="B20" s="118">
        <f>SUM(B18:B19)</f>
        <v>9882</v>
      </c>
      <c r="C20" s="118">
        <f>SUM(C18:C19)</f>
        <v>0</v>
      </c>
      <c r="D20" s="121">
        <f>SUM(C20/B20)*100</f>
        <v>0</v>
      </c>
      <c r="E20" s="118">
        <f>SUM(E19)</f>
        <v>0</v>
      </c>
      <c r="F20" s="119">
        <f>SUM(E20/B20)*100</f>
        <v>0</v>
      </c>
      <c r="G20" s="118">
        <f>SUM(G18:G19)</f>
        <v>0</v>
      </c>
      <c r="H20" s="119">
        <f>SUM(H19)</f>
        <v>0</v>
      </c>
      <c r="I20" s="118">
        <f>SUM(I18:I19)</f>
        <v>0</v>
      </c>
      <c r="J20" s="119">
        <f>SUM(I20/B20*100)</f>
        <v>0</v>
      </c>
      <c r="K20" s="118">
        <f>SUM(K18:K19)</f>
        <v>9882</v>
      </c>
      <c r="L20" s="120">
        <f>SUM(L19)</f>
        <v>100</v>
      </c>
    </row>
    <row r="21" spans="1:12" s="31" customFormat="1" ht="12.75">
      <c r="A21" s="105" t="s">
        <v>75</v>
      </c>
      <c r="B21" s="122"/>
      <c r="C21" s="122"/>
      <c r="D21" s="123"/>
      <c r="E21" s="122"/>
      <c r="F21" s="124"/>
      <c r="G21" s="122"/>
      <c r="H21" s="124"/>
      <c r="I21" s="122"/>
      <c r="J21" s="124"/>
      <c r="K21" s="122"/>
      <c r="L21" s="125"/>
    </row>
    <row r="22" spans="1:12" s="31" customFormat="1" ht="12.75">
      <c r="A22" s="106" t="s">
        <v>102</v>
      </c>
      <c r="B22" s="107"/>
      <c r="C22" s="126"/>
      <c r="D22" s="127"/>
      <c r="E22" s="126"/>
      <c r="F22" s="128"/>
      <c r="G22" s="126"/>
      <c r="H22" s="128"/>
      <c r="I22" s="126"/>
      <c r="J22" s="128"/>
      <c r="K22" s="126">
        <f>SUM(B22-C22-E22-G22-I22)</f>
        <v>0</v>
      </c>
      <c r="L22" s="129"/>
    </row>
    <row r="23" spans="1:12" s="31" customFormat="1" ht="12.75">
      <c r="A23" s="92" t="s">
        <v>80</v>
      </c>
      <c r="B23" s="130"/>
      <c r="C23" s="130"/>
      <c r="D23" s="131"/>
      <c r="E23" s="130"/>
      <c r="F23" s="132"/>
      <c r="G23" s="130"/>
      <c r="H23" s="132"/>
      <c r="I23" s="130"/>
      <c r="J23" s="132"/>
      <c r="K23" s="130"/>
      <c r="L23" s="133"/>
    </row>
    <row r="24" spans="1:12" s="31" customFormat="1" ht="13.5" thickBot="1">
      <c r="A24" s="32" t="s">
        <v>77</v>
      </c>
      <c r="B24" s="99">
        <v>83214</v>
      </c>
      <c r="C24" s="134">
        <v>215</v>
      </c>
      <c r="D24" s="135"/>
      <c r="E24" s="134"/>
      <c r="F24" s="136">
        <f>SUM(E24/B24)*100</f>
        <v>0</v>
      </c>
      <c r="G24" s="134">
        <v>7220</v>
      </c>
      <c r="H24" s="136">
        <f>SUM(G24/B24*100)</f>
        <v>8.676424640084601</v>
      </c>
      <c r="I24" s="99">
        <v>38070</v>
      </c>
      <c r="J24" s="136">
        <f>SUM(I24/B24*100)</f>
        <v>45.749513303049966</v>
      </c>
      <c r="K24" s="134">
        <f>SUM(B24-C24-E24-G24-I24)</f>
        <v>37709</v>
      </c>
      <c r="L24" s="137">
        <f>SUM(K24/B24)*100</f>
        <v>45.31569207104574</v>
      </c>
    </row>
    <row r="25" spans="1:12" s="31" customFormat="1" ht="13.5" thickBot="1">
      <c r="A25" s="98" t="s">
        <v>36</v>
      </c>
      <c r="B25" s="118">
        <f>SUM(B24,B22)</f>
        <v>83214</v>
      </c>
      <c r="C25" s="118">
        <f>SUM(C24)</f>
        <v>215</v>
      </c>
      <c r="D25" s="121"/>
      <c r="E25" s="118"/>
      <c r="F25" s="136">
        <f>SUM(E25/B25)*100</f>
        <v>0</v>
      </c>
      <c r="G25" s="134">
        <v>7220</v>
      </c>
      <c r="H25" s="119">
        <f>SUM(G25/B25*100)</f>
        <v>8.676424640084601</v>
      </c>
      <c r="I25" s="118">
        <f>SUM(I24)</f>
        <v>38070</v>
      </c>
      <c r="J25" s="119">
        <f>SUM(J24)</f>
        <v>45.749513303049966</v>
      </c>
      <c r="K25" s="118">
        <f>SUM(K22:K24)</f>
        <v>37709</v>
      </c>
      <c r="L25" s="120">
        <f>SUM(K25/B25)*100</f>
        <v>45.31569207104574</v>
      </c>
    </row>
    <row r="26" spans="1:12" s="31" customFormat="1" ht="12.75">
      <c r="A26" s="92" t="s">
        <v>80</v>
      </c>
      <c r="B26" s="130"/>
      <c r="C26" s="130"/>
      <c r="D26" s="138"/>
      <c r="E26" s="130"/>
      <c r="F26" s="132"/>
      <c r="G26" s="130"/>
      <c r="H26" s="132"/>
      <c r="I26" s="130"/>
      <c r="J26" s="132"/>
      <c r="K26" s="130"/>
      <c r="L26" s="133"/>
    </row>
    <row r="27" spans="1:12" s="31" customFormat="1" ht="13.5" thickBot="1">
      <c r="A27" s="32" t="s">
        <v>77</v>
      </c>
      <c r="B27" s="99">
        <v>2190</v>
      </c>
      <c r="C27" s="134"/>
      <c r="D27" s="139">
        <f>SUM(C27/B27)*100</f>
        <v>0</v>
      </c>
      <c r="E27" s="134"/>
      <c r="F27" s="136">
        <f>SUM(E27/B27)*100</f>
        <v>0</v>
      </c>
      <c r="G27" s="134"/>
      <c r="H27" s="136"/>
      <c r="I27" s="134"/>
      <c r="J27" s="136"/>
      <c r="K27" s="134">
        <f>SUM(B27-C27-E27-G27-I27)</f>
        <v>2190</v>
      </c>
      <c r="L27" s="137">
        <f>SUM(K27/B27)*100</f>
        <v>100</v>
      </c>
    </row>
    <row r="28" spans="1:12" s="31" customFormat="1" ht="13.5" thickBot="1">
      <c r="A28" s="100" t="s">
        <v>86</v>
      </c>
      <c r="B28" s="118">
        <f>SUM(B27)</f>
        <v>2190</v>
      </c>
      <c r="C28" s="118"/>
      <c r="D28" s="121">
        <f>SUM(C28/B28)*100</f>
        <v>0</v>
      </c>
      <c r="E28" s="118"/>
      <c r="F28" s="119"/>
      <c r="G28" s="118"/>
      <c r="H28" s="119"/>
      <c r="I28" s="118"/>
      <c r="J28" s="119"/>
      <c r="K28" s="118">
        <f>SUM(K27)</f>
        <v>2190</v>
      </c>
      <c r="L28" s="137">
        <f>SUM(K28/B28)*100</f>
        <v>100</v>
      </c>
    </row>
    <row r="29" spans="1:12" s="31" customFormat="1" ht="12.75">
      <c r="A29" s="92" t="s">
        <v>80</v>
      </c>
      <c r="B29" s="122"/>
      <c r="C29" s="122"/>
      <c r="D29" s="123"/>
      <c r="E29" s="122"/>
      <c r="F29" s="124"/>
      <c r="G29" s="122"/>
      <c r="H29" s="124"/>
      <c r="I29" s="122"/>
      <c r="J29" s="124"/>
      <c r="K29" s="122"/>
      <c r="L29" s="125"/>
    </row>
    <row r="30" spans="1:12" s="31" customFormat="1" ht="13.5" thickBot="1">
      <c r="A30" s="32" t="s">
        <v>77</v>
      </c>
      <c r="B30" s="99">
        <v>1667</v>
      </c>
      <c r="C30" s="134"/>
      <c r="D30" s="139">
        <f>SUM(C30/B30)*100</f>
        <v>0</v>
      </c>
      <c r="E30" s="134"/>
      <c r="F30" s="136">
        <f>SUM(E30/B30)*100</f>
        <v>0</v>
      </c>
      <c r="G30" s="134"/>
      <c r="H30" s="136"/>
      <c r="I30" s="134"/>
      <c r="J30" s="136"/>
      <c r="K30" s="134">
        <f>SUM(B30-C30-E30-G30-I30)</f>
        <v>1667</v>
      </c>
      <c r="L30" s="137">
        <f>SUM(K30/B30)*100</f>
        <v>100</v>
      </c>
    </row>
    <row r="31" spans="1:12" s="31" customFormat="1" ht="13.5" thickBot="1">
      <c r="A31" s="100" t="s">
        <v>83</v>
      </c>
      <c r="B31" s="118">
        <f>SUM(B30)</f>
        <v>1667</v>
      </c>
      <c r="C31" s="118"/>
      <c r="D31" s="121">
        <f>SUM(C31/B31)*100</f>
        <v>0</v>
      </c>
      <c r="E31" s="118"/>
      <c r="F31" s="119"/>
      <c r="G31" s="118"/>
      <c r="H31" s="119"/>
      <c r="I31" s="118"/>
      <c r="J31" s="119"/>
      <c r="K31" s="118">
        <f>SUM(K30)</f>
        <v>1667</v>
      </c>
      <c r="L31" s="137">
        <f>SUM(K31/B31)*100</f>
        <v>100</v>
      </c>
    </row>
    <row r="32" spans="1:12" s="31" customFormat="1" ht="12.75">
      <c r="A32" s="92" t="s">
        <v>80</v>
      </c>
      <c r="B32" s="122"/>
      <c r="C32" s="122"/>
      <c r="D32" s="123"/>
      <c r="E32" s="122"/>
      <c r="F32" s="124"/>
      <c r="G32" s="122"/>
      <c r="H32" s="124"/>
      <c r="I32" s="122"/>
      <c r="J32" s="124"/>
      <c r="K32" s="122"/>
      <c r="L32" s="125"/>
    </row>
    <row r="33" spans="1:12" s="31" customFormat="1" ht="13.5" thickBot="1">
      <c r="A33" s="32" t="s">
        <v>77</v>
      </c>
      <c r="B33" s="99">
        <v>344</v>
      </c>
      <c r="C33" s="134"/>
      <c r="D33" s="139">
        <f>SUM(C33/B33)*100</f>
        <v>0</v>
      </c>
      <c r="E33" s="134"/>
      <c r="F33" s="136">
        <f>SUM(E33/B33)*100</f>
        <v>0</v>
      </c>
      <c r="G33" s="134"/>
      <c r="H33" s="136"/>
      <c r="I33" s="134"/>
      <c r="J33" s="136"/>
      <c r="K33" s="134">
        <f>SUM(B33-C33-E33-G33-I33)</f>
        <v>344</v>
      </c>
      <c r="L33" s="137">
        <f>SUM(K33/B33)*100</f>
        <v>100</v>
      </c>
    </row>
    <row r="34" spans="1:12" s="31" customFormat="1" ht="13.5" thickBot="1">
      <c r="A34" s="100" t="s">
        <v>84</v>
      </c>
      <c r="B34" s="118">
        <f>SUM(B33)</f>
        <v>344</v>
      </c>
      <c r="C34" s="118"/>
      <c r="D34" s="121">
        <f>SUM(C34/B34)*100</f>
        <v>0</v>
      </c>
      <c r="E34" s="118"/>
      <c r="F34" s="119"/>
      <c r="G34" s="118"/>
      <c r="H34" s="119"/>
      <c r="I34" s="118"/>
      <c r="J34" s="119"/>
      <c r="K34" s="118">
        <f>SUM(K33)</f>
        <v>344</v>
      </c>
      <c r="L34" s="137">
        <f>SUM(K34/B34)*100</f>
        <v>100</v>
      </c>
    </row>
    <row r="35" spans="1:12" s="31" customFormat="1" ht="12.75">
      <c r="A35" s="92" t="s">
        <v>80</v>
      </c>
      <c r="B35" s="122"/>
      <c r="C35" s="122"/>
      <c r="D35" s="123"/>
      <c r="E35" s="122"/>
      <c r="F35" s="124"/>
      <c r="G35" s="122"/>
      <c r="H35" s="124"/>
      <c r="I35" s="122"/>
      <c r="J35" s="124"/>
      <c r="K35" s="122"/>
      <c r="L35" s="125"/>
    </row>
    <row r="36" spans="1:12" s="31" customFormat="1" ht="13.5" thickBot="1">
      <c r="A36" s="32" t="s">
        <v>77</v>
      </c>
      <c r="B36" s="140">
        <v>606</v>
      </c>
      <c r="C36" s="141"/>
      <c r="D36" s="127">
        <f>SUM(C36/B36)*100</f>
        <v>0</v>
      </c>
      <c r="E36" s="141"/>
      <c r="F36" s="142">
        <f>SUM(E36/B36)*100</f>
        <v>0</v>
      </c>
      <c r="G36" s="141"/>
      <c r="H36" s="142"/>
      <c r="I36" s="141"/>
      <c r="J36" s="142"/>
      <c r="K36" s="141">
        <f>SUM(B36-C36-E36-G36-I36)</f>
        <v>606</v>
      </c>
      <c r="L36" s="143">
        <f>SUM(K36/B36)*100</f>
        <v>100</v>
      </c>
    </row>
    <row r="37" spans="1:12" s="31" customFormat="1" ht="13.5" thickBot="1">
      <c r="A37" s="29" t="s">
        <v>85</v>
      </c>
      <c r="B37" s="118">
        <f>SUM(B36)</f>
        <v>606</v>
      </c>
      <c r="C37" s="118"/>
      <c r="D37" s="121">
        <f>SUM(C37/B37)*100</f>
        <v>0</v>
      </c>
      <c r="E37" s="118"/>
      <c r="F37" s="119"/>
      <c r="G37" s="118"/>
      <c r="H37" s="119"/>
      <c r="I37" s="118"/>
      <c r="J37" s="119"/>
      <c r="K37" s="118">
        <f>SUM(K36)</f>
        <v>606</v>
      </c>
      <c r="L37" s="143">
        <f>SUM(K37/B37)*100</f>
        <v>100</v>
      </c>
    </row>
    <row r="38" spans="1:12" s="31" customFormat="1" ht="12.75">
      <c r="A38" s="92" t="s">
        <v>80</v>
      </c>
      <c r="B38" s="122"/>
      <c r="C38" s="122"/>
      <c r="D38" s="123"/>
      <c r="E38" s="122"/>
      <c r="F38" s="124"/>
      <c r="G38" s="122"/>
      <c r="H38" s="124"/>
      <c r="I38" s="122"/>
      <c r="J38" s="124"/>
      <c r="K38" s="122"/>
      <c r="L38" s="125"/>
    </row>
    <row r="39" spans="1:12" s="31" customFormat="1" ht="13.5" thickBot="1">
      <c r="A39" s="32" t="s">
        <v>77</v>
      </c>
      <c r="B39" s="134">
        <v>444</v>
      </c>
      <c r="C39" s="134"/>
      <c r="D39" s="139">
        <f>SUM(C39/B39)*100</f>
        <v>0</v>
      </c>
      <c r="E39" s="134"/>
      <c r="F39" s="136">
        <f>SUM(E39/B39)*100</f>
        <v>0</v>
      </c>
      <c r="G39" s="134"/>
      <c r="H39" s="136"/>
      <c r="I39" s="134"/>
      <c r="J39" s="136"/>
      <c r="K39" s="134">
        <f>SUM(B39-C39-E39-G39-I39)</f>
        <v>444</v>
      </c>
      <c r="L39" s="137">
        <f>SUM(K39/B39)*100</f>
        <v>100</v>
      </c>
    </row>
    <row r="40" spans="1:12" s="31" customFormat="1" ht="13.5" thickBot="1">
      <c r="A40" s="29" t="s">
        <v>87</v>
      </c>
      <c r="B40" s="118">
        <f>SUM(B39)</f>
        <v>444</v>
      </c>
      <c r="C40" s="118"/>
      <c r="D40" s="139">
        <f>SUM(C40/B40)*100</f>
        <v>0</v>
      </c>
      <c r="E40" s="118"/>
      <c r="F40" s="119"/>
      <c r="G40" s="118"/>
      <c r="H40" s="119"/>
      <c r="I40" s="118"/>
      <c r="J40" s="119"/>
      <c r="K40" s="118">
        <f>SUM(K39)</f>
        <v>444</v>
      </c>
      <c r="L40" s="137">
        <f>SUM(K40/B40)*100</f>
        <v>100</v>
      </c>
    </row>
    <row r="41" spans="1:12" s="31" customFormat="1" ht="13.5" thickBot="1">
      <c r="A41" s="94" t="s">
        <v>80</v>
      </c>
      <c r="B41" s="118"/>
      <c r="C41" s="118"/>
      <c r="D41" s="121"/>
      <c r="E41" s="118"/>
      <c r="F41" s="119"/>
      <c r="G41" s="118"/>
      <c r="H41" s="119"/>
      <c r="I41" s="118"/>
      <c r="J41" s="119"/>
      <c r="K41" s="118"/>
      <c r="L41" s="120"/>
    </row>
    <row r="42" spans="1:12" s="31" customFormat="1" ht="13.5" thickBot="1">
      <c r="A42" s="102" t="s">
        <v>77</v>
      </c>
      <c r="B42" s="122">
        <v>1354</v>
      </c>
      <c r="C42" s="122"/>
      <c r="D42" s="123">
        <f>SUM(C42/B42)*100</f>
        <v>0</v>
      </c>
      <c r="E42" s="122"/>
      <c r="F42" s="124">
        <f>SUM(E42/B42)*100</f>
        <v>0</v>
      </c>
      <c r="G42" s="122"/>
      <c r="H42" s="124"/>
      <c r="I42" s="122"/>
      <c r="J42" s="124"/>
      <c r="K42" s="122">
        <f>SUM(B42-C42-E42-G42-I42)</f>
        <v>1354</v>
      </c>
      <c r="L42" s="125">
        <f>SUM(K42/B42)*100</f>
        <v>100</v>
      </c>
    </row>
    <row r="43" spans="1:12" s="31" customFormat="1" ht="13.5" thickBot="1">
      <c r="A43" s="101" t="s">
        <v>88</v>
      </c>
      <c r="B43" s="134">
        <v>1354</v>
      </c>
      <c r="C43" s="134"/>
      <c r="D43" s="139">
        <f>SUM(C43/B43)*100</f>
        <v>0</v>
      </c>
      <c r="E43" s="134"/>
      <c r="F43" s="136">
        <f>SUM(E43/B43)*100</f>
        <v>0</v>
      </c>
      <c r="G43" s="134"/>
      <c r="H43" s="136"/>
      <c r="I43" s="134"/>
      <c r="J43" s="136"/>
      <c r="K43" s="134">
        <f>SUM(K42)</f>
        <v>1354</v>
      </c>
      <c r="L43" s="125">
        <f>SUM(K43/B43)*100</f>
        <v>100</v>
      </c>
    </row>
    <row r="44" spans="1:12" s="31" customFormat="1" ht="13.5" thickBot="1">
      <c r="A44" s="144" t="s">
        <v>16</v>
      </c>
      <c r="B44" s="118">
        <f>SUM(B20,B17,B25,B31,B34,B37,B40,B43,B28)</f>
        <v>3970188</v>
      </c>
      <c r="C44" s="118">
        <f aca="true" t="shared" si="0" ref="C44:K44">SUM(C20,C17,C25,C31,C34,C37,C40,C43,C28)</f>
        <v>291710</v>
      </c>
      <c r="D44" s="194">
        <f>SUM(C44/B44)*100</f>
        <v>7.347510999479118</v>
      </c>
      <c r="E44" s="118">
        <f t="shared" si="0"/>
        <v>1966835</v>
      </c>
      <c r="F44" s="194">
        <f>SUM(E44/B44)*100</f>
        <v>49.54009734551613</v>
      </c>
      <c r="G44" s="118">
        <f t="shared" si="0"/>
        <v>7220</v>
      </c>
      <c r="H44" s="194">
        <f>SUM(G44/B44*100)</f>
        <v>0.1818553680581373</v>
      </c>
      <c r="I44" s="118">
        <f t="shared" si="0"/>
        <v>1650227</v>
      </c>
      <c r="J44" s="194">
        <f>SUM(I44/B44*100)</f>
        <v>41.56546239120162</v>
      </c>
      <c r="K44" s="118">
        <f t="shared" si="0"/>
        <v>54196</v>
      </c>
      <c r="L44" s="194">
        <f>SUM(K44/B44)*100</f>
        <v>1.3650738957449873</v>
      </c>
    </row>
    <row r="45" spans="3:11" ht="12.75">
      <c r="C45" s="145"/>
      <c r="D45" s="146"/>
      <c r="E45" s="147"/>
      <c r="F45" s="148"/>
      <c r="G45" s="147"/>
      <c r="H45" s="148"/>
      <c r="I45" s="148"/>
      <c r="J45" s="148"/>
      <c r="K45" s="145"/>
    </row>
    <row r="46" ht="12.75">
      <c r="B46" s="147"/>
    </row>
    <row r="47" spans="2:10" ht="12.75">
      <c r="B47" s="147"/>
      <c r="I47" s="147"/>
      <c r="J47" s="147"/>
    </row>
    <row r="48" ht="12.75">
      <c r="B48" s="147"/>
    </row>
    <row r="49" ht="12.75">
      <c r="B49" s="147"/>
    </row>
    <row r="50" ht="12.75">
      <c r="B50" s="147"/>
    </row>
    <row r="51" ht="12.75">
      <c r="B51" s="147"/>
    </row>
    <row r="54" ht="12.75">
      <c r="B54" s="147"/>
    </row>
  </sheetData>
  <sheetProtection/>
  <mergeCells count="2">
    <mergeCell ref="K1:L1"/>
    <mergeCell ref="A2:L3"/>
  </mergeCells>
  <printOptions/>
  <pageMargins left="0.9448818897637796" right="0.15748031496062992" top="0.1968503937007874" bottom="0.1968503937007874" header="0.2755905511811024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B1">
      <selection activeCell="B28" sqref="A28:IV53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88" t="s">
        <v>28</v>
      </c>
      <c r="M1" s="188"/>
    </row>
    <row r="2" spans="2:13" ht="18" customHeight="1">
      <c r="B2" s="187" t="s">
        <v>106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13" ht="12" customHeight="1" thickBot="1">
      <c r="B3" s="36"/>
      <c r="C3" s="48"/>
      <c r="D3" s="48"/>
      <c r="E3" s="49"/>
      <c r="F3" s="48"/>
      <c r="G3" s="50"/>
      <c r="H3" s="59"/>
      <c r="I3" s="62"/>
      <c r="J3" s="51"/>
      <c r="K3" s="67"/>
      <c r="L3" s="52"/>
      <c r="M3" s="53" t="s">
        <v>0</v>
      </c>
    </row>
    <row r="4" spans="2:13" s="55" customFormat="1" ht="90" customHeight="1" thickBot="1">
      <c r="B4" s="37" t="s">
        <v>2</v>
      </c>
      <c r="C4" s="45" t="s">
        <v>63</v>
      </c>
      <c r="D4" s="45" t="s">
        <v>78</v>
      </c>
      <c r="E4" s="46" t="s">
        <v>68</v>
      </c>
      <c r="F4" s="45" t="s">
        <v>58</v>
      </c>
      <c r="G4" s="46" t="s">
        <v>69</v>
      </c>
      <c r="H4" s="45" t="s">
        <v>79</v>
      </c>
      <c r="I4" s="46" t="s">
        <v>71</v>
      </c>
      <c r="J4" s="46" t="s">
        <v>74</v>
      </c>
      <c r="K4" s="46" t="s">
        <v>46</v>
      </c>
      <c r="L4" s="47" t="s">
        <v>72</v>
      </c>
      <c r="M4" s="54" t="s">
        <v>73</v>
      </c>
    </row>
    <row r="5" spans="2:13" ht="12" customHeight="1">
      <c r="B5" s="92" t="s">
        <v>75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76</v>
      </c>
      <c r="C6" s="19">
        <f>64059-'önként2018.felh.'!B7</f>
        <v>34951</v>
      </c>
      <c r="D6" s="20"/>
      <c r="E6" s="21">
        <f>SUM(D6/C6)*100</f>
        <v>0</v>
      </c>
      <c r="F6" s="20"/>
      <c r="G6" s="17">
        <f>SUM(F6/C6)*100</f>
        <v>0</v>
      </c>
      <c r="H6" s="20"/>
      <c r="I6" s="63">
        <f>SUM(H6/C6)*100</f>
        <v>0</v>
      </c>
      <c r="J6" s="16">
        <v>34951</v>
      </c>
      <c r="K6" s="17">
        <f>SUM(J6/C6)*100</f>
        <v>100</v>
      </c>
      <c r="L6" s="16">
        <f>SUM(C6-D6-F6-H6-J6)</f>
        <v>0</v>
      </c>
      <c r="M6" s="22">
        <f>SUM(L6/C6)*100</f>
        <v>0</v>
      </c>
    </row>
    <row r="7" spans="2:13" ht="12" customHeight="1">
      <c r="B7" s="14" t="s">
        <v>77</v>
      </c>
      <c r="C7" s="19">
        <f>277040-'önként2018.felh.'!B8-29241-12793</f>
        <v>28183</v>
      </c>
      <c r="D7" s="20">
        <v>28183</v>
      </c>
      <c r="E7" s="21">
        <f>SUM(D7/C7)*100</f>
        <v>100</v>
      </c>
      <c r="F7" s="20"/>
      <c r="G7" s="17">
        <f>SUM(F7/C7)*100</f>
        <v>0</v>
      </c>
      <c r="H7" s="20"/>
      <c r="I7" s="63">
        <f>SUM(H7/C7)*100</f>
        <v>0</v>
      </c>
      <c r="J7" s="16"/>
      <c r="K7" s="17">
        <f>SUM(J7/C7)*100</f>
        <v>0</v>
      </c>
      <c r="L7" s="16">
        <f>SUM(C7-D7-F7-H7-J7)</f>
        <v>0</v>
      </c>
      <c r="M7" s="22">
        <f>SUM(L7/C7)*100</f>
        <v>0</v>
      </c>
    </row>
    <row r="8" spans="2:13" ht="12" customHeight="1">
      <c r="B8" s="93" t="s">
        <v>80</v>
      </c>
      <c r="C8" s="19"/>
      <c r="D8" s="20"/>
      <c r="E8" s="21"/>
      <c r="F8" s="20"/>
      <c r="G8" s="21"/>
      <c r="H8" s="20"/>
      <c r="I8" s="63"/>
      <c r="J8" s="16"/>
      <c r="K8" s="17"/>
      <c r="L8" s="16"/>
      <c r="M8" s="22"/>
    </row>
    <row r="9" spans="2:13" ht="12" customHeight="1">
      <c r="B9" s="14" t="s">
        <v>76</v>
      </c>
      <c r="C9" s="19">
        <v>3207</v>
      </c>
      <c r="D9" s="20"/>
      <c r="E9" s="21"/>
      <c r="F9" s="20"/>
      <c r="G9" s="21"/>
      <c r="H9" s="20"/>
      <c r="I9" s="63"/>
      <c r="J9" s="16">
        <v>3207</v>
      </c>
      <c r="K9" s="17">
        <f>SUM(J9/C9)*100</f>
        <v>100</v>
      </c>
      <c r="L9" s="16">
        <f>SUM(C9-D9-F9-H9-J9)</f>
        <v>0</v>
      </c>
      <c r="M9" s="22">
        <f>SUM(L9/C9)*100</f>
        <v>0</v>
      </c>
    </row>
    <row r="10" spans="2:13" ht="12" customHeight="1">
      <c r="B10" s="14" t="s">
        <v>77</v>
      </c>
      <c r="C10" s="19">
        <f>20772+13584</f>
        <v>34356</v>
      </c>
      <c r="D10" s="20">
        <v>34356</v>
      </c>
      <c r="E10" s="21">
        <f>SUM(D10/C10)*100</f>
        <v>100</v>
      </c>
      <c r="F10" s="20"/>
      <c r="G10" s="21">
        <f>SUM(F10/C10)*100</f>
        <v>0</v>
      </c>
      <c r="H10" s="20"/>
      <c r="I10" s="63">
        <f>SUM(H10/C10)*100</f>
        <v>0</v>
      </c>
      <c r="J10" s="16"/>
      <c r="K10" s="17">
        <f>SUM(J10/C10)*100</f>
        <v>0</v>
      </c>
      <c r="L10" s="16">
        <f>SUM(C10-D10-F10-H10-J10)</f>
        <v>0</v>
      </c>
      <c r="M10" s="22">
        <f>SUM(L10/C10)*100</f>
        <v>0</v>
      </c>
    </row>
    <row r="11" spans="2:13" ht="12" customHeight="1">
      <c r="B11" s="93" t="s">
        <v>115</v>
      </c>
      <c r="C11" s="19"/>
      <c r="D11" s="20"/>
      <c r="E11" s="21"/>
      <c r="F11" s="20"/>
      <c r="G11" s="21"/>
      <c r="H11" s="20"/>
      <c r="I11" s="162"/>
      <c r="J11" s="20"/>
      <c r="K11" s="17"/>
      <c r="L11" s="16">
        <f>SUM(C11-D11-F11-H11-J11)</f>
        <v>0</v>
      </c>
      <c r="M11" s="22"/>
    </row>
    <row r="12" spans="2:13" ht="12" customHeight="1">
      <c r="B12" s="14" t="s">
        <v>76</v>
      </c>
      <c r="C12" s="19">
        <v>3154</v>
      </c>
      <c r="D12" s="20"/>
      <c r="E12" s="21"/>
      <c r="F12" s="20"/>
      <c r="G12" s="21"/>
      <c r="H12" s="20"/>
      <c r="I12" s="162"/>
      <c r="J12" s="20">
        <v>3154</v>
      </c>
      <c r="K12" s="17">
        <f>SUM(J12/C12)*100</f>
        <v>100</v>
      </c>
      <c r="L12" s="16">
        <f>SUM(C12-D12-F12-H12-J12)</f>
        <v>0</v>
      </c>
      <c r="M12" s="22">
        <f>SUM(L12/C12)*100</f>
        <v>0</v>
      </c>
    </row>
    <row r="13" spans="2:13" ht="12" customHeight="1" thickBot="1">
      <c r="B13" s="14" t="s">
        <v>114</v>
      </c>
      <c r="C13" s="27">
        <v>1457</v>
      </c>
      <c r="D13" s="28">
        <v>1457</v>
      </c>
      <c r="E13" s="39"/>
      <c r="F13" s="28"/>
      <c r="G13" s="39"/>
      <c r="H13" s="28"/>
      <c r="I13" s="64"/>
      <c r="J13" s="28"/>
      <c r="K13" s="17">
        <f>SUM(J13/C13)*100</f>
        <v>0</v>
      </c>
      <c r="L13" s="16">
        <f>SUM(C13-D13-F13-H13-J13)</f>
        <v>0</v>
      </c>
      <c r="M13" s="22">
        <f>SUM(L13/C13)*100</f>
        <v>0</v>
      </c>
    </row>
    <row r="14" spans="2:13" s="31" customFormat="1" ht="12" customHeight="1" thickBot="1">
      <c r="B14" s="29" t="s">
        <v>37</v>
      </c>
      <c r="C14" s="26">
        <f>SUM(C5:C13)</f>
        <v>105308</v>
      </c>
      <c r="D14" s="26">
        <f>SUM(D5:D13)</f>
        <v>63996</v>
      </c>
      <c r="E14" s="56">
        <f>SUM(D14/C14)*100</f>
        <v>60.77031184715311</v>
      </c>
      <c r="F14" s="26">
        <f>SUM(F5:F10)</f>
        <v>0</v>
      </c>
      <c r="G14" s="56">
        <f>SUM(F14/C14)*100</f>
        <v>0</v>
      </c>
      <c r="H14" s="26">
        <f>SUM(H5:H10)</f>
        <v>0</v>
      </c>
      <c r="I14" s="56">
        <f>SUM(H14/C14)*100</f>
        <v>0</v>
      </c>
      <c r="J14" s="26">
        <f>SUM(J5:J13)</f>
        <v>41312</v>
      </c>
      <c r="K14" s="30">
        <f>SUM(J14/C14)*100</f>
        <v>39.22968815284689</v>
      </c>
      <c r="L14" s="26">
        <f>SUM(L5:L10)</f>
        <v>0</v>
      </c>
      <c r="M14" s="74">
        <f>SUM(L14/C14)*100</f>
        <v>0</v>
      </c>
    </row>
    <row r="15" spans="2:13" s="80" customFormat="1" ht="12" customHeight="1">
      <c r="B15" s="92" t="s">
        <v>75</v>
      </c>
      <c r="C15" s="19"/>
      <c r="D15" s="75"/>
      <c r="E15" s="21"/>
      <c r="F15" s="75"/>
      <c r="G15" s="76"/>
      <c r="H15" s="75"/>
      <c r="I15" s="77"/>
      <c r="J15" s="78"/>
      <c r="K15" s="79"/>
      <c r="L15" s="16"/>
      <c r="M15" s="22"/>
    </row>
    <row r="16" spans="2:13" s="80" customFormat="1" ht="12" customHeight="1">
      <c r="B16" s="14" t="s">
        <v>77</v>
      </c>
      <c r="C16" s="19">
        <v>29241</v>
      </c>
      <c r="D16" s="75"/>
      <c r="E16" s="21">
        <f>SUM(D16/C16)*100</f>
        <v>0</v>
      </c>
      <c r="F16" s="75"/>
      <c r="G16" s="76"/>
      <c r="H16" s="75"/>
      <c r="I16" s="77"/>
      <c r="J16" s="78"/>
      <c r="K16" s="79"/>
      <c r="L16" s="16">
        <f>SUM(C16-D16-F16-H16-J16)</f>
        <v>29241</v>
      </c>
      <c r="M16" s="22">
        <f>SUM(L16/C16)*100</f>
        <v>100</v>
      </c>
    </row>
    <row r="17" spans="2:13" s="80" customFormat="1" ht="12" customHeight="1">
      <c r="B17" s="93" t="s">
        <v>80</v>
      </c>
      <c r="C17" s="19"/>
      <c r="D17" s="75"/>
      <c r="E17" s="21"/>
      <c r="F17" s="75"/>
      <c r="G17" s="76"/>
      <c r="H17" s="75"/>
      <c r="I17" s="77"/>
      <c r="J17" s="78"/>
      <c r="K17" s="79"/>
      <c r="L17" s="16"/>
      <c r="M17" s="22"/>
    </row>
    <row r="18" spans="2:13" s="80" customFormat="1" ht="12" customHeight="1">
      <c r="B18" s="14" t="s">
        <v>76</v>
      </c>
      <c r="C18" s="19"/>
      <c r="D18" s="75"/>
      <c r="E18" s="21"/>
      <c r="F18" s="75"/>
      <c r="G18" s="76"/>
      <c r="H18" s="75"/>
      <c r="I18" s="77"/>
      <c r="J18" s="78"/>
      <c r="K18" s="79"/>
      <c r="L18" s="16"/>
      <c r="M18" s="22"/>
    </row>
    <row r="19" spans="2:13" s="80" customFormat="1" ht="12" customHeight="1" thickBot="1">
      <c r="B19" s="14" t="s">
        <v>77</v>
      </c>
      <c r="C19" s="23"/>
      <c r="D19" s="81"/>
      <c r="E19" s="24"/>
      <c r="F19" s="81"/>
      <c r="G19" s="82"/>
      <c r="H19" s="81"/>
      <c r="I19" s="77"/>
      <c r="J19" s="83"/>
      <c r="K19" s="79"/>
      <c r="L19" s="16"/>
      <c r="M19" s="73"/>
    </row>
    <row r="20" spans="2:13" s="31" customFormat="1" ht="12" customHeight="1" thickBot="1">
      <c r="B20" s="29" t="s">
        <v>36</v>
      </c>
      <c r="C20" s="26">
        <f>SUM(C15:C19)</f>
        <v>29241</v>
      </c>
      <c r="D20" s="26">
        <f aca="true" t="shared" si="0" ref="D20:M20">SUM(D15:D19)</f>
        <v>0</v>
      </c>
      <c r="E20" s="56">
        <f t="shared" si="0"/>
        <v>0</v>
      </c>
      <c r="F20" s="26">
        <f t="shared" si="0"/>
        <v>0</v>
      </c>
      <c r="G20" s="30"/>
      <c r="H20" s="26">
        <f t="shared" si="0"/>
        <v>0</v>
      </c>
      <c r="I20" s="56"/>
      <c r="J20" s="26">
        <f>SUM(J15:J19)</f>
        <v>0</v>
      </c>
      <c r="K20" s="30"/>
      <c r="L20" s="26">
        <f t="shared" si="0"/>
        <v>29241</v>
      </c>
      <c r="M20" s="56">
        <f t="shared" si="0"/>
        <v>100</v>
      </c>
    </row>
    <row r="21" spans="2:13" ht="12" customHeight="1">
      <c r="B21" s="94" t="s">
        <v>75</v>
      </c>
      <c r="C21" s="85"/>
      <c r="D21" s="86"/>
      <c r="E21" s="87"/>
      <c r="F21" s="86"/>
      <c r="G21" s="87"/>
      <c r="H21" s="86"/>
      <c r="I21" s="88"/>
      <c r="J21" s="86"/>
      <c r="K21" s="87"/>
      <c r="L21" s="86"/>
      <c r="M21" s="89"/>
    </row>
    <row r="22" spans="2:13" ht="12" customHeight="1">
      <c r="B22" s="158" t="s">
        <v>77</v>
      </c>
      <c r="C22" s="19">
        <v>12793</v>
      </c>
      <c r="D22" s="20"/>
      <c r="E22" s="24">
        <f>SUM(D22/C22)*100</f>
        <v>0</v>
      </c>
      <c r="F22" s="159"/>
      <c r="G22" s="24"/>
      <c r="H22" s="159"/>
      <c r="I22" s="189"/>
      <c r="J22" s="159"/>
      <c r="K22" s="24"/>
      <c r="L22" s="159">
        <f>SUM(C22-D22-F22-H22-J22)</f>
        <v>12793</v>
      </c>
      <c r="M22" s="73">
        <f>SUM(L22/C22)*100</f>
        <v>100</v>
      </c>
    </row>
    <row r="23" spans="2:13" ht="12" customHeight="1">
      <c r="B23" s="92" t="s">
        <v>80</v>
      </c>
      <c r="C23" s="151"/>
      <c r="D23" s="33"/>
      <c r="E23" s="21"/>
      <c r="F23" s="20"/>
      <c r="G23" s="21"/>
      <c r="H23" s="20"/>
      <c r="I23" s="162"/>
      <c r="J23" s="20"/>
      <c r="K23" s="21"/>
      <c r="L23" s="20"/>
      <c r="M23" s="22"/>
    </row>
    <row r="24" spans="2:13" ht="12" customHeight="1" thickBot="1">
      <c r="B24" s="14" t="s">
        <v>77</v>
      </c>
      <c r="C24" s="27">
        <v>13333</v>
      </c>
      <c r="D24" s="28">
        <v>10000</v>
      </c>
      <c r="E24" s="190">
        <f>SUM(D24/C24)*100</f>
        <v>75.00187504687618</v>
      </c>
      <c r="F24" s="191"/>
      <c r="G24" s="190">
        <f>SUM(F24/C24)*100</f>
        <v>0</v>
      </c>
      <c r="H24" s="191"/>
      <c r="I24" s="192">
        <f>SUM(H24/C24)*100</f>
        <v>0</v>
      </c>
      <c r="J24" s="191"/>
      <c r="K24" s="190">
        <f>SUM(J24/C24)*100</f>
        <v>0</v>
      </c>
      <c r="L24" s="191">
        <f>SUM(C24-D24-F24-H24-J24)</f>
        <v>3333</v>
      </c>
      <c r="M24" s="193">
        <f>SUM(L24/C24)*100</f>
        <v>24.998124953123828</v>
      </c>
    </row>
    <row r="25" spans="2:13" ht="12" customHeight="1" thickBot="1">
      <c r="B25" s="29" t="s">
        <v>50</v>
      </c>
      <c r="C25" s="26">
        <f>SUM(C21:C24)</f>
        <v>26126</v>
      </c>
      <c r="D25" s="26">
        <f>SUM(D21:D24)</f>
        <v>10000</v>
      </c>
      <c r="E25" s="56">
        <f>SUM(D25/C25)*100</f>
        <v>38.27604684988135</v>
      </c>
      <c r="F25" s="26">
        <f aca="true" t="shared" si="1" ref="F25:L25">SUM(F21:F24)</f>
        <v>0</v>
      </c>
      <c r="G25" s="56">
        <f t="shared" si="1"/>
        <v>0</v>
      </c>
      <c r="H25" s="26">
        <f t="shared" si="1"/>
        <v>0</v>
      </c>
      <c r="I25" s="56">
        <f t="shared" si="1"/>
        <v>0</v>
      </c>
      <c r="J25" s="26">
        <f t="shared" si="1"/>
        <v>0</v>
      </c>
      <c r="K25" s="30">
        <f t="shared" si="1"/>
        <v>0</v>
      </c>
      <c r="L25" s="26">
        <f t="shared" si="1"/>
        <v>16126</v>
      </c>
      <c r="M25" s="74">
        <f>SUM(L25/C25)*100</f>
        <v>61.72395315011866</v>
      </c>
    </row>
    <row r="26" spans="2:16" s="4" customFormat="1" ht="12" customHeight="1" thickBot="1">
      <c r="B26" s="25" t="s">
        <v>16</v>
      </c>
      <c r="C26" s="26">
        <f>SUM(C25,C20,C14)</f>
        <v>160675</v>
      </c>
      <c r="D26" s="26">
        <f aca="true" t="shared" si="2" ref="D26:L26">SUM(D25,D20,D14)</f>
        <v>73996</v>
      </c>
      <c r="E26" s="56">
        <f>SUM(D26/C26)*100</f>
        <v>46.05321300762409</v>
      </c>
      <c r="F26" s="26">
        <f t="shared" si="2"/>
        <v>0</v>
      </c>
      <c r="G26" s="56">
        <f>SUM(G24:G25)</f>
        <v>0</v>
      </c>
      <c r="H26" s="26">
        <f t="shared" si="2"/>
        <v>0</v>
      </c>
      <c r="I26" s="56">
        <f>SUM(I24:I25)</f>
        <v>0</v>
      </c>
      <c r="J26" s="26">
        <f t="shared" si="2"/>
        <v>41312</v>
      </c>
      <c r="K26" s="39">
        <f>SUM(J26/C26)*100</f>
        <v>25.711529484985217</v>
      </c>
      <c r="L26" s="26">
        <f t="shared" si="2"/>
        <v>45367</v>
      </c>
      <c r="M26" s="74">
        <f>SUM(L26/C26)*100</f>
        <v>28.235257507390692</v>
      </c>
      <c r="O26" s="90"/>
      <c r="P26" s="90"/>
    </row>
    <row r="27" spans="2:13" ht="12.75">
      <c r="B27" s="8"/>
      <c r="C27" s="9"/>
      <c r="D27" s="9"/>
      <c r="E27" s="13"/>
      <c r="F27" s="9"/>
      <c r="G27" s="10"/>
      <c r="H27" s="60"/>
      <c r="I27" s="65"/>
      <c r="J27" s="11"/>
      <c r="K27" s="68"/>
      <c r="L27" s="12"/>
      <c r="M27" s="8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13" sqref="B13:C27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6"/>
      <c r="B1" s="36"/>
      <c r="C1" s="36"/>
      <c r="D1" s="69"/>
      <c r="E1" s="36"/>
      <c r="F1" s="36"/>
      <c r="G1" s="36"/>
      <c r="H1" s="36"/>
      <c r="I1" s="36"/>
      <c r="J1" s="36"/>
      <c r="K1" s="185" t="s">
        <v>29</v>
      </c>
      <c r="L1" s="185"/>
    </row>
    <row r="2" spans="1:12" ht="12.75">
      <c r="A2" s="186" t="s">
        <v>105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ht="12.7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</row>
    <row r="4" spans="1:12" ht="13.5" thickBot="1">
      <c r="A4" s="57"/>
      <c r="B4" s="57"/>
      <c r="C4" s="57"/>
      <c r="D4" s="70"/>
      <c r="E4" s="42"/>
      <c r="F4" s="43"/>
      <c r="G4" s="42"/>
      <c r="H4" s="43"/>
      <c r="I4" s="43"/>
      <c r="J4" s="43"/>
      <c r="K4" s="44"/>
      <c r="L4" s="53" t="s">
        <v>0</v>
      </c>
    </row>
    <row r="5" spans="1:12" ht="92.25" customHeight="1" thickBot="1">
      <c r="A5" s="37" t="s">
        <v>2</v>
      </c>
      <c r="B5" s="45" t="s">
        <v>67</v>
      </c>
      <c r="C5" s="45" t="s">
        <v>78</v>
      </c>
      <c r="D5" s="46" t="s">
        <v>68</v>
      </c>
      <c r="E5" s="45" t="s">
        <v>58</v>
      </c>
      <c r="F5" s="46" t="s">
        <v>69</v>
      </c>
      <c r="G5" s="45" t="s">
        <v>79</v>
      </c>
      <c r="H5" s="46" t="s">
        <v>71</v>
      </c>
      <c r="I5" s="46" t="s">
        <v>74</v>
      </c>
      <c r="J5" s="46" t="s">
        <v>46</v>
      </c>
      <c r="K5" s="47" t="s">
        <v>72</v>
      </c>
      <c r="L5" s="54" t="s">
        <v>73</v>
      </c>
    </row>
    <row r="6" spans="1:12" ht="12.75">
      <c r="A6" s="92"/>
      <c r="B6" s="15"/>
      <c r="C6" s="15"/>
      <c r="D6" s="95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89</v>
      </c>
      <c r="B7" s="19">
        <v>7000000</v>
      </c>
      <c r="C7" s="19"/>
      <c r="D7" s="96">
        <f>SUM(C7/B7)*100</f>
        <v>0</v>
      </c>
      <c r="E7" s="20"/>
      <c r="F7" s="21">
        <f>SUM(E7/B7)*100</f>
        <v>0</v>
      </c>
      <c r="G7" s="20"/>
      <c r="H7" s="21">
        <f>SUM(G7/B7*100)</f>
        <v>0</v>
      </c>
      <c r="I7" s="20"/>
      <c r="J7" s="17">
        <f>SUM(I7/B7*100)</f>
        <v>0</v>
      </c>
      <c r="K7" s="20">
        <f>SUM(B7-C7-E7-G7-I7)</f>
        <v>7000000</v>
      </c>
      <c r="L7" s="22">
        <f>SUM(K7/B7)*100</f>
        <v>100</v>
      </c>
    </row>
    <row r="8" spans="1:12" ht="12.75">
      <c r="A8" s="14" t="s">
        <v>91</v>
      </c>
      <c r="B8" s="19">
        <f>121905-45367</f>
        <v>76538</v>
      </c>
      <c r="C8" s="19"/>
      <c r="D8" s="96">
        <f>SUM(C8/B8)*100</f>
        <v>0</v>
      </c>
      <c r="E8" s="20"/>
      <c r="F8" s="21">
        <f>SUM(E8/B8)*100</f>
        <v>0</v>
      </c>
      <c r="G8" s="20"/>
      <c r="H8" s="21">
        <f>SUM(G8/B8*100)</f>
        <v>0</v>
      </c>
      <c r="I8" s="20"/>
      <c r="J8" s="17">
        <f>SUM(I8/B8*100)</f>
        <v>0</v>
      </c>
      <c r="K8" s="20">
        <f>SUM(B8-C8-E8-G8-I8)</f>
        <v>76538</v>
      </c>
      <c r="L8" s="22">
        <f>SUM(K8/B8)*100</f>
        <v>100</v>
      </c>
    </row>
    <row r="9" spans="1:12" ht="13.5" thickBot="1">
      <c r="A9" s="14"/>
      <c r="B9" s="19"/>
      <c r="C9" s="19"/>
      <c r="D9" s="96"/>
      <c r="E9" s="20"/>
      <c r="F9" s="21"/>
      <c r="G9" s="20"/>
      <c r="H9" s="21"/>
      <c r="I9" s="20"/>
      <c r="J9" s="17"/>
      <c r="K9" s="20"/>
      <c r="L9" s="22"/>
    </row>
    <row r="10" spans="1:12" s="31" customFormat="1" ht="13.5" thickBot="1">
      <c r="A10" s="29" t="s">
        <v>37</v>
      </c>
      <c r="B10" s="26">
        <f>SUM(B6:B9)</f>
        <v>7076538</v>
      </c>
      <c r="C10" s="26">
        <f>SUM(C6:C9)</f>
        <v>0</v>
      </c>
      <c r="D10" s="97">
        <f>SUM(C10/B10)*100</f>
        <v>0</v>
      </c>
      <c r="E10" s="26">
        <f>SUM(E6:E9)</f>
        <v>0</v>
      </c>
      <c r="F10" s="56">
        <f>SUM(E10/B10*100)</f>
        <v>0</v>
      </c>
      <c r="G10" s="26">
        <f>SUM(G6:G9)</f>
        <v>0</v>
      </c>
      <c r="H10" s="30">
        <f>SUM(G10/B10*100)</f>
        <v>0</v>
      </c>
      <c r="I10" s="26">
        <f>SUM(I6:I9)</f>
        <v>0</v>
      </c>
      <c r="J10" s="30">
        <f>SUM(I10/B10*100)</f>
        <v>0</v>
      </c>
      <c r="K10" s="26">
        <f>SUM(K6:K9)</f>
        <v>7076538</v>
      </c>
      <c r="L10" s="41">
        <f>SUM(K10/B10)*100</f>
        <v>100</v>
      </c>
    </row>
    <row r="11" spans="3:11" ht="12.75">
      <c r="C11" s="6"/>
      <c r="D11" s="71"/>
      <c r="E11" s="3"/>
      <c r="F11" s="2"/>
      <c r="G11" s="3"/>
      <c r="H11" s="2"/>
      <c r="I11" s="2"/>
      <c r="J11" s="2"/>
      <c r="K11" s="6"/>
    </row>
    <row r="13" ht="12.75">
      <c r="B13" s="3"/>
    </row>
    <row r="15" ht="12.75">
      <c r="B15" s="3"/>
    </row>
    <row r="17" ht="12.75">
      <c r="B17" s="3"/>
    </row>
    <row r="18" ht="12.75">
      <c r="B18" s="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zoomScalePageLayoutView="0" workbookViewId="0" topLeftCell="B1">
      <selection activeCell="B11" sqref="A11:IV24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8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88" t="s">
        <v>28</v>
      </c>
      <c r="M1" s="188"/>
    </row>
    <row r="2" spans="2:13" ht="18" customHeight="1">
      <c r="B2" s="187" t="s">
        <v>104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2:13" ht="12" customHeight="1" thickBot="1">
      <c r="B3" s="36"/>
      <c r="C3" s="48"/>
      <c r="D3" s="48"/>
      <c r="E3" s="49"/>
      <c r="F3" s="48"/>
      <c r="G3" s="50"/>
      <c r="H3" s="59"/>
      <c r="I3" s="62"/>
      <c r="J3" s="51"/>
      <c r="K3" s="67"/>
      <c r="L3" s="52"/>
      <c r="M3" s="53" t="s">
        <v>0</v>
      </c>
    </row>
    <row r="4" spans="2:13" s="55" customFormat="1" ht="51.75" customHeight="1" thickBot="1">
      <c r="B4" s="37" t="s">
        <v>2</v>
      </c>
      <c r="C4" s="45" t="s">
        <v>63</v>
      </c>
      <c r="D4" s="45" t="s">
        <v>78</v>
      </c>
      <c r="E4" s="46" t="s">
        <v>68</v>
      </c>
      <c r="F4" s="45" t="s">
        <v>58</v>
      </c>
      <c r="G4" s="46" t="s">
        <v>69</v>
      </c>
      <c r="H4" s="45" t="s">
        <v>79</v>
      </c>
      <c r="I4" s="46" t="s">
        <v>71</v>
      </c>
      <c r="J4" s="46" t="s">
        <v>74</v>
      </c>
      <c r="K4" s="46" t="s">
        <v>46</v>
      </c>
      <c r="L4" s="47" t="s">
        <v>72</v>
      </c>
      <c r="M4" s="54" t="s">
        <v>73</v>
      </c>
    </row>
    <row r="5" spans="2:13" ht="12" customHeight="1">
      <c r="B5" s="92" t="s">
        <v>93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90</v>
      </c>
      <c r="C6" s="19">
        <v>5076156</v>
      </c>
      <c r="D6" s="20"/>
      <c r="E6" s="21">
        <f>SUM(D6/C6)*100</f>
        <v>0</v>
      </c>
      <c r="F6" s="20"/>
      <c r="G6" s="17">
        <f>SUM(F6/C6)*100</f>
        <v>0</v>
      </c>
      <c r="H6" s="20"/>
      <c r="I6" s="63">
        <f>SUM(H6/C6)*100</f>
        <v>0</v>
      </c>
      <c r="J6" s="16"/>
      <c r="K6" s="17">
        <f>SUM(J6/C6)*100</f>
        <v>0</v>
      </c>
      <c r="L6" s="16">
        <f>SUM(C6-D6-F6-H6-J6)</f>
        <v>5076156</v>
      </c>
      <c r="M6" s="22">
        <f>SUM(L6/C6)*100</f>
        <v>100</v>
      </c>
    </row>
    <row r="7" spans="2:13" ht="12" customHeight="1">
      <c r="B7" s="14" t="s">
        <v>91</v>
      </c>
      <c r="C7" s="19">
        <v>45367</v>
      </c>
      <c r="D7" s="20"/>
      <c r="E7" s="21">
        <f>SUM(D7/C7)*100</f>
        <v>0</v>
      </c>
      <c r="F7" s="20"/>
      <c r="G7" s="21">
        <f>SUM(F7/C7)*100</f>
        <v>0</v>
      </c>
      <c r="H7" s="20"/>
      <c r="I7" s="63">
        <f>SUM(H7/C7)*100</f>
        <v>0</v>
      </c>
      <c r="J7" s="16"/>
      <c r="K7" s="17">
        <f>SUM(J7/C7)*100</f>
        <v>0</v>
      </c>
      <c r="L7" s="16">
        <f>SUM(C7-D7-F7-H7-J7)</f>
        <v>45367</v>
      </c>
      <c r="M7" s="22">
        <f>SUM(L7/C7)*100</f>
        <v>100</v>
      </c>
    </row>
    <row r="8" spans="2:13" ht="12" customHeight="1" thickBot="1">
      <c r="B8" s="14" t="s">
        <v>92</v>
      </c>
      <c r="C8" s="19">
        <v>82953</v>
      </c>
      <c r="D8" s="20"/>
      <c r="E8" s="21">
        <f>SUM(D8/C8)*100</f>
        <v>0</v>
      </c>
      <c r="F8" s="20"/>
      <c r="G8" s="21">
        <f>SUM(F8/C8)*100</f>
        <v>0</v>
      </c>
      <c r="H8" s="20"/>
      <c r="I8" s="63">
        <f>SUM(H8/C8)*100</f>
        <v>0</v>
      </c>
      <c r="J8" s="16"/>
      <c r="K8" s="17">
        <f>SUM(J8/C8)*100</f>
        <v>0</v>
      </c>
      <c r="L8" s="16">
        <f>SUM(C8-D8-F8-H8-J8)</f>
        <v>82953</v>
      </c>
      <c r="M8" s="22">
        <f>SUM(L8/C8)*100</f>
        <v>100</v>
      </c>
    </row>
    <row r="9" spans="2:13" s="31" customFormat="1" ht="12" customHeight="1" thickBot="1">
      <c r="B9" s="29" t="s">
        <v>37</v>
      </c>
      <c r="C9" s="26">
        <f>SUM(C5:C8)</f>
        <v>5204476</v>
      </c>
      <c r="D9" s="26">
        <f>SUM(D5:D8)</f>
        <v>0</v>
      </c>
      <c r="E9" s="56">
        <f>SUM(D9/C9)*100</f>
        <v>0</v>
      </c>
      <c r="F9" s="26">
        <f>SUM(F5:F8)</f>
        <v>0</v>
      </c>
      <c r="G9" s="56">
        <f>SUM(F9/C9)*100</f>
        <v>0</v>
      </c>
      <c r="H9" s="26">
        <f>SUM(H5:H8)</f>
        <v>0</v>
      </c>
      <c r="I9" s="56">
        <f>SUM(H9/C9)*100</f>
        <v>0</v>
      </c>
      <c r="J9" s="26">
        <f>SUM(J5:J8)</f>
        <v>0</v>
      </c>
      <c r="K9" s="30">
        <f>SUM(J9/C9)*100</f>
        <v>0</v>
      </c>
      <c r="L9" s="26">
        <f>SUM(L5:L8)</f>
        <v>5204476</v>
      </c>
      <c r="M9" s="74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2019-05-13T10:56:29Z</cp:lastPrinted>
  <dcterms:created xsi:type="dcterms:W3CDTF">2009-02-04T11:37:44Z</dcterms:created>
  <dcterms:modified xsi:type="dcterms:W3CDTF">2019-05-13T11:37:13Z</dcterms:modified>
  <cp:category/>
  <cp:version/>
  <cp:contentType/>
  <cp:contentStatus/>
</cp:coreProperties>
</file>