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60" i="1" l="1"/>
  <c r="H159" i="1"/>
  <c r="H158" i="1"/>
  <c r="H157" i="1"/>
  <c r="H156" i="1"/>
  <c r="H155" i="1"/>
  <c r="H154" i="1"/>
  <c r="H153" i="1"/>
  <c r="H152" i="1"/>
  <c r="K151" i="1"/>
  <c r="J151" i="1"/>
  <c r="I151" i="1"/>
  <c r="H151" i="1"/>
  <c r="G151" i="1"/>
  <c r="F151" i="1"/>
  <c r="E151" i="1"/>
  <c r="D151" i="1"/>
  <c r="C151" i="1"/>
  <c r="H150" i="1"/>
  <c r="H149" i="1"/>
  <c r="I148" i="1"/>
  <c r="I146" i="1" s="1"/>
  <c r="H148" i="1"/>
  <c r="H147" i="1"/>
  <c r="K146" i="1"/>
  <c r="J146" i="1"/>
  <c r="H146" i="1"/>
  <c r="G146" i="1"/>
  <c r="F146" i="1"/>
  <c r="E146" i="1"/>
  <c r="D146" i="1"/>
  <c r="D159" i="1" s="1"/>
  <c r="C146" i="1"/>
  <c r="H145" i="1"/>
  <c r="H144" i="1"/>
  <c r="H143" i="1"/>
  <c r="H142" i="1"/>
  <c r="H141" i="1"/>
  <c r="H140" i="1"/>
  <c r="K139" i="1"/>
  <c r="K159" i="1" s="1"/>
  <c r="J139" i="1"/>
  <c r="I139" i="1"/>
  <c r="I159" i="1" s="1"/>
  <c r="H139" i="1"/>
  <c r="G139" i="1"/>
  <c r="F139" i="1"/>
  <c r="E139" i="1"/>
  <c r="D139" i="1"/>
  <c r="C139" i="1"/>
  <c r="H138" i="1"/>
  <c r="H137" i="1"/>
  <c r="I136" i="1"/>
  <c r="H136" i="1"/>
  <c r="K135" i="1"/>
  <c r="J135" i="1"/>
  <c r="J159" i="1" s="1"/>
  <c r="I135" i="1"/>
  <c r="H135" i="1"/>
  <c r="D135" i="1"/>
  <c r="C135" i="1"/>
  <c r="C159" i="1" s="1"/>
  <c r="C160" i="1" s="1"/>
  <c r="H134" i="1"/>
  <c r="I133" i="1"/>
  <c r="H133" i="1"/>
  <c r="H132" i="1"/>
  <c r="H131" i="1"/>
  <c r="H130" i="1"/>
  <c r="H129" i="1"/>
  <c r="H128" i="1"/>
  <c r="H127" i="1"/>
  <c r="H126" i="1"/>
  <c r="J125" i="1"/>
  <c r="I125" i="1"/>
  <c r="H125" i="1"/>
  <c r="D125" i="1"/>
  <c r="C125" i="1"/>
  <c r="I124" i="1"/>
  <c r="H124" i="1"/>
  <c r="I123" i="1"/>
  <c r="H123" i="1"/>
  <c r="I122" i="1"/>
  <c r="H122" i="1"/>
  <c r="K121" i="1"/>
  <c r="J121" i="1"/>
  <c r="I121" i="1"/>
  <c r="H121" i="1"/>
  <c r="K120" i="1"/>
  <c r="J120" i="1"/>
  <c r="I120" i="1"/>
  <c r="H120" i="1"/>
  <c r="D120" i="1"/>
  <c r="D134" i="1" s="1"/>
  <c r="C120" i="1"/>
  <c r="C134" i="1" s="1"/>
  <c r="I119" i="1"/>
  <c r="H119" i="1"/>
  <c r="H118" i="1"/>
  <c r="J117" i="1"/>
  <c r="I117" i="1"/>
  <c r="H117" i="1"/>
  <c r="I116" i="1"/>
  <c r="H116" i="1"/>
  <c r="H115" i="1"/>
  <c r="H114" i="1"/>
  <c r="H113" i="1"/>
  <c r="H112" i="1"/>
  <c r="I111" i="1"/>
  <c r="H111" i="1"/>
  <c r="H110" i="1"/>
  <c r="H109" i="1"/>
  <c r="H108" i="1"/>
  <c r="H107" i="1"/>
  <c r="H106" i="1"/>
  <c r="H105" i="1"/>
  <c r="J104" i="1"/>
  <c r="I104" i="1"/>
  <c r="I99" i="1" s="1"/>
  <c r="I134" i="1" s="1"/>
  <c r="H104" i="1"/>
  <c r="G104" i="1"/>
  <c r="F104" i="1"/>
  <c r="E104" i="1"/>
  <c r="D104" i="1"/>
  <c r="C104" i="1"/>
  <c r="I103" i="1"/>
  <c r="H103" i="1"/>
  <c r="K102" i="1"/>
  <c r="J102" i="1"/>
  <c r="I102" i="1"/>
  <c r="H102" i="1"/>
  <c r="K101" i="1"/>
  <c r="J101" i="1"/>
  <c r="I101" i="1"/>
  <c r="H101" i="1"/>
  <c r="K100" i="1"/>
  <c r="J100" i="1"/>
  <c r="I100" i="1"/>
  <c r="H100" i="1"/>
  <c r="K99" i="1"/>
  <c r="K134" i="1" s="1"/>
  <c r="K160" i="1" s="1"/>
  <c r="J99" i="1"/>
  <c r="J134" i="1" s="1"/>
  <c r="H99" i="1"/>
  <c r="D99" i="1"/>
  <c r="C99" i="1"/>
  <c r="H97" i="1"/>
  <c r="G97" i="1"/>
  <c r="F97" i="1"/>
  <c r="E97" i="1"/>
  <c r="D97" i="1"/>
  <c r="C97" i="1"/>
  <c r="H96" i="1"/>
  <c r="H93" i="1"/>
  <c r="H92" i="1"/>
  <c r="H91" i="1"/>
  <c r="H90" i="1"/>
  <c r="H89" i="1"/>
  <c r="H88" i="1"/>
  <c r="H87" i="1"/>
  <c r="H86" i="1"/>
  <c r="K85" i="1"/>
  <c r="J85" i="1"/>
  <c r="I85" i="1"/>
  <c r="H85" i="1"/>
  <c r="G85" i="1"/>
  <c r="F85" i="1"/>
  <c r="E85" i="1"/>
  <c r="D85" i="1"/>
  <c r="C85" i="1"/>
  <c r="C92" i="1" s="1"/>
  <c r="H84" i="1"/>
  <c r="H83" i="1"/>
  <c r="H82" i="1"/>
  <c r="K81" i="1"/>
  <c r="J81" i="1"/>
  <c r="I81" i="1"/>
  <c r="H81" i="1"/>
  <c r="G81" i="1"/>
  <c r="F81" i="1"/>
  <c r="E81" i="1"/>
  <c r="D81" i="1"/>
  <c r="C81" i="1"/>
  <c r="H80" i="1"/>
  <c r="K79" i="1"/>
  <c r="J79" i="1"/>
  <c r="I79" i="1"/>
  <c r="H79" i="1"/>
  <c r="K78" i="1"/>
  <c r="J78" i="1"/>
  <c r="I78" i="1"/>
  <c r="H78" i="1"/>
  <c r="G78" i="1"/>
  <c r="F78" i="1"/>
  <c r="E78" i="1"/>
  <c r="D78" i="1"/>
  <c r="C78" i="1"/>
  <c r="H77" i="1"/>
  <c r="H76" i="1"/>
  <c r="H75" i="1"/>
  <c r="H74" i="1"/>
  <c r="K73" i="1"/>
  <c r="J73" i="1"/>
  <c r="I73" i="1"/>
  <c r="H73" i="1"/>
  <c r="G73" i="1"/>
  <c r="F73" i="1"/>
  <c r="E73" i="1"/>
  <c r="D73" i="1"/>
  <c r="D92" i="1" s="1"/>
  <c r="C73" i="1"/>
  <c r="H72" i="1"/>
  <c r="H71" i="1"/>
  <c r="I70" i="1"/>
  <c r="H70" i="1"/>
  <c r="K69" i="1"/>
  <c r="K92" i="1" s="1"/>
  <c r="J69" i="1"/>
  <c r="J92" i="1" s="1"/>
  <c r="I69" i="1"/>
  <c r="I92" i="1" s="1"/>
  <c r="H69" i="1"/>
  <c r="G69" i="1"/>
  <c r="G92" i="1" s="1"/>
  <c r="F69" i="1"/>
  <c r="F92" i="1" s="1"/>
  <c r="E69" i="1"/>
  <c r="E92" i="1" s="1"/>
  <c r="D69" i="1"/>
  <c r="C69" i="1"/>
  <c r="H68" i="1"/>
  <c r="H67" i="1"/>
  <c r="H66" i="1"/>
  <c r="H65" i="1"/>
  <c r="H64" i="1"/>
  <c r="K63" i="1"/>
  <c r="J63" i="1"/>
  <c r="I63" i="1"/>
  <c r="H63" i="1"/>
  <c r="G63" i="1"/>
  <c r="F63" i="1"/>
  <c r="E63" i="1"/>
  <c r="D63" i="1"/>
  <c r="C63" i="1"/>
  <c r="H62" i="1"/>
  <c r="I61" i="1"/>
  <c r="I58" i="1" s="1"/>
  <c r="H61" i="1"/>
  <c r="E61" i="1"/>
  <c r="E58" i="1" s="1"/>
  <c r="I60" i="1"/>
  <c r="H60" i="1"/>
  <c r="E60" i="1"/>
  <c r="H59" i="1"/>
  <c r="K58" i="1"/>
  <c r="J58" i="1"/>
  <c r="H58" i="1"/>
  <c r="G58" i="1"/>
  <c r="F58" i="1"/>
  <c r="D58" i="1"/>
  <c r="C58" i="1"/>
  <c r="H57" i="1"/>
  <c r="H56" i="1"/>
  <c r="J55" i="1"/>
  <c r="J52" i="1" s="1"/>
  <c r="H55" i="1"/>
  <c r="I54" i="1"/>
  <c r="H54" i="1"/>
  <c r="E54" i="1"/>
  <c r="H53" i="1"/>
  <c r="K52" i="1"/>
  <c r="I52" i="1"/>
  <c r="H52" i="1"/>
  <c r="G52" i="1"/>
  <c r="F52" i="1"/>
  <c r="E52" i="1"/>
  <c r="D52" i="1"/>
  <c r="C52" i="1"/>
  <c r="J51" i="1"/>
  <c r="I51" i="1"/>
  <c r="H51" i="1"/>
  <c r="E51" i="1"/>
  <c r="I50" i="1"/>
  <c r="H50" i="1"/>
  <c r="E50" i="1"/>
  <c r="H49" i="1"/>
  <c r="H48" i="1"/>
  <c r="K47" i="1"/>
  <c r="H47" i="1"/>
  <c r="K46" i="1"/>
  <c r="J46" i="1"/>
  <c r="I46" i="1"/>
  <c r="H46" i="1"/>
  <c r="E46" i="1"/>
  <c r="K45" i="1"/>
  <c r="H45" i="1"/>
  <c r="G45" i="1"/>
  <c r="I44" i="1"/>
  <c r="H44" i="1"/>
  <c r="E44" i="1"/>
  <c r="K43" i="1"/>
  <c r="J43" i="1"/>
  <c r="J40" i="1" s="1"/>
  <c r="I43" i="1"/>
  <c r="H43" i="1"/>
  <c r="E43" i="1"/>
  <c r="K42" i="1"/>
  <c r="J42" i="1"/>
  <c r="I42" i="1"/>
  <c r="H42" i="1"/>
  <c r="E42" i="1"/>
  <c r="I41" i="1"/>
  <c r="H41" i="1"/>
  <c r="E41" i="1"/>
  <c r="K40" i="1"/>
  <c r="I40" i="1"/>
  <c r="H40" i="1"/>
  <c r="G40" i="1"/>
  <c r="F40" i="1"/>
  <c r="E40" i="1"/>
  <c r="D40" i="1"/>
  <c r="C40" i="1"/>
  <c r="I39" i="1"/>
  <c r="H39" i="1"/>
  <c r="H38" i="1"/>
  <c r="I37" i="1"/>
  <c r="E37" i="1"/>
  <c r="H36" i="1"/>
  <c r="I35" i="1"/>
  <c r="H35" i="1"/>
  <c r="E35" i="1"/>
  <c r="I34" i="1"/>
  <c r="I33" i="1" s="1"/>
  <c r="I32" i="1" s="1"/>
  <c r="H34" i="1"/>
  <c r="E34" i="1"/>
  <c r="E33" i="1" s="1"/>
  <c r="E32" i="1" s="1"/>
  <c r="K33" i="1"/>
  <c r="J33" i="1"/>
  <c r="J32" i="1" s="1"/>
  <c r="H33" i="1"/>
  <c r="D33" i="1"/>
  <c r="D32" i="1" s="1"/>
  <c r="C33" i="1"/>
  <c r="K32" i="1"/>
  <c r="H32" i="1"/>
  <c r="G32" i="1"/>
  <c r="F32" i="1"/>
  <c r="C32" i="1"/>
  <c r="I31" i="1"/>
  <c r="H31" i="1"/>
  <c r="I30" i="1"/>
  <c r="H30" i="1"/>
  <c r="E30" i="1"/>
  <c r="H29" i="1"/>
  <c r="H28" i="1"/>
  <c r="H27" i="1"/>
  <c r="H26" i="1"/>
  <c r="K25" i="1"/>
  <c r="J25" i="1"/>
  <c r="I25" i="1"/>
  <c r="H25" i="1"/>
  <c r="G25" i="1"/>
  <c r="F25" i="1"/>
  <c r="E25" i="1"/>
  <c r="D25" i="1"/>
  <c r="C25" i="1"/>
  <c r="I24" i="1"/>
  <c r="H24" i="1"/>
  <c r="C24" i="1"/>
  <c r="I23" i="1"/>
  <c r="I18" i="1" s="1"/>
  <c r="H23" i="1"/>
  <c r="E23" i="1"/>
  <c r="E18" i="1" s="1"/>
  <c r="H22" i="1"/>
  <c r="H21" i="1"/>
  <c r="H20" i="1"/>
  <c r="H19" i="1"/>
  <c r="K18" i="1"/>
  <c r="J18" i="1"/>
  <c r="H18" i="1"/>
  <c r="G18" i="1"/>
  <c r="F18" i="1"/>
  <c r="D18" i="1"/>
  <c r="C18" i="1"/>
  <c r="H17" i="1"/>
  <c r="I16" i="1"/>
  <c r="H16" i="1"/>
  <c r="E16" i="1"/>
  <c r="I15" i="1"/>
  <c r="I9" i="1" s="1"/>
  <c r="I68" i="1" s="1"/>
  <c r="I93" i="1" s="1"/>
  <c r="H15" i="1"/>
  <c r="E15" i="1"/>
  <c r="E9" i="1" s="1"/>
  <c r="E68" i="1" s="1"/>
  <c r="E93" i="1" s="1"/>
  <c r="H14" i="1"/>
  <c r="H13" i="1"/>
  <c r="I12" i="1"/>
  <c r="H12" i="1"/>
  <c r="E12" i="1"/>
  <c r="D12" i="1"/>
  <c r="H11" i="1"/>
  <c r="H10" i="1"/>
  <c r="K9" i="1"/>
  <c r="K68" i="1" s="1"/>
  <c r="K93" i="1" s="1"/>
  <c r="J9" i="1"/>
  <c r="J68" i="1" s="1"/>
  <c r="J93" i="1" s="1"/>
  <c r="H9" i="1"/>
  <c r="G9" i="1"/>
  <c r="G68" i="1" s="1"/>
  <c r="G93" i="1" s="1"/>
  <c r="F9" i="1"/>
  <c r="F68" i="1" s="1"/>
  <c r="F93" i="1" s="1"/>
  <c r="D9" i="1"/>
  <c r="D68" i="1" s="1"/>
  <c r="C9" i="1"/>
  <c r="C68" i="1" s="1"/>
  <c r="A1" i="1"/>
  <c r="D93" i="1" l="1"/>
  <c r="C93" i="1"/>
  <c r="D160" i="1"/>
  <c r="J160" i="1"/>
  <c r="I160" i="1"/>
</calcChain>
</file>

<file path=xl/sharedStrings.xml><?xml version="1.0" encoding="utf-8"?>
<sst xmlns="http://schemas.openxmlformats.org/spreadsheetml/2006/main" count="318" uniqueCount="278">
  <si>
    <t>tájékoztató tábla</t>
  </si>
  <si>
    <t xml:space="preserve">"
Tiszavasvári Város Önkormányzata
2021. ÉVI KÖLTSÉGVETÉSÉNEK ÖSSZEVONT MÉRLEGE     
</t>
  </si>
  <si>
    <t>B E V É T E L E K</t>
  </si>
  <si>
    <t>1. sz. táblázat</t>
  </si>
  <si>
    <t>Forintban!</t>
  </si>
  <si>
    <t>Sor-
szám</t>
  </si>
  <si>
    <t>Bevételi jogcím</t>
  </si>
  <si>
    <t>2019. évi tény</t>
  </si>
  <si>
    <t>2020. évi várható adat</t>
  </si>
  <si>
    <t>2021.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</si>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</sst>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7">
    <xf numFmtId="0" fontId="0" fillId="0" borderId="0"/>
    <xf numFmtId="165" fontId="3" fillId="0" borderId="0" applyFont="0" applyFill="0" applyBorder="0" applyAlignment="0" applyProtection="0"/>
    <xf numFmtId="0" fontId="2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2" fillId="0" borderId="0"/>
    <xf numFmtId="0" fontId="1" fillId="0" borderId="0"/>
    <xf numFmtId="0" fontId="19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12">
    <xf numFmtId="0" fontId="0" fillId="0" borderId="0" xfId="0"/>
    <xf numFmtId="0" fontId="3" fillId="0" borderId="0" xfId="2" applyFont="1" applyFill="1" applyAlignment="1">
      <alignment horizontal="right"/>
    </xf>
    <xf numFmtId="0" fontId="2" fillId="0" borderId="0" xfId="2" applyFill="1"/>
    <xf numFmtId="0" fontId="2" fillId="0" borderId="0" xfId="2" applyFont="1" applyFill="1"/>
    <xf numFmtId="3" fontId="2" fillId="0" borderId="0" xfId="2" applyNumberFormat="1" applyFont="1" applyFill="1" applyAlignment="1">
      <alignment horizontal="right" indent="1"/>
    </xf>
    <xf numFmtId="3" fontId="3" fillId="0" borderId="0" xfId="2" applyNumberFormat="1" applyFont="1" applyFill="1" applyAlignment="1">
      <alignment horizontal="right" indent="1"/>
    </xf>
    <xf numFmtId="0" fontId="4" fillId="0" borderId="0" xfId="2" applyFont="1" applyFill="1" applyAlignment="1">
      <alignment horizontal="center" wrapText="1"/>
    </xf>
    <xf numFmtId="0" fontId="4" fillId="0" borderId="0" xfId="2" applyFont="1" applyFill="1" applyAlignment="1">
      <alignment horizontal="center"/>
    </xf>
    <xf numFmtId="164" fontId="5" fillId="0" borderId="0" xfId="2" applyNumberFormat="1" applyFont="1" applyFill="1" applyBorder="1" applyAlignment="1" applyProtection="1">
      <alignment horizontal="center" vertical="center"/>
    </xf>
    <xf numFmtId="164" fontId="6" fillId="0" borderId="1" xfId="2" applyNumberFormat="1" applyFont="1" applyFill="1" applyBorder="1" applyAlignment="1" applyProtection="1">
      <alignment horizontal="left" vertical="center"/>
    </xf>
    <xf numFmtId="3" fontId="6" fillId="0" borderId="1" xfId="2" applyNumberFormat="1" applyFont="1" applyFill="1" applyBorder="1" applyAlignment="1" applyProtection="1">
      <alignment horizontal="right" vertical="center" indent="1"/>
    </xf>
    <xf numFmtId="3" fontId="6" fillId="0" borderId="0" xfId="2" applyNumberFormat="1" applyFont="1" applyFill="1" applyBorder="1" applyAlignment="1" applyProtection="1">
      <alignment horizontal="right" vertical="center" indent="1"/>
    </xf>
    <xf numFmtId="3" fontId="7" fillId="0" borderId="0" xfId="0" applyNumberFormat="1" applyFont="1" applyFill="1" applyBorder="1" applyAlignment="1" applyProtection="1">
      <alignment horizontal="right" vertical="center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3" fontId="8" fillId="0" borderId="3" xfId="2" applyNumberFormat="1" applyFont="1" applyFill="1" applyBorder="1" applyAlignment="1" applyProtection="1">
      <alignment horizontal="center" vertical="center" wrapText="1"/>
    </xf>
    <xf numFmtId="3" fontId="8" fillId="0" borderId="4" xfId="2" applyNumberFormat="1" applyFont="1" applyFill="1" applyBorder="1" applyAlignment="1" applyProtection="1">
      <alignment horizontal="center" vertical="center" wrapText="1"/>
    </xf>
    <xf numFmtId="3" fontId="8" fillId="0" borderId="5" xfId="2" applyNumberFormat="1" applyFont="1" applyFill="1" applyBorder="1" applyAlignment="1" applyProtection="1">
      <alignment horizontal="center" vertical="center" wrapText="1"/>
    </xf>
    <xf numFmtId="0" fontId="9" fillId="0" borderId="2" xfId="2" applyFont="1" applyFill="1" applyBorder="1" applyAlignment="1" applyProtection="1">
      <alignment horizontal="center" vertical="center" wrapText="1"/>
    </xf>
    <xf numFmtId="0" fontId="9" fillId="0" borderId="4" xfId="2" applyFont="1" applyFill="1" applyBorder="1" applyAlignment="1" applyProtection="1">
      <alignment horizontal="center" vertical="center" wrapText="1"/>
    </xf>
    <xf numFmtId="3" fontId="9" fillId="0" borderId="6" xfId="2" applyNumberFormat="1" applyFont="1" applyFill="1" applyBorder="1" applyAlignment="1" applyProtection="1">
      <alignment horizontal="right" vertical="center" wrapText="1" indent="1"/>
    </xf>
    <xf numFmtId="3" fontId="9" fillId="0" borderId="7" xfId="2" applyNumberFormat="1" applyFont="1" applyFill="1" applyBorder="1" applyAlignment="1" applyProtection="1">
      <alignment horizontal="right" vertical="center" wrapText="1" indent="1"/>
    </xf>
    <xf numFmtId="3" fontId="9" fillId="0" borderId="8" xfId="2" applyNumberFormat="1" applyFont="1" applyFill="1" applyBorder="1" applyAlignment="1" applyProtection="1">
      <alignment horizontal="right" vertical="center" wrapText="1" indent="1"/>
    </xf>
    <xf numFmtId="3" fontId="9" fillId="0" borderId="9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0" fontId="9" fillId="0" borderId="2" xfId="2" applyFont="1" applyFill="1" applyBorder="1" applyAlignment="1" applyProtection="1">
      <alignment horizontal="left" vertical="center" wrapText="1" indent="1"/>
    </xf>
    <xf numFmtId="0" fontId="9" fillId="0" borderId="4" xfId="2" applyFont="1" applyFill="1" applyBorder="1" applyAlignment="1" applyProtection="1">
      <alignment horizontal="left" vertical="center" wrapText="1" indent="1"/>
    </xf>
    <xf numFmtId="3" fontId="9" fillId="0" borderId="10" xfId="2" applyNumberFormat="1" applyFont="1" applyFill="1" applyBorder="1" applyAlignment="1" applyProtection="1">
      <alignment horizontal="right" vertical="center" wrapText="1" indent="1"/>
    </xf>
    <xf numFmtId="3" fontId="9" fillId="0" borderId="5" xfId="2" applyNumberFormat="1" applyFont="1" applyFill="1" applyBorder="1" applyAlignment="1" applyProtection="1">
      <alignment horizontal="right" vertical="center" wrapText="1" indent="1"/>
    </xf>
    <xf numFmtId="164" fontId="9" fillId="0" borderId="5" xfId="2" applyNumberFormat="1" applyFont="1" applyFill="1" applyBorder="1" applyAlignment="1" applyProtection="1">
      <alignment horizontal="right" vertical="center" wrapText="1" indent="1"/>
    </xf>
    <xf numFmtId="164" fontId="9" fillId="0" borderId="10" xfId="2" applyNumberFormat="1" applyFont="1" applyFill="1" applyBorder="1" applyAlignment="1" applyProtection="1">
      <alignment horizontal="right" vertical="center" wrapText="1" indent="1"/>
    </xf>
    <xf numFmtId="0" fontId="11" fillId="0" borderId="0" xfId="2" applyFont="1" applyFill="1"/>
    <xf numFmtId="49" fontId="10" fillId="0" borderId="11" xfId="2" applyNumberFormat="1" applyFont="1" applyFill="1" applyBorder="1" applyAlignment="1" applyProtection="1">
      <alignment horizontal="left" vertical="center" wrapText="1" indent="1"/>
    </xf>
    <xf numFmtId="0" fontId="12" fillId="0" borderId="12" xfId="0" applyFont="1" applyBorder="1" applyAlignment="1" applyProtection="1">
      <alignment horizontal="left" wrapText="1" indent="1"/>
    </xf>
    <xf numFmtId="3" fontId="13" fillId="0" borderId="13" xfId="2" applyNumberFormat="1" applyFont="1" applyFill="1" applyBorder="1" applyAlignment="1" applyProtection="1">
      <alignment horizontal="right" vertical="center" wrapText="1" indent="1"/>
    </xf>
    <xf numFmtId="3" fontId="13" fillId="0" borderId="14" xfId="2" applyNumberFormat="1" applyFont="1" applyFill="1" applyBorder="1" applyAlignment="1" applyProtection="1">
      <alignment horizontal="right" vertical="center" wrapText="1" indent="1"/>
    </xf>
    <xf numFmtId="3" fontId="13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7" xfId="2" applyNumberFormat="1" applyFont="1" applyFill="1" applyBorder="1" applyAlignment="1" applyProtection="1">
      <alignment horizontal="right" vertical="center" wrapText="1" indent="1"/>
    </xf>
    <xf numFmtId="164" fontId="13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8" xfId="2" applyNumberFormat="1" applyFont="1" applyFill="1" applyBorder="1" applyAlignment="1" applyProtection="1">
      <alignment horizontal="left" vertical="center" wrapText="1" indent="1"/>
    </xf>
    <xf numFmtId="0" fontId="12" fillId="0" borderId="19" xfId="0" applyFont="1" applyBorder="1" applyAlignment="1" applyProtection="1">
      <alignment horizontal="left" wrapText="1" indent="1"/>
    </xf>
    <xf numFmtId="3" fontId="13" fillId="0" borderId="20" xfId="2" applyNumberFormat="1" applyFont="1" applyFill="1" applyBorder="1" applyAlignment="1" applyProtection="1">
      <alignment horizontal="right" vertical="center" wrapText="1" indent="1"/>
    </xf>
    <xf numFmtId="3" fontId="13" fillId="0" borderId="21" xfId="2" applyNumberFormat="1" applyFont="1" applyFill="1" applyBorder="1" applyAlignment="1" applyProtection="1">
      <alignment horizontal="right" vertical="center" wrapText="1" indent="1"/>
    </xf>
    <xf numFmtId="3" fontId="13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2" applyNumberFormat="1" applyFont="1" applyFill="1" applyBorder="1" applyAlignment="1" applyProtection="1">
      <alignment horizontal="right" vertical="center" wrapText="1" indent="1"/>
    </xf>
    <xf numFmtId="164" fontId="13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9" xfId="0" applyFont="1" applyBorder="1" applyAlignment="1" applyProtection="1">
      <alignment horizontal="left" vertical="center" wrapText="1" indent="1"/>
    </xf>
    <xf numFmtId="49" fontId="10" fillId="0" borderId="23" xfId="2" applyNumberFormat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vertical="center" wrapText="1" indent="1"/>
    </xf>
    <xf numFmtId="3" fontId="13" fillId="0" borderId="25" xfId="2" applyNumberFormat="1" applyFont="1" applyFill="1" applyBorder="1" applyAlignment="1" applyProtection="1">
      <alignment horizontal="right" vertical="center" wrapText="1" indent="1"/>
    </xf>
    <xf numFmtId="3" fontId="13" fillId="0" borderId="26" xfId="2" applyNumberFormat="1" applyFont="1" applyFill="1" applyBorder="1" applyAlignment="1" applyProtection="1">
      <alignment horizontal="right" vertical="center" wrapText="1" indent="1"/>
    </xf>
    <xf numFmtId="3" fontId="10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7" xfId="2" applyNumberFormat="1" applyFont="1" applyFill="1" applyBorder="1" applyAlignment="1" applyProtection="1">
      <alignment horizontal="right" vertical="center" wrapText="1" indent="1"/>
    </xf>
    <xf numFmtId="164" fontId="10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horizontal="left" vertical="center" wrapText="1" indent="1"/>
    </xf>
    <xf numFmtId="3" fontId="14" fillId="0" borderId="6" xfId="1" applyNumberFormat="1" applyFont="1" applyBorder="1" applyAlignment="1" applyProtection="1">
      <alignment horizontal="right" vertical="center" wrapText="1" indent="1"/>
    </xf>
    <xf numFmtId="3" fontId="14" fillId="0" borderId="10" xfId="1" applyNumberFormat="1" applyFont="1" applyBorder="1" applyAlignment="1" applyProtection="1">
      <alignment horizontal="right" vertical="center" wrapText="1" indent="1"/>
    </xf>
    <xf numFmtId="3" fontId="10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0" xfId="2" applyNumberFormat="1" applyFont="1" applyFill="1" applyBorder="1" applyAlignment="1" applyProtection="1">
      <alignment horizontal="right" vertical="center" wrapText="1" indent="1"/>
    </xf>
    <xf numFmtId="3" fontId="9" fillId="0" borderId="21" xfId="2" applyNumberFormat="1" applyFont="1" applyFill="1" applyBorder="1" applyAlignment="1" applyProtection="1">
      <alignment horizontal="right" vertical="center" wrapText="1" indent="1"/>
    </xf>
    <xf numFmtId="164" fontId="9" fillId="0" borderId="22" xfId="2" applyNumberFormat="1" applyFont="1" applyFill="1" applyBorder="1" applyAlignment="1" applyProtection="1">
      <alignment horizontal="right" vertical="center" wrapText="1" indent="1"/>
    </xf>
    <xf numFmtId="0" fontId="12" fillId="0" borderId="24" xfId="0" applyFont="1" applyBorder="1" applyAlignment="1" applyProtection="1">
      <alignment horizontal="left" wrapText="1" indent="1"/>
    </xf>
    <xf numFmtId="3" fontId="15" fillId="0" borderId="10" xfId="2" applyNumberFormat="1" applyFont="1" applyFill="1" applyBorder="1" applyAlignment="1" applyProtection="1">
      <alignment horizontal="right" vertical="center" wrapText="1" indent="1"/>
    </xf>
    <xf numFmtId="3" fontId="15" fillId="0" borderId="5" xfId="2" applyNumberFormat="1" applyFont="1" applyFill="1" applyBorder="1" applyAlignment="1" applyProtection="1">
      <alignment horizontal="right" vertical="center" wrapText="1" indent="1"/>
    </xf>
    <xf numFmtId="164" fontId="15" fillId="0" borderId="10" xfId="2" applyNumberFormat="1" applyFont="1" applyFill="1" applyBorder="1" applyAlignment="1" applyProtection="1">
      <alignment horizontal="right" vertical="center" wrapText="1" indent="1"/>
    </xf>
    <xf numFmtId="164" fontId="15" fillId="0" borderId="5" xfId="2" applyNumberFormat="1" applyFont="1" applyFill="1" applyBorder="1" applyAlignment="1" applyProtection="1">
      <alignment horizontal="right" vertical="center" wrapText="1" indent="1"/>
    </xf>
    <xf numFmtId="3" fontId="12" fillId="0" borderId="30" xfId="1" applyNumberFormat="1" applyFont="1" applyBorder="1" applyAlignment="1" applyProtection="1">
      <alignment horizontal="right" vertical="center" wrapText="1" indent="1"/>
    </xf>
    <xf numFmtId="3" fontId="12" fillId="0" borderId="15" xfId="1" applyNumberFormat="1" applyFont="1" applyBorder="1" applyAlignment="1" applyProtection="1">
      <alignment horizontal="right" vertical="center" wrapText="1" indent="1"/>
    </xf>
    <xf numFmtId="3" fontId="10" fillId="0" borderId="15" xfId="2" applyNumberFormat="1" applyFont="1" applyFill="1" applyBorder="1" applyAlignment="1" applyProtection="1">
      <alignment horizontal="right" vertical="center" wrapText="1" indent="1"/>
    </xf>
    <xf numFmtId="3" fontId="10" fillId="0" borderId="16" xfId="2" applyNumberFormat="1" applyFont="1" applyFill="1" applyBorder="1" applyAlignment="1" applyProtection="1">
      <alignment horizontal="right" vertical="center" wrapText="1" indent="1"/>
    </xf>
    <xf numFmtId="164" fontId="10" fillId="0" borderId="15" xfId="2" applyNumberFormat="1" applyFont="1" applyFill="1" applyBorder="1" applyAlignment="1" applyProtection="1">
      <alignment horizontal="right" vertical="center" wrapText="1" indent="1"/>
    </xf>
    <xf numFmtId="0" fontId="12" fillId="0" borderId="19" xfId="0" quotePrefix="1" applyFont="1" applyBorder="1" applyAlignment="1" applyProtection="1">
      <alignment horizontal="left" wrapText="1" indent="1"/>
    </xf>
    <xf numFmtId="164" fontId="13" fillId="0" borderId="16" xfId="2" applyNumberFormat="1" applyFont="1" applyFill="1" applyBorder="1" applyAlignment="1" applyProtection="1">
      <alignment horizontal="right" vertical="center" wrapText="1" indent="1"/>
    </xf>
    <xf numFmtId="3" fontId="9" fillId="0" borderId="13" xfId="2" applyNumberFormat="1" applyFont="1" applyFill="1" applyBorder="1" applyAlignment="1" applyProtection="1">
      <alignment horizontal="right" vertical="center" wrapText="1" indent="1"/>
    </xf>
    <xf numFmtId="3" fontId="9" fillId="0" borderId="14" xfId="2" applyNumberFormat="1" applyFont="1" applyFill="1" applyBorder="1" applyAlignment="1" applyProtection="1">
      <alignment horizontal="right" vertical="center" wrapText="1" indent="1"/>
    </xf>
    <xf numFmtId="164" fontId="9" fillId="0" borderId="17" xfId="2" applyNumberFormat="1" applyFont="1" applyFill="1" applyBorder="1" applyAlignment="1" applyProtection="1">
      <alignment horizontal="right" vertical="center" wrapText="1" indent="1"/>
    </xf>
    <xf numFmtId="164" fontId="9" fillId="0" borderId="27" xfId="2" applyNumberFormat="1" applyFont="1" applyFill="1" applyBorder="1" applyAlignment="1" applyProtection="1">
      <alignment horizontal="right" vertical="center" wrapText="1" indent="1"/>
    </xf>
    <xf numFmtId="164" fontId="9" fillId="0" borderId="6" xfId="2" applyNumberFormat="1" applyFont="1" applyFill="1" applyBorder="1" applyAlignment="1" applyProtection="1">
      <alignment horizontal="right" vertical="center" wrapText="1" indent="1"/>
    </xf>
    <xf numFmtId="3" fontId="9" fillId="0" borderId="30" xfId="2" applyNumberFormat="1" applyFont="1" applyFill="1" applyBorder="1" applyAlignment="1" applyProtection="1">
      <alignment horizontal="right" vertical="center" wrapText="1" indent="1"/>
    </xf>
    <xf numFmtId="3" fontId="9" fillId="0" borderId="15" xfId="2" applyNumberFormat="1" applyFont="1" applyFill="1" applyBorder="1" applyAlignment="1" applyProtection="1">
      <alignment horizontal="right" vertical="center" wrapText="1" indent="1"/>
    </xf>
    <xf numFmtId="164" fontId="9" fillId="0" borderId="16" xfId="2" applyNumberFormat="1" applyFont="1" applyFill="1" applyBorder="1" applyAlignment="1" applyProtection="1">
      <alignment horizontal="right" vertical="center" wrapText="1" indent="1"/>
    </xf>
    <xf numFmtId="3" fontId="10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5" xfId="2" applyNumberFormat="1" applyFont="1" applyFill="1" applyBorder="1" applyAlignment="1" applyProtection="1">
      <alignment horizontal="right" vertical="center" wrapText="1" indent="1"/>
    </xf>
    <xf numFmtId="3" fontId="9" fillId="0" borderId="26" xfId="2" applyNumberFormat="1" applyFont="1" applyFill="1" applyBorder="1" applyAlignment="1" applyProtection="1">
      <alignment horizontal="right" vertical="center" wrapText="1" indent="1"/>
    </xf>
    <xf numFmtId="0" fontId="9" fillId="0" borderId="2" xfId="2" applyFont="1" applyFill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 wrapText="1"/>
    </xf>
    <xf numFmtId="0" fontId="12" fillId="0" borderId="24" xfId="0" applyFont="1" applyBorder="1" applyAlignment="1" applyProtection="1">
      <alignment vertical="center" wrapText="1"/>
    </xf>
    <xf numFmtId="3" fontId="10" fillId="0" borderId="6" xfId="2" applyNumberFormat="1" applyFont="1" applyFill="1" applyBorder="1" applyAlignment="1" applyProtection="1">
      <alignment horizontal="right" vertical="center" wrapText="1" indent="1"/>
    </xf>
    <xf numFmtId="3" fontId="10" fillId="0" borderId="10" xfId="2" applyNumberFormat="1" applyFont="1" applyFill="1" applyBorder="1" applyAlignment="1" applyProtection="1">
      <alignment horizontal="right" vertical="center" wrapText="1" indent="1"/>
    </xf>
    <xf numFmtId="3" fontId="15" fillId="0" borderId="6" xfId="2" applyNumberFormat="1" applyFont="1" applyFill="1" applyBorder="1" applyAlignment="1" applyProtection="1">
      <alignment horizontal="right" vertical="center" wrapText="1" indent="1"/>
    </xf>
    <xf numFmtId="0" fontId="12" fillId="0" borderId="11" xfId="0" applyFont="1" applyBorder="1" applyAlignment="1" applyProtection="1">
      <alignment wrapText="1"/>
    </xf>
    <xf numFmtId="0" fontId="12" fillId="0" borderId="18" xfId="0" applyFont="1" applyBorder="1" applyAlignment="1" applyProtection="1">
      <alignment wrapText="1"/>
    </xf>
    <xf numFmtId="0" fontId="12" fillId="0" borderId="23" xfId="0" applyFont="1" applyBorder="1" applyAlignment="1" applyProtection="1">
      <alignment wrapText="1"/>
    </xf>
    <xf numFmtId="3" fontId="9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wrapText="1"/>
    </xf>
    <xf numFmtId="0" fontId="14" fillId="0" borderId="31" xfId="0" applyFont="1" applyBorder="1" applyAlignment="1" applyProtection="1">
      <alignment vertical="center" wrapText="1"/>
    </xf>
    <xf numFmtId="0" fontId="14" fillId="0" borderId="32" xfId="0" applyFont="1" applyBorder="1" applyAlignment="1" applyProtection="1">
      <alignment wrapText="1"/>
    </xf>
    <xf numFmtId="0" fontId="5" fillId="0" borderId="33" xfId="2" applyFont="1" applyFill="1" applyBorder="1" applyAlignment="1" applyProtection="1">
      <alignment horizontal="center" vertical="center" wrapText="1"/>
    </xf>
    <xf numFmtId="0" fontId="5" fillId="0" borderId="33" xfId="2" applyFont="1" applyFill="1" applyBorder="1" applyAlignment="1" applyProtection="1">
      <alignment vertical="center" wrapText="1"/>
    </xf>
    <xf numFmtId="3" fontId="5" fillId="0" borderId="33" xfId="2" applyNumberFormat="1" applyFont="1" applyFill="1" applyBorder="1" applyAlignment="1" applyProtection="1">
      <alignment horizontal="right" vertical="center" wrapText="1" indent="1"/>
    </xf>
    <xf numFmtId="3" fontId="10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" xfId="2" applyNumberFormat="1" applyFont="1" applyFill="1" applyBorder="1" applyAlignment="1" applyProtection="1">
      <alignment horizontal="left"/>
    </xf>
    <xf numFmtId="3" fontId="6" fillId="0" borderId="1" xfId="2" applyNumberFormat="1" applyFont="1" applyFill="1" applyBorder="1" applyAlignment="1" applyProtection="1">
      <alignment horizontal="right" indent="1"/>
    </xf>
    <xf numFmtId="3" fontId="7" fillId="0" borderId="1" xfId="0" applyNumberFormat="1" applyFont="1" applyFill="1" applyBorder="1" applyAlignment="1" applyProtection="1">
      <alignment horizontal="right" vertical="center" indent="1"/>
    </xf>
    <xf numFmtId="0" fontId="8" fillId="0" borderId="4" xfId="2" applyFont="1" applyFill="1" applyBorder="1" applyAlignment="1" applyProtection="1">
      <alignment horizontal="center" vertical="center" wrapText="1"/>
    </xf>
    <xf numFmtId="3" fontId="9" fillId="0" borderId="34" xfId="2" applyNumberFormat="1" applyFont="1" applyFill="1" applyBorder="1" applyAlignment="1" applyProtection="1">
      <alignment horizontal="right" vertical="center" wrapText="1" indent="1"/>
    </xf>
    <xf numFmtId="0" fontId="9" fillId="0" borderId="35" xfId="2" applyFont="1" applyFill="1" applyBorder="1" applyAlignment="1" applyProtection="1">
      <alignment horizontal="left" vertical="center" wrapText="1" indent="1"/>
    </xf>
    <xf numFmtId="0" fontId="9" fillId="0" borderId="8" xfId="2" applyFont="1" applyFill="1" applyBorder="1" applyAlignment="1" applyProtection="1">
      <alignment vertical="center" wrapText="1"/>
    </xf>
    <xf numFmtId="3" fontId="9" fillId="0" borderId="6" xfId="2" applyNumberFormat="1" applyFont="1" applyFill="1" applyBorder="1" applyAlignment="1" applyProtection="1">
      <alignment horizontal="right" vertical="center" wrapText="1"/>
    </xf>
    <xf numFmtId="3" fontId="9" fillId="0" borderId="36" xfId="2" applyNumberFormat="1" applyFont="1" applyFill="1" applyBorder="1" applyAlignment="1" applyProtection="1">
      <alignment horizontal="right" vertical="center" wrapText="1"/>
    </xf>
    <xf numFmtId="3" fontId="9" fillId="0" borderId="9" xfId="2" applyNumberFormat="1" applyFont="1" applyFill="1" applyBorder="1" applyAlignment="1" applyProtection="1">
      <alignment horizontal="right" vertical="center" wrapText="1"/>
    </xf>
    <xf numFmtId="164" fontId="9" fillId="0" borderId="5" xfId="2" applyNumberFormat="1" applyFont="1" applyFill="1" applyBorder="1" applyAlignment="1" applyProtection="1">
      <alignment horizontal="right" vertical="center" wrapText="1"/>
    </xf>
    <xf numFmtId="164" fontId="9" fillId="0" borderId="36" xfId="2" applyNumberFormat="1" applyFont="1" applyFill="1" applyBorder="1" applyAlignment="1" applyProtection="1">
      <alignment horizontal="right" vertical="center" wrapText="1" indent="1"/>
    </xf>
    <xf numFmtId="164" fontId="9" fillId="0" borderId="9" xfId="2" applyNumberFormat="1" applyFont="1" applyFill="1" applyBorder="1" applyAlignment="1" applyProtection="1">
      <alignment horizontal="right" vertical="center" wrapText="1" indent="1"/>
    </xf>
    <xf numFmtId="49" fontId="10" fillId="0" borderId="37" xfId="2" applyNumberFormat="1" applyFont="1" applyFill="1" applyBorder="1" applyAlignment="1" applyProtection="1">
      <alignment horizontal="left" vertical="center" wrapText="1" indent="1"/>
    </xf>
    <xf numFmtId="0" fontId="10" fillId="0" borderId="38" xfId="2" applyFont="1" applyFill="1" applyBorder="1" applyAlignment="1" applyProtection="1">
      <alignment horizontal="left" vertical="center" wrapText="1" indent="1"/>
    </xf>
    <xf numFmtId="3" fontId="13" fillId="0" borderId="13" xfId="2" applyNumberFormat="1" applyFont="1" applyFill="1" applyBorder="1" applyAlignment="1" applyProtection="1">
      <alignment horizontal="right" vertical="center" wrapText="1"/>
    </xf>
    <xf numFmtId="3" fontId="13" fillId="0" borderId="15" xfId="2" applyNumberFormat="1" applyFont="1" applyFill="1" applyBorder="1" applyAlignment="1" applyProtection="1">
      <alignment horizontal="right" vertical="center" wrapText="1"/>
    </xf>
    <xf numFmtId="3" fontId="13" fillId="0" borderId="14" xfId="2" applyNumberFormat="1" applyFont="1" applyFill="1" applyBorder="1" applyAlignment="1" applyProtection="1">
      <alignment horizontal="right" vertical="center" wrapText="1"/>
      <protection locked="0"/>
    </xf>
    <xf numFmtId="3" fontId="13" fillId="0" borderId="17" xfId="2" applyNumberFormat="1" applyFont="1" applyFill="1" applyBorder="1" applyAlignment="1" applyProtection="1">
      <alignment horizontal="right" vertical="center" wrapText="1"/>
      <protection locked="0"/>
    </xf>
    <xf numFmtId="164" fontId="13" fillId="0" borderId="16" xfId="2" applyNumberFormat="1" applyFont="1" applyFill="1" applyBorder="1" applyAlignment="1" applyProtection="1">
      <alignment horizontal="right" vertical="center" wrapText="1"/>
    </xf>
    <xf numFmtId="164" fontId="13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9" xfId="2" applyFont="1" applyFill="1" applyBorder="1" applyAlignment="1" applyProtection="1">
      <alignment horizontal="left" vertical="center" wrapText="1" indent="1"/>
    </xf>
    <xf numFmtId="3" fontId="13" fillId="0" borderId="20" xfId="2" applyNumberFormat="1" applyFont="1" applyFill="1" applyBorder="1" applyAlignment="1" applyProtection="1">
      <alignment horizontal="right" vertical="center" wrapText="1"/>
    </xf>
    <xf numFmtId="3" fontId="13" fillId="0" borderId="21" xfId="2" applyNumberFormat="1" applyFont="1" applyFill="1" applyBorder="1" applyAlignment="1" applyProtection="1">
      <alignment horizontal="right" vertical="center" wrapText="1"/>
    </xf>
    <xf numFmtId="3" fontId="13" fillId="0" borderId="21" xfId="2" applyNumberFormat="1" applyFont="1" applyFill="1" applyBorder="1" applyAlignment="1" applyProtection="1">
      <alignment horizontal="right" vertical="center" wrapText="1"/>
      <protection locked="0"/>
    </xf>
    <xf numFmtId="3" fontId="13" fillId="0" borderId="22" xfId="2" applyNumberFormat="1" applyFont="1" applyFill="1" applyBorder="1" applyAlignment="1" applyProtection="1">
      <alignment horizontal="right" vertical="center" wrapText="1"/>
      <protection locked="0"/>
    </xf>
    <xf numFmtId="3" fontId="13" fillId="0" borderId="28" xfId="2" applyNumberFormat="1" applyFont="1" applyFill="1" applyBorder="1" applyAlignment="1" applyProtection="1">
      <alignment horizontal="right" vertical="center" wrapText="1"/>
      <protection locked="0"/>
    </xf>
    <xf numFmtId="3" fontId="13" fillId="0" borderId="29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39" xfId="2" applyFont="1" applyFill="1" applyBorder="1" applyAlignment="1" applyProtection="1">
      <alignment horizontal="left" vertical="center" wrapText="1" indent="1"/>
    </xf>
    <xf numFmtId="0" fontId="10" fillId="0" borderId="0" xfId="2" applyFont="1" applyFill="1" applyBorder="1" applyAlignment="1" applyProtection="1">
      <alignment horizontal="left" vertical="center" wrapText="1" indent="1"/>
    </xf>
    <xf numFmtId="3" fontId="10" fillId="0" borderId="20" xfId="1" applyNumberFormat="1" applyFont="1" applyFill="1" applyBorder="1" applyAlignment="1" applyProtection="1">
      <alignment horizontal="right" wrapText="1"/>
    </xf>
    <xf numFmtId="0" fontId="10" fillId="0" borderId="24" xfId="2" applyFont="1" applyFill="1" applyBorder="1" applyAlignment="1" applyProtection="1">
      <alignment horizontal="left" vertical="center" wrapText="1" indent="6"/>
    </xf>
    <xf numFmtId="0" fontId="10" fillId="0" borderId="19" xfId="2" applyFont="1" applyFill="1" applyBorder="1" applyAlignment="1" applyProtection="1">
      <alignment horizontal="left" indent="6"/>
    </xf>
    <xf numFmtId="0" fontId="10" fillId="0" borderId="19" xfId="2" applyFont="1" applyFill="1" applyBorder="1" applyAlignment="1" applyProtection="1">
      <alignment horizontal="left" vertical="center" wrapText="1" indent="6"/>
    </xf>
    <xf numFmtId="49" fontId="10" fillId="0" borderId="40" xfId="2" applyNumberFormat="1" applyFont="1" applyFill="1" applyBorder="1" applyAlignment="1" applyProtection="1">
      <alignment horizontal="left" vertical="center" wrapText="1" indent="1"/>
    </xf>
    <xf numFmtId="49" fontId="10" fillId="0" borderId="41" xfId="2" applyNumberFormat="1" applyFont="1" applyFill="1" applyBorder="1" applyAlignment="1" applyProtection="1">
      <alignment horizontal="left" vertical="center" wrapText="1" indent="1"/>
    </xf>
    <xf numFmtId="0" fontId="10" fillId="0" borderId="42" xfId="2" applyFont="1" applyFill="1" applyBorder="1" applyAlignment="1" applyProtection="1">
      <alignment horizontal="left" vertical="center" wrapText="1" indent="7"/>
    </xf>
    <xf numFmtId="3" fontId="13" fillId="0" borderId="43" xfId="2" applyNumberFormat="1" applyFont="1" applyFill="1" applyBorder="1" applyAlignment="1" applyProtection="1">
      <alignment horizontal="right" vertical="center" wrapText="1"/>
    </xf>
    <xf numFmtId="3" fontId="13" fillId="0" borderId="28" xfId="2" applyNumberFormat="1" applyFont="1" applyFill="1" applyBorder="1" applyAlignment="1" applyProtection="1">
      <alignment horizontal="right" vertical="center" wrapText="1"/>
    </xf>
    <xf numFmtId="3" fontId="13" fillId="0" borderId="26" xfId="2" applyNumberFormat="1" applyFont="1" applyFill="1" applyBorder="1" applyAlignment="1" applyProtection="1">
      <alignment horizontal="right" vertical="center" wrapText="1"/>
      <protection locked="0"/>
    </xf>
    <xf numFmtId="3" fontId="13" fillId="0" borderId="27" xfId="2" applyNumberFormat="1" applyFont="1" applyFill="1" applyBorder="1" applyAlignment="1" applyProtection="1">
      <alignment horizontal="right" vertical="center" wrapText="1"/>
      <protection locked="0"/>
    </xf>
    <xf numFmtId="164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7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1" xfId="2" applyFont="1" applyFill="1" applyBorder="1" applyAlignment="1" applyProtection="1">
      <alignment horizontal="left" vertical="center" wrapText="1" indent="1"/>
    </xf>
    <xf numFmtId="0" fontId="9" fillId="0" borderId="32" xfId="2" applyFont="1" applyFill="1" applyBorder="1" applyAlignment="1" applyProtection="1">
      <alignment vertical="center" wrapText="1"/>
    </xf>
    <xf numFmtId="3" fontId="9" fillId="0" borderId="10" xfId="2" applyNumberFormat="1" applyFont="1" applyFill="1" applyBorder="1" applyAlignment="1" applyProtection="1">
      <alignment horizontal="right" vertical="center" wrapText="1"/>
    </xf>
    <xf numFmtId="3" fontId="9" fillId="0" borderId="5" xfId="2" applyNumberFormat="1" applyFont="1" applyFill="1" applyBorder="1" applyAlignment="1" applyProtection="1">
      <alignment horizontal="right" vertical="center" wrapText="1"/>
    </xf>
    <xf numFmtId="3" fontId="9" fillId="0" borderId="44" xfId="2" applyNumberFormat="1" applyFont="1" applyFill="1" applyBorder="1" applyAlignment="1" applyProtection="1">
      <alignment horizontal="right" vertical="center" wrapText="1"/>
    </xf>
    <xf numFmtId="164" fontId="15" fillId="0" borderId="6" xfId="2" applyNumberFormat="1" applyFont="1" applyFill="1" applyBorder="1" applyAlignment="1" applyProtection="1">
      <alignment horizontal="right" vertical="center" wrapText="1"/>
    </xf>
    <xf numFmtId="164" fontId="9" fillId="0" borderId="44" xfId="2" applyNumberFormat="1" applyFont="1" applyFill="1" applyBorder="1" applyAlignment="1" applyProtection="1">
      <alignment horizontal="right" vertical="center" wrapText="1" indent="1"/>
    </xf>
    <xf numFmtId="3" fontId="13" fillId="0" borderId="30" xfId="2" applyNumberFormat="1" applyFont="1" applyFill="1" applyBorder="1" applyAlignment="1" applyProtection="1">
      <alignment horizontal="right" vertical="center" wrapText="1"/>
    </xf>
    <xf numFmtId="3" fontId="13" fillId="0" borderId="15" xfId="2" applyNumberFormat="1" applyFont="1" applyFill="1" applyBorder="1" applyAlignment="1" applyProtection="1">
      <alignment horizontal="right" vertical="center" wrapText="1"/>
      <protection locked="0"/>
    </xf>
    <xf numFmtId="3" fontId="13" fillId="0" borderId="16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24" xfId="2" applyFont="1" applyFill="1" applyBorder="1" applyAlignment="1" applyProtection="1">
      <alignment horizontal="left" vertical="center" wrapText="1" indent="1"/>
    </xf>
    <xf numFmtId="3" fontId="15" fillId="0" borderId="21" xfId="2" applyNumberFormat="1" applyFont="1" applyFill="1" applyBorder="1" applyAlignment="1" applyProtection="1">
      <alignment horizontal="right" vertical="center" wrapText="1"/>
      <protection locked="0"/>
    </xf>
    <xf numFmtId="164" fontId="15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1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12" xfId="2" applyFont="1" applyFill="1" applyBorder="1" applyAlignment="1" applyProtection="1">
      <alignment horizontal="left" vertical="center" wrapText="1" indent="6"/>
    </xf>
    <xf numFmtId="0" fontId="15" fillId="0" borderId="4" xfId="2" applyFont="1" applyFill="1" applyBorder="1" applyAlignment="1" applyProtection="1">
      <alignment horizontal="left" vertical="center" wrapText="1" indent="1"/>
    </xf>
    <xf numFmtId="3" fontId="10" fillId="0" borderId="30" xfId="2" applyNumberFormat="1" applyFont="1" applyFill="1" applyBorder="1" applyAlignment="1" applyProtection="1">
      <alignment horizontal="right" vertical="center" wrapText="1"/>
    </xf>
    <xf numFmtId="3" fontId="10" fillId="0" borderId="15" xfId="2" applyNumberFormat="1" applyFont="1" applyFill="1" applyBorder="1" applyAlignment="1" applyProtection="1">
      <alignment horizontal="right" vertical="center" wrapText="1"/>
    </xf>
    <xf numFmtId="3" fontId="10" fillId="0" borderId="20" xfId="2" applyNumberFormat="1" applyFont="1" applyFill="1" applyBorder="1" applyAlignment="1" applyProtection="1">
      <alignment horizontal="right" vertical="center" wrapText="1"/>
    </xf>
    <xf numFmtId="3" fontId="10" fillId="0" borderId="21" xfId="2" applyNumberFormat="1" applyFont="1" applyFill="1" applyBorder="1" applyAlignment="1" applyProtection="1">
      <alignment horizontal="right" vertical="center" wrapText="1"/>
    </xf>
    <xf numFmtId="3" fontId="10" fillId="0" borderId="43" xfId="2" applyNumberFormat="1" applyFont="1" applyFill="1" applyBorder="1" applyAlignment="1" applyProtection="1">
      <alignment horizontal="right" vertical="center" wrapText="1"/>
    </xf>
    <xf numFmtId="3" fontId="10" fillId="0" borderId="28" xfId="2" applyNumberFormat="1" applyFont="1" applyFill="1" applyBorder="1" applyAlignment="1" applyProtection="1">
      <alignment horizontal="right" vertical="center" wrapText="1"/>
    </xf>
    <xf numFmtId="164" fontId="13" fillId="0" borderId="45" xfId="2" applyNumberFormat="1" applyFont="1" applyFill="1" applyBorder="1" applyAlignment="1" applyProtection="1">
      <alignment horizontal="right" vertical="center" wrapText="1"/>
    </xf>
    <xf numFmtId="3" fontId="10" fillId="0" borderId="6" xfId="2" applyNumberFormat="1" applyFont="1" applyFill="1" applyBorder="1" applyAlignment="1" applyProtection="1">
      <alignment horizontal="right" vertical="center" wrapText="1"/>
    </xf>
    <xf numFmtId="0" fontId="10" fillId="0" borderId="12" xfId="2" applyFont="1" applyFill="1" applyBorder="1" applyAlignment="1" applyProtection="1">
      <alignment horizontal="left" vertical="center" wrapText="1" indent="1"/>
    </xf>
    <xf numFmtId="164" fontId="15" fillId="0" borderId="16" xfId="2" applyNumberFormat="1" applyFont="1" applyFill="1" applyBorder="1" applyAlignment="1" applyProtection="1">
      <alignment horizontal="right" vertical="center" wrapText="1"/>
    </xf>
    <xf numFmtId="0" fontId="10" fillId="0" borderId="46" xfId="2" applyFont="1" applyFill="1" applyBorder="1" applyAlignment="1" applyProtection="1">
      <alignment horizontal="left" vertical="center" wrapText="1" indent="1"/>
    </xf>
    <xf numFmtId="164" fontId="15" fillId="0" borderId="45" xfId="2" applyNumberFormat="1" applyFont="1" applyFill="1" applyBorder="1" applyAlignment="1" applyProtection="1">
      <alignment horizontal="right" vertical="center" wrapText="1"/>
    </xf>
    <xf numFmtId="3" fontId="15" fillId="0" borderId="6" xfId="2" applyNumberFormat="1" applyFont="1" applyFill="1" applyBorder="1" applyAlignment="1" applyProtection="1">
      <alignment horizontal="right" vertical="center" wrapText="1"/>
    </xf>
    <xf numFmtId="164" fontId="14" fillId="0" borderId="10" xfId="0" applyNumberFormat="1" applyFont="1" applyBorder="1" applyAlignment="1" applyProtection="1">
      <alignment horizontal="right" vertical="center" wrapText="1" indent="1"/>
    </xf>
    <xf numFmtId="164" fontId="14" fillId="0" borderId="5" xfId="0" applyNumberFormat="1" applyFont="1" applyBorder="1" applyAlignment="1" applyProtection="1">
      <alignment horizontal="right" vertical="center" wrapText="1" indent="1"/>
    </xf>
    <xf numFmtId="3" fontId="10" fillId="0" borderId="28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2" applyNumberFormat="1" applyFont="1" applyFill="1" applyBorder="1" applyAlignment="1" applyProtection="1">
      <alignment horizontal="right" vertical="center" wrapText="1"/>
    </xf>
    <xf numFmtId="3" fontId="14" fillId="0" borderId="10" xfId="0" applyNumberFormat="1" applyFont="1" applyBorder="1" applyAlignment="1" applyProtection="1">
      <alignment horizontal="right" vertical="center" wrapText="1"/>
    </xf>
    <xf numFmtId="3" fontId="14" fillId="0" borderId="5" xfId="0" applyNumberFormat="1" applyFont="1" applyBorder="1" applyAlignment="1" applyProtection="1">
      <alignment horizontal="right" vertical="center" wrapText="1"/>
    </xf>
    <xf numFmtId="3" fontId="14" fillId="0" borderId="5" xfId="0" applyNumberFormat="1" applyFont="1" applyBorder="1" applyAlignment="1" applyProtection="1">
      <alignment horizontal="right" vertical="center" wrapText="1"/>
      <protection locked="0"/>
    </xf>
    <xf numFmtId="164" fontId="14" fillId="0" borderId="5" xfId="0" applyNumberFormat="1" applyFont="1" applyBorder="1" applyAlignment="1" applyProtection="1">
      <alignment horizontal="right" vertical="center" wrapText="1" indent="1"/>
      <protection locked="0"/>
    </xf>
    <xf numFmtId="3" fontId="16" fillId="0" borderId="10" xfId="0" quotePrefix="1" applyNumberFormat="1" applyFont="1" applyBorder="1" applyAlignment="1" applyProtection="1">
      <alignment horizontal="right" vertical="center" wrapText="1"/>
    </xf>
    <xf numFmtId="3" fontId="16" fillId="0" borderId="5" xfId="0" quotePrefix="1" applyNumberFormat="1" applyFont="1" applyBorder="1" applyAlignment="1" applyProtection="1">
      <alignment horizontal="right" vertical="center" wrapText="1"/>
    </xf>
    <xf numFmtId="164" fontId="16" fillId="0" borderId="10" xfId="0" quotePrefix="1" applyNumberFormat="1" applyFont="1" applyBorder="1" applyAlignment="1" applyProtection="1">
      <alignment horizontal="right" vertical="center" wrapText="1" indent="1"/>
    </xf>
    <xf numFmtId="164" fontId="16" fillId="0" borderId="5" xfId="0" quotePrefix="1" applyNumberFormat="1" applyFont="1" applyBorder="1" applyAlignment="1" applyProtection="1">
      <alignment horizontal="right" vertical="center" wrapText="1" indent="1"/>
    </xf>
    <xf numFmtId="0" fontId="14" fillId="0" borderId="31" xfId="0" applyFont="1" applyBorder="1" applyAlignment="1" applyProtection="1">
      <alignment horizontal="left" vertical="center" wrapText="1" indent="1"/>
    </xf>
    <xf numFmtId="0" fontId="16" fillId="0" borderId="32" xfId="0" applyFont="1" applyBorder="1" applyAlignment="1" applyProtection="1">
      <alignment horizontal="left" vertical="center" wrapText="1" indent="1"/>
    </xf>
  </cellXfs>
  <cellStyles count="67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2 2" xfId="21"/>
    <cellStyle name="Ezres 5 2 3" xfId="22"/>
    <cellStyle name="Ezres 5 3" xfId="23"/>
    <cellStyle name="Ezres 5 4" xfId="24"/>
    <cellStyle name="Ezres 6" xfId="25"/>
    <cellStyle name="Ezres 6 2" xfId="26"/>
    <cellStyle name="Ezres 6 2 2" xfId="27"/>
    <cellStyle name="Ezres 6 2 3" xfId="28"/>
    <cellStyle name="Ezres 6 3" xfId="29"/>
    <cellStyle name="Ezres 6 4" xfId="30"/>
    <cellStyle name="Ezres 7" xfId="31"/>
    <cellStyle name="Ezres 7 2" xfId="32"/>
    <cellStyle name="Ezres 7 3" xfId="33"/>
    <cellStyle name="Ezres 7 4" xfId="34"/>
    <cellStyle name="hetmál kút" xfId="35"/>
    <cellStyle name="Hiperhivatkozás" xfId="36"/>
    <cellStyle name="Már látott hiperhivatkozás" xfId="37"/>
    <cellStyle name="Normál" xfId="0" builtinId="0"/>
    <cellStyle name="Normál 2" xfId="38"/>
    <cellStyle name="Normál 2 2" xfId="39"/>
    <cellStyle name="Normál 2 3" xfId="40"/>
    <cellStyle name="Normál 3" xfId="41"/>
    <cellStyle name="Normál 3 2" xfId="42"/>
    <cellStyle name="Normál 3 2 2" xfId="43"/>
    <cellStyle name="Normál 4" xfId="44"/>
    <cellStyle name="Normál 4 2" xfId="45"/>
    <cellStyle name="Normál 4 2 2" xfId="46"/>
    <cellStyle name="Normál 4 2 3" xfId="47"/>
    <cellStyle name="Normál 4 3" xfId="48"/>
    <cellStyle name="Normál 4 4" xfId="49"/>
    <cellStyle name="Normál 5" xfId="50"/>
    <cellStyle name="Normál 5 2" xfId="51"/>
    <cellStyle name="Normál 5 2 2" xfId="52"/>
    <cellStyle name="Normál 5 2 3" xfId="53"/>
    <cellStyle name="Normál 5 3" xfId="54"/>
    <cellStyle name="Normál 5 4" xfId="55"/>
    <cellStyle name="Normál 6" xfId="56"/>
    <cellStyle name="Normál 6 2" xfId="57"/>
    <cellStyle name="Normál 6 3" xfId="58"/>
    <cellStyle name="Normál 6 4" xfId="59"/>
    <cellStyle name="Normál 7" xfId="60"/>
    <cellStyle name="Normál 7 2" xfId="61"/>
    <cellStyle name="Normál 8" xfId="62"/>
    <cellStyle name="Normál_KVRENMUNKA" xfId="2"/>
    <cellStyle name="Százalék 2" xfId="63"/>
    <cellStyle name="Százalék 2 2" xfId="64"/>
    <cellStyle name="Százalék 2 3" xfId="65"/>
    <cellStyle name="Százalék 3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1586722929</v>
          </cell>
        </row>
        <row r="12">
          <cell r="C12">
            <v>295696597</v>
          </cell>
        </row>
        <row r="13">
          <cell r="C13">
            <v>254023920</v>
          </cell>
        </row>
        <row r="14">
          <cell r="C14">
            <v>761734873</v>
          </cell>
        </row>
        <row r="15">
          <cell r="C15">
            <v>635476079</v>
          </cell>
        </row>
        <row r="16">
          <cell r="C16">
            <v>126258794</v>
          </cell>
        </row>
        <row r="17">
          <cell r="C17">
            <v>40888120</v>
          </cell>
        </row>
        <row r="18">
          <cell r="C18">
            <v>234379419</v>
          </cell>
        </row>
        <row r="19">
          <cell r="C19">
            <v>0</v>
          </cell>
        </row>
        <row r="20">
          <cell r="C20">
            <v>355607178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355607178</v>
          </cell>
        </row>
        <row r="26">
          <cell r="C26">
            <v>131495850</v>
          </cell>
        </row>
        <row r="27">
          <cell r="C27">
            <v>189408354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189408354</v>
          </cell>
        </row>
        <row r="33">
          <cell r="C33">
            <v>80423773</v>
          </cell>
        </row>
        <row r="34">
          <cell r="C34">
            <v>398600000</v>
          </cell>
        </row>
        <row r="35">
          <cell r="C35">
            <v>385080000</v>
          </cell>
        </row>
        <row r="36">
          <cell r="C36">
            <v>88280000</v>
          </cell>
        </row>
        <row r="37">
          <cell r="C37">
            <v>296800000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13520000</v>
          </cell>
        </row>
        <row r="41">
          <cell r="C41">
            <v>364458308</v>
          </cell>
        </row>
        <row r="42">
          <cell r="C42">
            <v>0</v>
          </cell>
        </row>
        <row r="43">
          <cell r="C43">
            <v>70238454</v>
          </cell>
        </row>
        <row r="44">
          <cell r="C44">
            <v>28440392</v>
          </cell>
        </row>
        <row r="45">
          <cell r="C45">
            <v>3743473</v>
          </cell>
        </row>
        <row r="46">
          <cell r="C46">
            <v>199444919</v>
          </cell>
        </row>
        <row r="47">
          <cell r="C47">
            <v>24007648</v>
          </cell>
        </row>
        <row r="48">
          <cell r="C48">
            <v>35961645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1000000</v>
          </cell>
        </row>
        <row r="52">
          <cell r="C52">
            <v>1621777</v>
          </cell>
        </row>
        <row r="53">
          <cell r="C53">
            <v>63000000</v>
          </cell>
        </row>
        <row r="54">
          <cell r="C54">
            <v>0</v>
          </cell>
        </row>
        <row r="55">
          <cell r="C55">
            <v>63000000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1200000</v>
          </cell>
        </row>
        <row r="60">
          <cell r="C60">
            <v>0</v>
          </cell>
        </row>
        <row r="61">
          <cell r="C61">
            <v>200000</v>
          </cell>
        </row>
        <row r="62">
          <cell r="C62">
            <v>1000000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2958996769</v>
          </cell>
        </row>
        <row r="70">
          <cell r="C70">
            <v>868562529</v>
          </cell>
        </row>
        <row r="71">
          <cell r="C71">
            <v>18562529</v>
          </cell>
        </row>
        <row r="72">
          <cell r="C72">
            <v>850000000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856482639</v>
          </cell>
        </row>
        <row r="80">
          <cell r="C80">
            <v>856482639</v>
          </cell>
        </row>
        <row r="81">
          <cell r="C81">
            <v>0</v>
          </cell>
        </row>
        <row r="82">
          <cell r="C82">
            <v>48966750</v>
          </cell>
        </row>
        <row r="83">
          <cell r="C83">
            <v>48966750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1774011918</v>
          </cell>
        </row>
        <row r="94">
          <cell r="C94">
            <v>4733008687</v>
          </cell>
        </row>
        <row r="100">
          <cell r="C100">
            <v>2831433172</v>
          </cell>
        </row>
        <row r="101">
          <cell r="C101">
            <v>1258326512</v>
          </cell>
        </row>
        <row r="102">
          <cell r="C102">
            <v>215518047</v>
          </cell>
        </row>
        <row r="103">
          <cell r="C103">
            <v>985774764</v>
          </cell>
        </row>
        <row r="104">
          <cell r="C104">
            <v>56500000</v>
          </cell>
        </row>
        <row r="105">
          <cell r="C105">
            <v>198934698</v>
          </cell>
        </row>
        <row r="106">
          <cell r="C106">
            <v>140000</v>
          </cell>
        </row>
        <row r="107">
          <cell r="C107">
            <v>0</v>
          </cell>
        </row>
        <row r="108">
          <cell r="C108">
            <v>24566831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636000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173591867</v>
          </cell>
        </row>
        <row r="118">
          <cell r="C118">
            <v>116379151</v>
          </cell>
        </row>
        <row r="119">
          <cell r="C119">
            <v>10000000</v>
          </cell>
        </row>
        <row r="120">
          <cell r="C120">
            <v>106379151</v>
          </cell>
        </row>
        <row r="121">
          <cell r="C121">
            <v>977615018</v>
          </cell>
        </row>
        <row r="122">
          <cell r="C122">
            <v>612539782</v>
          </cell>
        </row>
        <row r="123">
          <cell r="C123">
            <v>401925076</v>
          </cell>
        </row>
        <row r="124">
          <cell r="C124">
            <v>359163430</v>
          </cell>
        </row>
        <row r="125">
          <cell r="C125">
            <v>290689778</v>
          </cell>
        </row>
        <row r="126">
          <cell r="C126">
            <v>5911806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5911806</v>
          </cell>
        </row>
        <row r="135">
          <cell r="C135">
            <v>3809048190</v>
          </cell>
        </row>
        <row r="136">
          <cell r="C136">
            <v>874993747</v>
          </cell>
        </row>
        <row r="137">
          <cell r="C137">
            <v>24993747</v>
          </cell>
        </row>
        <row r="138">
          <cell r="C138">
            <v>850000000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48966750</v>
          </cell>
        </row>
        <row r="148">
          <cell r="C148">
            <v>0</v>
          </cell>
        </row>
        <row r="149">
          <cell r="C149">
            <v>48966750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923960497</v>
          </cell>
        </row>
        <row r="161">
          <cell r="C161">
            <v>4733008687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6"/>
  <dimension ref="A1:K164"/>
  <sheetViews>
    <sheetView tabSelected="1" zoomScale="130" zoomScaleNormal="130" zoomScaleSheetLayoutView="115" workbookViewId="0">
      <selection activeCell="C12" sqref="C12"/>
    </sheetView>
  </sheetViews>
  <sheetFormatPr defaultRowHeight="15.75" x14ac:dyDescent="0.25"/>
  <cols>
    <col min="1" max="1" width="9" style="3" customWidth="1"/>
    <col min="2" max="2" width="67.1640625" style="3" bestFit="1" customWidth="1"/>
    <col min="3" max="3" width="16.5" style="4" customWidth="1"/>
    <col min="4" max="4" width="15.5" style="4" customWidth="1"/>
    <col min="5" max="7" width="15.5" style="4" hidden="1" customWidth="1"/>
    <col min="8" max="8" width="15.5" style="4" customWidth="1"/>
    <col min="9" max="9" width="14.33203125" style="2" hidden="1" customWidth="1"/>
    <col min="10" max="10" width="12.6640625" style="2" hidden="1" customWidth="1"/>
    <col min="11" max="11" width="14.33203125" style="2" hidden="1" customWidth="1"/>
    <col min="12" max="16384" width="9.33203125" style="2"/>
  </cols>
  <sheetData>
    <row r="1" spans="1:11" x14ac:dyDescent="0.25">
      <c r="A1" s="1" t="str">
        <f>CONCATENATE("1. tájékoztató tábla"," ",[1]ALAPADATOK!A7," ",[1]ALAPADATOK!B7," ",[1]ALAPADATOK!C7," ",[1]ALAPADATOK!D7," ",[1]ALAPADATOK!E7," ",[1]ALAPADATOK!F7," ",[1]ALAPADATOK!G7," ",[1]ALAPADATOK!H7)</f>
        <v>1. tájékoztató tábla a 2 / 2021. ( II.15. ) önkormányzati rendelethez</v>
      </c>
      <c r="B1" s="1"/>
      <c r="C1" s="1"/>
      <c r="D1" s="1"/>
      <c r="E1" s="1"/>
      <c r="F1" s="1"/>
      <c r="G1" s="1"/>
      <c r="H1" s="1"/>
    </row>
    <row r="2" spans="1:11" x14ac:dyDescent="0.25">
      <c r="H2" s="5" t="s">
        <v>0</v>
      </c>
    </row>
    <row r="3" spans="1:11" ht="35.25" customHeight="1" x14ac:dyDescent="0.25">
      <c r="A3" s="6" t="s">
        <v>1</v>
      </c>
      <c r="B3" s="7"/>
      <c r="C3" s="7"/>
      <c r="D3" s="7"/>
      <c r="E3" s="7"/>
      <c r="F3" s="7"/>
      <c r="G3" s="7"/>
      <c r="H3" s="7"/>
    </row>
    <row r="5" spans="1:11" ht="15.95" customHeight="1" x14ac:dyDescent="0.25">
      <c r="A5" s="8" t="s">
        <v>2</v>
      </c>
      <c r="B5" s="8"/>
      <c r="C5" s="8"/>
      <c r="D5" s="8"/>
      <c r="E5" s="8"/>
      <c r="F5" s="8"/>
      <c r="G5" s="8"/>
      <c r="H5" s="8"/>
    </row>
    <row r="6" spans="1:11" ht="15.95" customHeight="1" thickBot="1" x14ac:dyDescent="0.3">
      <c r="A6" s="9" t="s">
        <v>3</v>
      </c>
      <c r="B6" s="9"/>
      <c r="C6" s="10"/>
      <c r="D6" s="10"/>
      <c r="E6" s="11"/>
      <c r="F6" s="11"/>
      <c r="G6" s="11"/>
      <c r="H6" s="12" t="s">
        <v>4</v>
      </c>
    </row>
    <row r="7" spans="1:11" ht="38.1" customHeight="1" thickBot="1" x14ac:dyDescent="0.3">
      <c r="A7" s="13" t="s">
        <v>5</v>
      </c>
      <c r="B7" s="14" t="s">
        <v>6</v>
      </c>
      <c r="C7" s="15" t="s">
        <v>7</v>
      </c>
      <c r="D7" s="15" t="s">
        <v>8</v>
      </c>
      <c r="E7" s="16"/>
      <c r="F7" s="16"/>
      <c r="G7" s="16"/>
      <c r="H7" s="17" t="s">
        <v>9</v>
      </c>
    </row>
    <row r="8" spans="1:11" s="24" customFormat="1" ht="12" customHeight="1" thickBot="1" x14ac:dyDescent="0.25">
      <c r="A8" s="18" t="s">
        <v>10</v>
      </c>
      <c r="B8" s="19" t="s">
        <v>11</v>
      </c>
      <c r="C8" s="20" t="s">
        <v>12</v>
      </c>
      <c r="D8" s="21" t="s">
        <v>13</v>
      </c>
      <c r="E8" s="22"/>
      <c r="F8" s="22"/>
      <c r="G8" s="22"/>
      <c r="H8" s="23" t="s">
        <v>14</v>
      </c>
    </row>
    <row r="9" spans="1:11" s="31" customFormat="1" ht="12" customHeight="1" thickBot="1" x14ac:dyDescent="0.25">
      <c r="A9" s="25" t="s">
        <v>15</v>
      </c>
      <c r="B9" s="26" t="s">
        <v>16</v>
      </c>
      <c r="C9" s="20">
        <f>SUM(C10:C17)</f>
        <v>1324135065</v>
      </c>
      <c r="D9" s="21">
        <f>SUM(D10:D17)-D12</f>
        <v>1383953547</v>
      </c>
      <c r="E9" s="27">
        <f>+E10+E11+E12+E15+E16+E17</f>
        <v>1133144785</v>
      </c>
      <c r="F9" s="28">
        <f>+F10+F11+F12+F15+F16+F17</f>
        <v>0</v>
      </c>
      <c r="G9" s="28">
        <f>+G10+G11+G12+G15+G16+G17</f>
        <v>0</v>
      </c>
      <c r="H9" s="29">
        <f>'[1]1.1.sz.mell. '!C11</f>
        <v>1586722929</v>
      </c>
      <c r="I9" s="30">
        <f>+I10+I11+I12+I15+I16+I17</f>
        <v>1460810310</v>
      </c>
      <c r="J9" s="29">
        <f>+J10+J11+J12+J15+J16+J17</f>
        <v>0</v>
      </c>
      <c r="K9" s="29">
        <f>+K10+K11+K12+K15+K16+K17</f>
        <v>0</v>
      </c>
    </row>
    <row r="10" spans="1:11" s="31" customFormat="1" ht="12" customHeight="1" x14ac:dyDescent="0.2">
      <c r="A10" s="32" t="s">
        <v>17</v>
      </c>
      <c r="B10" s="33" t="s">
        <v>18</v>
      </c>
      <c r="C10" s="34">
        <v>218098142</v>
      </c>
      <c r="D10" s="35">
        <v>256986904</v>
      </c>
      <c r="E10" s="36">
        <v>227512539</v>
      </c>
      <c r="F10" s="37"/>
      <c r="G10" s="37"/>
      <c r="H10" s="38">
        <f>'[1]1.1.sz.mell. '!C12</f>
        <v>295696597</v>
      </c>
      <c r="I10" s="39">
        <v>211161846</v>
      </c>
      <c r="J10" s="39"/>
      <c r="K10" s="39"/>
    </row>
    <row r="11" spans="1:11" s="31" customFormat="1" ht="12" customHeight="1" x14ac:dyDescent="0.2">
      <c r="A11" s="40" t="s">
        <v>19</v>
      </c>
      <c r="B11" s="41" t="s">
        <v>20</v>
      </c>
      <c r="C11" s="42">
        <v>238466411</v>
      </c>
      <c r="D11" s="43">
        <v>250568625</v>
      </c>
      <c r="E11" s="44">
        <v>218107294</v>
      </c>
      <c r="F11" s="45"/>
      <c r="G11" s="45"/>
      <c r="H11" s="46">
        <f>'[1]1.1.sz.mell. '!C13</f>
        <v>254023920</v>
      </c>
      <c r="I11" s="47">
        <v>235351616</v>
      </c>
      <c r="J11" s="47"/>
      <c r="K11" s="47"/>
    </row>
    <row r="12" spans="1:11" s="31" customFormat="1" ht="12" customHeight="1" x14ac:dyDescent="0.2">
      <c r="A12" s="40" t="s">
        <v>21</v>
      </c>
      <c r="B12" s="41" t="s">
        <v>22</v>
      </c>
      <c r="C12" s="42">
        <v>784493453</v>
      </c>
      <c r="D12" s="43">
        <f>SUM(D13:D14)</f>
        <v>793973650</v>
      </c>
      <c r="E12" s="44">
        <f>121200000+67844165+118423160+15562200+177597260+4526280+11511000+24250000+62625967</f>
        <v>603540032</v>
      </c>
      <c r="F12" s="45"/>
      <c r="G12" s="45"/>
      <c r="H12" s="46">
        <f>'[1]1.1.sz.mell. '!C14</f>
        <v>761734873</v>
      </c>
      <c r="I12" s="47">
        <f>132342947+82528441+152850000+191583306+50232560+61299400+1796961+73694436</f>
        <v>746328051</v>
      </c>
      <c r="J12" s="47"/>
      <c r="K12" s="47"/>
    </row>
    <row r="13" spans="1:11" s="31" customFormat="1" ht="24" customHeight="1" x14ac:dyDescent="0.2">
      <c r="A13" s="40" t="s">
        <v>23</v>
      </c>
      <c r="B13" s="41" t="s">
        <v>24</v>
      </c>
      <c r="C13" s="42">
        <v>0</v>
      </c>
      <c r="D13" s="43">
        <v>616722342</v>
      </c>
      <c r="E13" s="44"/>
      <c r="F13" s="45"/>
      <c r="G13" s="45"/>
      <c r="H13" s="46">
        <f>'[1]1.1.sz.mell. '!C15</f>
        <v>635476079</v>
      </c>
      <c r="I13" s="47"/>
      <c r="J13" s="47"/>
      <c r="K13" s="47"/>
    </row>
    <row r="14" spans="1:11" s="31" customFormat="1" ht="12" customHeight="1" x14ac:dyDescent="0.2">
      <c r="A14" s="40" t="s">
        <v>25</v>
      </c>
      <c r="B14" s="41" t="s">
        <v>26</v>
      </c>
      <c r="C14" s="42">
        <v>0</v>
      </c>
      <c r="D14" s="43">
        <v>177251308</v>
      </c>
      <c r="E14" s="44"/>
      <c r="F14" s="45"/>
      <c r="G14" s="45"/>
      <c r="H14" s="46">
        <f>'[1]1.1.sz.mell. '!C16</f>
        <v>126258794</v>
      </c>
      <c r="I14" s="47"/>
      <c r="J14" s="47"/>
      <c r="K14" s="47"/>
    </row>
    <row r="15" spans="1:11" s="31" customFormat="1" ht="12" customHeight="1" x14ac:dyDescent="0.2">
      <c r="A15" s="40" t="s">
        <v>27</v>
      </c>
      <c r="B15" s="41" t="s">
        <v>28</v>
      </c>
      <c r="C15" s="42">
        <v>34753573</v>
      </c>
      <c r="D15" s="43">
        <v>38970172</v>
      </c>
      <c r="E15" s="44">
        <f>4412740+15262320+10629000</f>
        <v>30304060</v>
      </c>
      <c r="F15" s="45"/>
      <c r="G15" s="45"/>
      <c r="H15" s="46">
        <f>'[1]1.1.sz.mell. '!C17</f>
        <v>40888120</v>
      </c>
      <c r="I15" s="47">
        <f>4617241+15998620+12622000</f>
        <v>33237861</v>
      </c>
      <c r="J15" s="47"/>
      <c r="K15" s="47"/>
    </row>
    <row r="16" spans="1:11" s="31" customFormat="1" ht="12" customHeight="1" x14ac:dyDescent="0.2">
      <c r="A16" s="40" t="s">
        <v>29</v>
      </c>
      <c r="B16" s="48" t="s">
        <v>30</v>
      </c>
      <c r="C16" s="42">
        <v>48323486</v>
      </c>
      <c r="D16" s="43">
        <v>43054095</v>
      </c>
      <c r="E16" s="44">
        <f>3551000+1060845+168707597+58000+128000-119824582</f>
        <v>53680860</v>
      </c>
      <c r="F16" s="45"/>
      <c r="G16" s="45"/>
      <c r="H16" s="46">
        <f>'[1]1.1.sz.mell. '!C18</f>
        <v>234379419</v>
      </c>
      <c r="I16" s="47">
        <f>29417493+205313443</f>
        <v>234730936</v>
      </c>
      <c r="J16" s="47"/>
      <c r="K16" s="47"/>
    </row>
    <row r="17" spans="1:11" s="31" customFormat="1" ht="12" customHeight="1" thickBot="1" x14ac:dyDescent="0.25">
      <c r="A17" s="49" t="s">
        <v>31</v>
      </c>
      <c r="B17" s="50" t="s">
        <v>32</v>
      </c>
      <c r="C17" s="51"/>
      <c r="D17" s="52">
        <v>400101</v>
      </c>
      <c r="E17" s="53"/>
      <c r="F17" s="54"/>
      <c r="G17" s="54"/>
      <c r="H17" s="55">
        <f>'[1]1.1.sz.mell. '!C19</f>
        <v>0</v>
      </c>
      <c r="I17" s="56"/>
      <c r="J17" s="57"/>
      <c r="K17" s="57"/>
    </row>
    <row r="18" spans="1:11" s="31" customFormat="1" ht="12" customHeight="1" thickBot="1" x14ac:dyDescent="0.25">
      <c r="A18" s="25" t="s">
        <v>33</v>
      </c>
      <c r="B18" s="58" t="s">
        <v>34</v>
      </c>
      <c r="C18" s="59">
        <f>SUM(C19:C23)</f>
        <v>185927249</v>
      </c>
      <c r="D18" s="60">
        <f>SUM(D19:D23)</f>
        <v>218745160</v>
      </c>
      <c r="E18" s="27">
        <f>+E19+E20+E21+E22+E23</f>
        <v>-145452435</v>
      </c>
      <c r="F18" s="28">
        <f>+F19+F20+F21+F22+F23</f>
        <v>0</v>
      </c>
      <c r="G18" s="28">
        <f>+G19+G20+G21+G22+G23</f>
        <v>5485000</v>
      </c>
      <c r="H18" s="29">
        <f>'[1]1.1.sz.mell. '!C20</f>
        <v>355607178</v>
      </c>
      <c r="I18" s="30">
        <f>+I19+I20+I21+I22+I23</f>
        <v>203725813</v>
      </c>
      <c r="J18" s="29">
        <f>+J19+J20+J21+J22+J23</f>
        <v>0</v>
      </c>
      <c r="K18" s="29">
        <f>+K19+K20+K21+K22+K23</f>
        <v>22754943</v>
      </c>
    </row>
    <row r="19" spans="1:11" s="31" customFormat="1" ht="12" customHeight="1" x14ac:dyDescent="0.2">
      <c r="A19" s="32" t="s">
        <v>35</v>
      </c>
      <c r="B19" s="33" t="s">
        <v>36</v>
      </c>
      <c r="C19" s="34"/>
      <c r="D19" s="35"/>
      <c r="E19" s="61"/>
      <c r="F19" s="62"/>
      <c r="G19" s="62"/>
      <c r="H19" s="38">
        <f>'[1]1.1.sz.mell. '!C21</f>
        <v>0</v>
      </c>
      <c r="I19" s="63"/>
      <c r="J19" s="64"/>
      <c r="K19" s="64"/>
    </row>
    <row r="20" spans="1:11" s="31" customFormat="1" ht="12" customHeight="1" x14ac:dyDescent="0.2">
      <c r="A20" s="40" t="s">
        <v>37</v>
      </c>
      <c r="B20" s="41" t="s">
        <v>38</v>
      </c>
      <c r="C20" s="42"/>
      <c r="D20" s="43"/>
      <c r="E20" s="53"/>
      <c r="F20" s="54"/>
      <c r="G20" s="54"/>
      <c r="H20" s="46">
        <f>'[1]1.1.sz.mell. '!C22</f>
        <v>0</v>
      </c>
      <c r="I20" s="56"/>
      <c r="J20" s="57"/>
      <c r="K20" s="57"/>
    </row>
    <row r="21" spans="1:11" s="31" customFormat="1" ht="12" customHeight="1" x14ac:dyDescent="0.2">
      <c r="A21" s="40" t="s">
        <v>39</v>
      </c>
      <c r="B21" s="41" t="s">
        <v>40</v>
      </c>
      <c r="C21" s="42"/>
      <c r="D21" s="43"/>
      <c r="E21" s="53"/>
      <c r="F21" s="54"/>
      <c r="G21" s="54"/>
      <c r="H21" s="46">
        <f>'[1]1.1.sz.mell. '!C23</f>
        <v>0</v>
      </c>
      <c r="I21" s="56"/>
      <c r="J21" s="57"/>
      <c r="K21" s="57"/>
    </row>
    <row r="22" spans="1:11" s="31" customFormat="1" ht="12" customHeight="1" x14ac:dyDescent="0.2">
      <c r="A22" s="40" t="s">
        <v>41</v>
      </c>
      <c r="B22" s="41" t="s">
        <v>42</v>
      </c>
      <c r="C22" s="42"/>
      <c r="D22" s="43"/>
      <c r="E22" s="53"/>
      <c r="F22" s="54"/>
      <c r="G22" s="54"/>
      <c r="H22" s="46">
        <f>'[1]1.1.sz.mell. '!C24</f>
        <v>0</v>
      </c>
      <c r="I22" s="56"/>
      <c r="J22" s="57"/>
      <c r="K22" s="57"/>
    </row>
    <row r="23" spans="1:11" s="31" customFormat="1" ht="12" customHeight="1" x14ac:dyDescent="0.2">
      <c r="A23" s="40" t="s">
        <v>43</v>
      </c>
      <c r="B23" s="41" t="s">
        <v>44</v>
      </c>
      <c r="C23" s="42">
        <v>185927249</v>
      </c>
      <c r="D23" s="43">
        <v>218745160</v>
      </c>
      <c r="E23" s="44">
        <f>2285000+210000+110446000+65342000-323735435</f>
        <v>-145452435</v>
      </c>
      <c r="F23" s="45"/>
      <c r="G23" s="45">
        <v>5485000</v>
      </c>
      <c r="H23" s="46">
        <f>'[1]1.1.sz.mell. '!C25</f>
        <v>355607178</v>
      </c>
      <c r="I23" s="65">
        <f>102792540+24250000+3975280+5670000+67037993</f>
        <v>203725813</v>
      </c>
      <c r="J23" s="47"/>
      <c r="K23" s="47">
        <v>22754943</v>
      </c>
    </row>
    <row r="24" spans="1:11" s="31" customFormat="1" ht="12" customHeight="1" thickBot="1" x14ac:dyDescent="0.25">
      <c r="A24" s="49" t="s">
        <v>45</v>
      </c>
      <c r="B24" s="50" t="s">
        <v>46</v>
      </c>
      <c r="C24" s="51">
        <f>44046085</f>
        <v>44046085</v>
      </c>
      <c r="D24" s="52">
        <v>80120703</v>
      </c>
      <c r="E24" s="66"/>
      <c r="F24" s="67"/>
      <c r="G24" s="67"/>
      <c r="H24" s="55">
        <f>'[1]1.1.sz.mell. '!C26</f>
        <v>131495850</v>
      </c>
      <c r="I24" s="68">
        <f>67037993</f>
        <v>67037993</v>
      </c>
      <c r="J24" s="69"/>
      <c r="K24" s="69">
        <v>754943</v>
      </c>
    </row>
    <row r="25" spans="1:11" s="31" customFormat="1" ht="12" customHeight="1" thickBot="1" x14ac:dyDescent="0.25">
      <c r="A25" s="25" t="s">
        <v>47</v>
      </c>
      <c r="B25" s="26" t="s">
        <v>48</v>
      </c>
      <c r="C25" s="59">
        <f>SUM(C26:C30)</f>
        <v>1026676989</v>
      </c>
      <c r="D25" s="60">
        <f>SUM(D26:D30)</f>
        <v>283396180</v>
      </c>
      <c r="E25" s="27">
        <f>+E26+E27+E28+E29+E30</f>
        <v>-11381976</v>
      </c>
      <c r="F25" s="28">
        <f>+F26+F27+F28+F29+F30</f>
        <v>0</v>
      </c>
      <c r="G25" s="28">
        <f>+G26+G27+G28+G29+G30</f>
        <v>0</v>
      </c>
      <c r="H25" s="29">
        <f>'[1]1.1.sz.mell. '!C27</f>
        <v>189408354</v>
      </c>
      <c r="I25" s="30">
        <f>+I26+I27+I28+I29+I30</f>
        <v>82409566</v>
      </c>
      <c r="J25" s="29">
        <f>+J26+J27+J28+J29+J30</f>
        <v>0</v>
      </c>
      <c r="K25" s="29">
        <f>+K26+K27+K28+K29+K30</f>
        <v>0</v>
      </c>
    </row>
    <row r="26" spans="1:11" s="31" customFormat="1" ht="12" customHeight="1" x14ac:dyDescent="0.2">
      <c r="A26" s="32" t="s">
        <v>49</v>
      </c>
      <c r="B26" s="33" t="s">
        <v>50</v>
      </c>
      <c r="C26" s="34">
        <v>370138900</v>
      </c>
      <c r="D26" s="35">
        <v>34619116</v>
      </c>
      <c r="E26" s="70"/>
      <c r="F26" s="71"/>
      <c r="G26" s="71"/>
      <c r="H26" s="38">
        <f>'[1]1.1.sz.mell. '!C28</f>
        <v>0</v>
      </c>
      <c r="I26" s="72"/>
      <c r="J26" s="73"/>
      <c r="K26" s="73"/>
    </row>
    <row r="27" spans="1:11" s="31" customFormat="1" ht="12" customHeight="1" x14ac:dyDescent="0.2">
      <c r="A27" s="40" t="s">
        <v>51</v>
      </c>
      <c r="B27" s="41" t="s">
        <v>52</v>
      </c>
      <c r="C27" s="74"/>
      <c r="D27" s="75"/>
      <c r="E27" s="44"/>
      <c r="F27" s="45"/>
      <c r="G27" s="45"/>
      <c r="H27" s="76">
        <f>'[1]1.1.sz.mell. '!C29</f>
        <v>0</v>
      </c>
      <c r="I27" s="65"/>
      <c r="J27" s="47"/>
      <c r="K27" s="47"/>
    </row>
    <row r="28" spans="1:11" s="31" customFormat="1" ht="12" customHeight="1" x14ac:dyDescent="0.2">
      <c r="A28" s="40" t="s">
        <v>53</v>
      </c>
      <c r="B28" s="41" t="s">
        <v>54</v>
      </c>
      <c r="C28" s="42"/>
      <c r="D28" s="43"/>
      <c r="E28" s="44"/>
      <c r="F28" s="45"/>
      <c r="G28" s="45"/>
      <c r="H28" s="46">
        <f>'[1]1.1.sz.mell. '!C30</f>
        <v>0</v>
      </c>
      <c r="I28" s="65"/>
      <c r="J28" s="47"/>
      <c r="K28" s="47"/>
    </row>
    <row r="29" spans="1:11" s="31" customFormat="1" ht="12" customHeight="1" x14ac:dyDescent="0.2">
      <c r="A29" s="40" t="s">
        <v>55</v>
      </c>
      <c r="B29" s="41" t="s">
        <v>56</v>
      </c>
      <c r="C29" s="42"/>
      <c r="D29" s="43"/>
      <c r="E29" s="44"/>
      <c r="F29" s="45"/>
      <c r="G29" s="45"/>
      <c r="H29" s="46">
        <f>'[1]1.1.sz.mell. '!C31</f>
        <v>0</v>
      </c>
      <c r="I29" s="65"/>
      <c r="J29" s="47"/>
      <c r="K29" s="47"/>
    </row>
    <row r="30" spans="1:11" s="31" customFormat="1" ht="12" customHeight="1" x14ac:dyDescent="0.2">
      <c r="A30" s="40" t="s">
        <v>57</v>
      </c>
      <c r="B30" s="41" t="s">
        <v>58</v>
      </c>
      <c r="C30" s="42">
        <v>656538089</v>
      </c>
      <c r="D30" s="43">
        <v>248777064</v>
      </c>
      <c r="E30" s="44">
        <f>3797300-15179276</f>
        <v>-11381976</v>
      </c>
      <c r="F30" s="45"/>
      <c r="G30" s="45"/>
      <c r="H30" s="46">
        <f>'[1]1.1.sz.mell. '!C32</f>
        <v>189408354</v>
      </c>
      <c r="I30" s="65">
        <f>5596040+25377271+3487179+47949076</f>
        <v>82409566</v>
      </c>
      <c r="J30" s="47"/>
      <c r="K30" s="47"/>
    </row>
    <row r="31" spans="1:11" s="31" customFormat="1" ht="12" customHeight="1" thickBot="1" x14ac:dyDescent="0.25">
      <c r="A31" s="49" t="s">
        <v>59</v>
      </c>
      <c r="B31" s="77" t="s">
        <v>60</v>
      </c>
      <c r="C31" s="51">
        <v>647953089</v>
      </c>
      <c r="D31" s="52">
        <v>239136377</v>
      </c>
      <c r="E31" s="66">
        <v>3797300</v>
      </c>
      <c r="F31" s="67"/>
      <c r="G31" s="67"/>
      <c r="H31" s="55">
        <f>'[1]1.1.sz.mell. '!C33</f>
        <v>80423773</v>
      </c>
      <c r="I31" s="68">
        <f>5596040+25377271+3487179+47949076</f>
        <v>82409566</v>
      </c>
      <c r="J31" s="69"/>
      <c r="K31" s="69"/>
    </row>
    <row r="32" spans="1:11" s="31" customFormat="1" ht="12" customHeight="1" thickBot="1" x14ac:dyDescent="0.25">
      <c r="A32" s="25" t="s">
        <v>61</v>
      </c>
      <c r="B32" s="26" t="s">
        <v>62</v>
      </c>
      <c r="C32" s="59">
        <f>C33+C36+C37+C38+C39</f>
        <v>470233739</v>
      </c>
      <c r="D32" s="60">
        <f>D33+D36+D37+D38+D39</f>
        <v>318511494</v>
      </c>
      <c r="E32" s="78">
        <f>+E33+E37+E38+E39</f>
        <v>329390000</v>
      </c>
      <c r="F32" s="79">
        <f>+F33+F37+F38+F39</f>
        <v>0</v>
      </c>
      <c r="G32" s="79">
        <f>+G33+G37+G38+G39</f>
        <v>0</v>
      </c>
      <c r="H32" s="29">
        <f>'[1]1.1.sz.mell. '!C34</f>
        <v>398600000</v>
      </c>
      <c r="I32" s="80">
        <f>+I33+I37+I38+I39</f>
        <v>481500000</v>
      </c>
      <c r="J32" s="81">
        <f>+J33+J37+J38+J39</f>
        <v>0</v>
      </c>
      <c r="K32" s="81">
        <f>+K33+K37+K38+K39</f>
        <v>0</v>
      </c>
    </row>
    <row r="33" spans="1:11" s="31" customFormat="1" ht="12" customHeight="1" x14ac:dyDescent="0.2">
      <c r="A33" s="32" t="s">
        <v>63</v>
      </c>
      <c r="B33" s="33" t="s">
        <v>64</v>
      </c>
      <c r="C33" s="82">
        <f>SUM(C34:C35)</f>
        <v>424778074</v>
      </c>
      <c r="D33" s="83">
        <f>SUM(D34:D35)</f>
        <v>306301683</v>
      </c>
      <c r="E33" s="84">
        <f>SUM(E34:E36)</f>
        <v>292830000</v>
      </c>
      <c r="F33" s="85"/>
      <c r="G33" s="85"/>
      <c r="H33" s="38">
        <f>'[1]1.1.sz.mell. '!C35</f>
        <v>385080000</v>
      </c>
      <c r="I33" s="86">
        <f>SUM(I34:I35)</f>
        <v>430000000</v>
      </c>
      <c r="J33" s="86">
        <f>SUM(J34:J35)</f>
        <v>0</v>
      </c>
      <c r="K33" s="86">
        <f>SUM(K34:K35)</f>
        <v>0</v>
      </c>
    </row>
    <row r="34" spans="1:11" s="31" customFormat="1" ht="12" customHeight="1" x14ac:dyDescent="0.2">
      <c r="A34" s="40" t="s">
        <v>65</v>
      </c>
      <c r="B34" s="41" t="s">
        <v>66</v>
      </c>
      <c r="C34" s="42">
        <v>81767339</v>
      </c>
      <c r="D34" s="43">
        <v>83640757</v>
      </c>
      <c r="E34" s="53">
        <f>8990000+70000000</f>
        <v>78990000</v>
      </c>
      <c r="F34" s="54"/>
      <c r="G34" s="54"/>
      <c r="H34" s="46">
        <f>'[1]1.1.sz.mell. '!C36</f>
        <v>88280000</v>
      </c>
      <c r="I34" s="56">
        <f>80000000+9000000</f>
        <v>89000000</v>
      </c>
      <c r="J34" s="57"/>
      <c r="K34" s="57"/>
    </row>
    <row r="35" spans="1:11" s="31" customFormat="1" ht="12" customHeight="1" x14ac:dyDescent="0.2">
      <c r="A35" s="40" t="s">
        <v>67</v>
      </c>
      <c r="B35" s="87" t="s">
        <v>68</v>
      </c>
      <c r="C35" s="42">
        <v>343010735</v>
      </c>
      <c r="D35" s="43">
        <v>222660926</v>
      </c>
      <c r="E35" s="53">
        <f>203840000+10000000</f>
        <v>213840000</v>
      </c>
      <c r="F35" s="54"/>
      <c r="G35" s="54"/>
      <c r="H35" s="88">
        <f>'[1]1.1.sz.mell. '!C37</f>
        <v>296800000</v>
      </c>
      <c r="I35" s="56">
        <f>341000000</f>
        <v>341000000</v>
      </c>
      <c r="J35" s="57"/>
      <c r="K35" s="57"/>
    </row>
    <row r="36" spans="1:11" s="31" customFormat="1" ht="12" customHeight="1" x14ac:dyDescent="0.2">
      <c r="A36" s="40" t="s">
        <v>69</v>
      </c>
      <c r="B36" s="41" t="s">
        <v>70</v>
      </c>
      <c r="C36" s="42">
        <v>39072</v>
      </c>
      <c r="D36" s="43">
        <v>914</v>
      </c>
      <c r="E36" s="44"/>
      <c r="F36" s="45"/>
      <c r="G36" s="45"/>
      <c r="H36" s="88">
        <f>'[1]1.1.sz.mell. '!C38</f>
        <v>0</v>
      </c>
      <c r="I36" s="65"/>
      <c r="J36" s="47"/>
      <c r="K36" s="47"/>
    </row>
    <row r="37" spans="1:11" s="31" customFormat="1" ht="12" customHeight="1" x14ac:dyDescent="0.2">
      <c r="A37" s="40" t="s">
        <v>71</v>
      </c>
      <c r="B37" s="41" t="s">
        <v>72</v>
      </c>
      <c r="C37" s="42">
        <v>31727403</v>
      </c>
      <c r="D37" s="43">
        <v>0</v>
      </c>
      <c r="E37" s="53">
        <f>27000000</f>
        <v>27000000</v>
      </c>
      <c r="F37" s="54"/>
      <c r="G37" s="54"/>
      <c r="H37" s="88">
        <v>0</v>
      </c>
      <c r="I37" s="56">
        <f>35000000</f>
        <v>35000000</v>
      </c>
      <c r="J37" s="57"/>
      <c r="K37" s="57"/>
    </row>
    <row r="38" spans="1:11" s="31" customFormat="1" ht="12" customHeight="1" x14ac:dyDescent="0.2">
      <c r="A38" s="40" t="s">
        <v>73</v>
      </c>
      <c r="B38" s="41" t="s">
        <v>74</v>
      </c>
      <c r="C38" s="42">
        <v>158400</v>
      </c>
      <c r="D38" s="43">
        <v>194100</v>
      </c>
      <c r="E38" s="53">
        <v>4060000</v>
      </c>
      <c r="F38" s="54"/>
      <c r="G38" s="54"/>
      <c r="H38" s="88">
        <f>'[1]1.1.sz.mell. '!C39</f>
        <v>0</v>
      </c>
      <c r="I38" s="56"/>
      <c r="J38" s="57"/>
      <c r="K38" s="57"/>
    </row>
    <row r="39" spans="1:11" s="31" customFormat="1" ht="12" customHeight="1" thickBot="1" x14ac:dyDescent="0.25">
      <c r="A39" s="49" t="s">
        <v>75</v>
      </c>
      <c r="B39" s="77" t="s">
        <v>76</v>
      </c>
      <c r="C39" s="51">
        <v>13530790</v>
      </c>
      <c r="D39" s="52">
        <v>12014797</v>
      </c>
      <c r="E39" s="66">
        <v>5500000</v>
      </c>
      <c r="F39" s="67"/>
      <c r="G39" s="67"/>
      <c r="H39" s="55">
        <f>'[1]1.1.sz.mell. '!C40</f>
        <v>13520000</v>
      </c>
      <c r="I39" s="68">
        <f>6000000+4000000+2500000+500000+3500000</f>
        <v>16500000</v>
      </c>
      <c r="J39" s="69"/>
      <c r="K39" s="69"/>
    </row>
    <row r="40" spans="1:11" s="31" customFormat="1" ht="12" customHeight="1" thickBot="1" x14ac:dyDescent="0.25">
      <c r="A40" s="25" t="s">
        <v>77</v>
      </c>
      <c r="B40" s="26" t="s">
        <v>78</v>
      </c>
      <c r="C40" s="59">
        <f>SUM(C41:C51)</f>
        <v>314593205</v>
      </c>
      <c r="D40" s="60">
        <f>SUM(D41:D51)</f>
        <v>334062033</v>
      </c>
      <c r="E40" s="27">
        <f>SUM(E41:E51)</f>
        <v>54395907</v>
      </c>
      <c r="F40" s="28">
        <f>SUM(F41:F51)</f>
        <v>9416500</v>
      </c>
      <c r="G40" s="28">
        <f>SUM(G41:G51)</f>
        <v>385266178</v>
      </c>
      <c r="H40" s="29">
        <f>'[1]1.1.sz.mell. '!C41</f>
        <v>364458308</v>
      </c>
      <c r="I40" s="30">
        <f>SUM(I41:I51)</f>
        <v>64295778</v>
      </c>
      <c r="J40" s="29">
        <f>SUM(J41:J51)</f>
        <v>8150828</v>
      </c>
      <c r="K40" s="29">
        <f>SUM(K41:K51)</f>
        <v>266151972</v>
      </c>
    </row>
    <row r="41" spans="1:11" s="31" customFormat="1" ht="12" customHeight="1" x14ac:dyDescent="0.2">
      <c r="A41" s="32" t="s">
        <v>79</v>
      </c>
      <c r="B41" s="33" t="s">
        <v>80</v>
      </c>
      <c r="C41" s="34">
        <v>8179095</v>
      </c>
      <c r="D41" s="35">
        <v>8209247</v>
      </c>
      <c r="E41" s="36">
        <f>3937000+4000000+5000000-2941522</f>
        <v>9995478</v>
      </c>
      <c r="F41" s="37"/>
      <c r="G41" s="37">
        <v>150000</v>
      </c>
      <c r="H41" s="38">
        <f>'[1]1.1.sz.mell. '!C42</f>
        <v>0</v>
      </c>
      <c r="I41" s="72">
        <f>7385026+10000+10375680</f>
        <v>17770706</v>
      </c>
      <c r="J41" s="39"/>
      <c r="K41" s="39">
        <v>20000</v>
      </c>
    </row>
    <row r="42" spans="1:11" s="31" customFormat="1" ht="12" customHeight="1" x14ac:dyDescent="0.2">
      <c r="A42" s="40" t="s">
        <v>81</v>
      </c>
      <c r="B42" s="41" t="s">
        <v>82</v>
      </c>
      <c r="C42" s="42">
        <v>77258808</v>
      </c>
      <c r="D42" s="43">
        <v>69205220</v>
      </c>
      <c r="E42" s="44">
        <f>100000+12004000+160000+7128864</f>
        <v>19392864</v>
      </c>
      <c r="F42" s="45">
        <v>7533500</v>
      </c>
      <c r="G42" s="37">
        <v>68193838</v>
      </c>
      <c r="H42" s="46">
        <f>'[1]1.1.sz.mell. '!C43</f>
        <v>70238454</v>
      </c>
      <c r="I42" s="65">
        <f>15901900+787402+500000</f>
        <v>17189302</v>
      </c>
      <c r="J42" s="47">
        <f>4000000+1241400+372638</f>
        <v>5614038</v>
      </c>
      <c r="K42" s="39">
        <f>32107480+8820000+616000+13688512</f>
        <v>55231992</v>
      </c>
    </row>
    <row r="43" spans="1:11" s="31" customFormat="1" ht="12" customHeight="1" x14ac:dyDescent="0.2">
      <c r="A43" s="40" t="s">
        <v>83</v>
      </c>
      <c r="B43" s="41" t="s">
        <v>84</v>
      </c>
      <c r="C43" s="42">
        <v>17781177</v>
      </c>
      <c r="D43" s="43">
        <v>17680191</v>
      </c>
      <c r="E43" s="44">
        <f>8458000+947000</f>
        <v>9405000</v>
      </c>
      <c r="F43" s="45">
        <v>500000</v>
      </c>
      <c r="G43" s="37">
        <v>85718340</v>
      </c>
      <c r="H43" s="46">
        <f>'[1]1.1.sz.mell. '!C44</f>
        <v>28440392</v>
      </c>
      <c r="I43" s="65">
        <f>20000+6000000+700000+1000000+1109692</f>
        <v>8829692</v>
      </c>
      <c r="J43" s="47">
        <f>300000</f>
        <v>300000</v>
      </c>
      <c r="K43" s="39">
        <f>1586000+50000+4200000+12700000</f>
        <v>18536000</v>
      </c>
    </row>
    <row r="44" spans="1:11" s="31" customFormat="1" ht="12" customHeight="1" x14ac:dyDescent="0.2">
      <c r="A44" s="40" t="s">
        <v>85</v>
      </c>
      <c r="B44" s="41" t="s">
        <v>86</v>
      </c>
      <c r="C44" s="42">
        <v>965935</v>
      </c>
      <c r="D44" s="43">
        <v>3774152</v>
      </c>
      <c r="E44" s="44">
        <f>430000</f>
        <v>430000</v>
      </c>
      <c r="F44" s="45"/>
      <c r="G44" s="37"/>
      <c r="H44" s="46">
        <f>'[1]1.1.sz.mell. '!C45</f>
        <v>3743473</v>
      </c>
      <c r="I44" s="65">
        <f>440000+300000</f>
        <v>740000</v>
      </c>
      <c r="J44" s="47"/>
      <c r="K44" s="39"/>
    </row>
    <row r="45" spans="1:11" s="31" customFormat="1" ht="12" customHeight="1" x14ac:dyDescent="0.2">
      <c r="A45" s="40" t="s">
        <v>87</v>
      </c>
      <c r="B45" s="41" t="s">
        <v>88</v>
      </c>
      <c r="C45" s="42">
        <v>175322036</v>
      </c>
      <c r="D45" s="43">
        <v>176293968</v>
      </c>
      <c r="E45" s="44"/>
      <c r="F45" s="45"/>
      <c r="G45" s="37">
        <f>182811402-4572000</f>
        <v>178239402</v>
      </c>
      <c r="H45" s="46">
        <f>'[1]1.1.sz.mell. '!C46</f>
        <v>199444919</v>
      </c>
      <c r="I45" s="65"/>
      <c r="J45" s="47"/>
      <c r="K45" s="39">
        <f>17535396+708995+862330+152500000</f>
        <v>171606721</v>
      </c>
    </row>
    <row r="46" spans="1:11" s="31" customFormat="1" ht="12" customHeight="1" x14ac:dyDescent="0.2">
      <c r="A46" s="40" t="s">
        <v>89</v>
      </c>
      <c r="B46" s="41" t="s">
        <v>90</v>
      </c>
      <c r="C46" s="42">
        <v>21427421</v>
      </c>
      <c r="D46" s="43">
        <v>20117811</v>
      </c>
      <c r="E46" s="44">
        <f>1063000+3242000+5853000+44000+378000+600000+1350000+1408565</f>
        <v>13938565</v>
      </c>
      <c r="F46" s="45">
        <v>1283000</v>
      </c>
      <c r="G46" s="37">
        <v>31920598</v>
      </c>
      <c r="H46" s="46">
        <f>'[1]1.1.sz.mell. '!C47</f>
        <v>24007648</v>
      </c>
      <c r="I46" s="65">
        <f>5400+1993957+12052638+212598+189000+2801434+333450+135000</f>
        <v>17723477</v>
      </c>
      <c r="J46" s="47">
        <f>1161000+335178+100612</f>
        <v>1596790</v>
      </c>
      <c r="K46" s="39">
        <f>4914377+191429+869400+1533149+4814904</f>
        <v>12323259</v>
      </c>
    </row>
    <row r="47" spans="1:11" s="31" customFormat="1" ht="12" customHeight="1" x14ac:dyDescent="0.2">
      <c r="A47" s="40" t="s">
        <v>91</v>
      </c>
      <c r="B47" s="41" t="s">
        <v>92</v>
      </c>
      <c r="C47" s="42">
        <v>7222000</v>
      </c>
      <c r="D47" s="43">
        <v>2550000</v>
      </c>
      <c r="E47" s="44"/>
      <c r="F47" s="45"/>
      <c r="G47" s="37">
        <v>21034000</v>
      </c>
      <c r="H47" s="46">
        <f>'[1]1.1.sz.mell. '!C48</f>
        <v>35961645</v>
      </c>
      <c r="I47" s="65"/>
      <c r="J47" s="47"/>
      <c r="K47" s="39">
        <f>7614000+650000+169000</f>
        <v>8433000</v>
      </c>
    </row>
    <row r="48" spans="1:11" s="31" customFormat="1" ht="12" customHeight="1" x14ac:dyDescent="0.2">
      <c r="A48" s="40" t="s">
        <v>93</v>
      </c>
      <c r="B48" s="41" t="s">
        <v>94</v>
      </c>
      <c r="C48" s="42">
        <v>167</v>
      </c>
      <c r="D48" s="43">
        <v>153</v>
      </c>
      <c r="E48" s="44">
        <v>30000</v>
      </c>
      <c r="F48" s="45"/>
      <c r="G48" s="37">
        <v>10000</v>
      </c>
      <c r="H48" s="46">
        <f>'[1]1.1.sz.mell. '!C49</f>
        <v>0</v>
      </c>
      <c r="I48" s="65"/>
      <c r="J48" s="47"/>
      <c r="K48" s="39"/>
    </row>
    <row r="49" spans="1:11" s="31" customFormat="1" ht="12" customHeight="1" x14ac:dyDescent="0.2">
      <c r="A49" s="40" t="s">
        <v>95</v>
      </c>
      <c r="B49" s="41" t="s">
        <v>96</v>
      </c>
      <c r="C49" s="42"/>
      <c r="D49" s="43"/>
      <c r="E49" s="44"/>
      <c r="F49" s="45"/>
      <c r="G49" s="37"/>
      <c r="H49" s="46">
        <f>'[1]1.1.sz.mell. '!C50</f>
        <v>0</v>
      </c>
      <c r="I49" s="65"/>
      <c r="J49" s="47"/>
      <c r="K49" s="39"/>
    </row>
    <row r="50" spans="1:11" s="31" customFormat="1" ht="12" customHeight="1" x14ac:dyDescent="0.2">
      <c r="A50" s="49" t="s">
        <v>97</v>
      </c>
      <c r="B50" s="77" t="s">
        <v>98</v>
      </c>
      <c r="C50" s="42">
        <v>1209667</v>
      </c>
      <c r="D50" s="43">
        <v>1278624</v>
      </c>
      <c r="E50" s="66">
        <f>500000</f>
        <v>500000</v>
      </c>
      <c r="F50" s="67"/>
      <c r="G50" s="37"/>
      <c r="H50" s="46">
        <f>'[1]1.1.sz.mell. '!C51</f>
        <v>1000000</v>
      </c>
      <c r="I50" s="68">
        <f>500000</f>
        <v>500000</v>
      </c>
      <c r="J50" s="69"/>
      <c r="K50" s="39"/>
    </row>
    <row r="51" spans="1:11" s="31" customFormat="1" ht="12" customHeight="1" thickBot="1" x14ac:dyDescent="0.25">
      <c r="A51" s="49" t="s">
        <v>99</v>
      </c>
      <c r="B51" s="50" t="s">
        <v>100</v>
      </c>
      <c r="C51" s="51">
        <v>5226899</v>
      </c>
      <c r="D51" s="52">
        <v>34952667</v>
      </c>
      <c r="E51" s="66">
        <f>704000</f>
        <v>704000</v>
      </c>
      <c r="F51" s="67">
        <v>100000</v>
      </c>
      <c r="G51" s="37"/>
      <c r="H51" s="55">
        <f>'[1]1.1.sz.mell. '!C52</f>
        <v>1621777</v>
      </c>
      <c r="I51" s="68">
        <f>507601+335000+700000</f>
        <v>1542601</v>
      </c>
      <c r="J51" s="69">
        <f>640000</f>
        <v>640000</v>
      </c>
      <c r="K51" s="39">
        <v>1000</v>
      </c>
    </row>
    <row r="52" spans="1:11" s="31" customFormat="1" ht="12" customHeight="1" thickBot="1" x14ac:dyDescent="0.25">
      <c r="A52" s="25" t="s">
        <v>101</v>
      </c>
      <c r="B52" s="26" t="s">
        <v>102</v>
      </c>
      <c r="C52" s="59">
        <f>SUM(C53:C57)</f>
        <v>5525134</v>
      </c>
      <c r="D52" s="60">
        <f>SUM(D53:D57)</f>
        <v>8433198</v>
      </c>
      <c r="E52" s="27">
        <f>SUM(E53:E57)</f>
        <v>25179000</v>
      </c>
      <c r="F52" s="28">
        <f>SUM(F53:F57)</f>
        <v>0</v>
      </c>
      <c r="G52" s="28">
        <f>SUM(G53:G57)</f>
        <v>0</v>
      </c>
      <c r="H52" s="29">
        <f>'[1]1.1.sz.mell. '!C53</f>
        <v>63000000</v>
      </c>
      <c r="I52" s="30">
        <f>SUM(I53:I57)</f>
        <v>21787500</v>
      </c>
      <c r="J52" s="29">
        <f>SUM(J53:J57)</f>
        <v>300000</v>
      </c>
      <c r="K52" s="29">
        <f>SUM(K53:K57)</f>
        <v>0</v>
      </c>
    </row>
    <row r="53" spans="1:11" s="31" customFormat="1" ht="12" customHeight="1" x14ac:dyDescent="0.2">
      <c r="A53" s="32" t="s">
        <v>103</v>
      </c>
      <c r="B53" s="33" t="s">
        <v>104</v>
      </c>
      <c r="C53" s="89"/>
      <c r="D53" s="90"/>
      <c r="E53" s="36"/>
      <c r="F53" s="37"/>
      <c r="G53" s="37"/>
      <c r="H53" s="91">
        <f>'[1]1.1.sz.mell. '!C54</f>
        <v>0</v>
      </c>
      <c r="I53" s="72"/>
      <c r="J53" s="39"/>
      <c r="K53" s="39"/>
    </row>
    <row r="54" spans="1:11" s="31" customFormat="1" ht="12" customHeight="1" x14ac:dyDescent="0.2">
      <c r="A54" s="40" t="s">
        <v>105</v>
      </c>
      <c r="B54" s="41" t="s">
        <v>106</v>
      </c>
      <c r="C54" s="42">
        <v>5202984</v>
      </c>
      <c r="D54" s="43">
        <v>8058657</v>
      </c>
      <c r="E54" s="44">
        <f>25179000</f>
        <v>25179000</v>
      </c>
      <c r="F54" s="45"/>
      <c r="G54" s="45"/>
      <c r="H54" s="46">
        <f>'[1]1.1.sz.mell. '!C55</f>
        <v>63000000</v>
      </c>
      <c r="I54" s="65">
        <f>21787500</f>
        <v>21787500</v>
      </c>
      <c r="J54" s="47"/>
      <c r="K54" s="47"/>
    </row>
    <row r="55" spans="1:11" s="31" customFormat="1" ht="12" customHeight="1" x14ac:dyDescent="0.2">
      <c r="A55" s="40" t="s">
        <v>107</v>
      </c>
      <c r="B55" s="41" t="s">
        <v>108</v>
      </c>
      <c r="C55" s="42">
        <v>177050</v>
      </c>
      <c r="D55" s="43">
        <v>44541</v>
      </c>
      <c r="E55" s="44"/>
      <c r="F55" s="45"/>
      <c r="G55" s="45"/>
      <c r="H55" s="46">
        <f>'[1]1.1.sz.mell. '!C56</f>
        <v>0</v>
      </c>
      <c r="I55" s="65"/>
      <c r="J55" s="47">
        <f>300000</f>
        <v>300000</v>
      </c>
      <c r="K55" s="47"/>
    </row>
    <row r="56" spans="1:11" s="31" customFormat="1" ht="12" customHeight="1" x14ac:dyDescent="0.2">
      <c r="A56" s="40" t="s">
        <v>109</v>
      </c>
      <c r="B56" s="41" t="s">
        <v>110</v>
      </c>
      <c r="C56" s="42"/>
      <c r="D56" s="43"/>
      <c r="E56" s="44"/>
      <c r="F56" s="45"/>
      <c r="G56" s="45"/>
      <c r="H56" s="46">
        <f>'[1]1.1.sz.mell. '!C57</f>
        <v>0</v>
      </c>
      <c r="I56" s="65"/>
      <c r="J56" s="47"/>
      <c r="K56" s="47"/>
    </row>
    <row r="57" spans="1:11" s="31" customFormat="1" ht="12" customHeight="1" thickBot="1" x14ac:dyDescent="0.25">
      <c r="A57" s="49" t="s">
        <v>111</v>
      </c>
      <c r="B57" s="50" t="s">
        <v>112</v>
      </c>
      <c r="C57" s="51">
        <v>145100</v>
      </c>
      <c r="D57" s="52">
        <v>330000</v>
      </c>
      <c r="E57" s="66"/>
      <c r="F57" s="67"/>
      <c r="G57" s="67"/>
      <c r="H57" s="92">
        <f>'[1]1.1.sz.mell. '!C58</f>
        <v>0</v>
      </c>
      <c r="I57" s="68"/>
      <c r="J57" s="69"/>
      <c r="K57" s="69"/>
    </row>
    <row r="58" spans="1:11" s="31" customFormat="1" ht="12" customHeight="1" thickBot="1" x14ac:dyDescent="0.25">
      <c r="A58" s="25" t="s">
        <v>113</v>
      </c>
      <c r="B58" s="26" t="s">
        <v>114</v>
      </c>
      <c r="C58" s="59">
        <f>SUM(C59:C61)</f>
        <v>18124157</v>
      </c>
      <c r="D58" s="60">
        <f>SUM(D59:D61)</f>
        <v>2494416</v>
      </c>
      <c r="E58" s="27">
        <f>SUM(E59:E61)</f>
        <v>6164433</v>
      </c>
      <c r="F58" s="28">
        <f>SUM(F59:F61)</f>
        <v>0</v>
      </c>
      <c r="G58" s="28">
        <f>SUM(G59:G61)</f>
        <v>0</v>
      </c>
      <c r="H58" s="93">
        <f>'[1]1.1.sz.mell. '!C59</f>
        <v>1200000</v>
      </c>
      <c r="I58" s="30">
        <f>SUM(I59:I61)</f>
        <v>1430000</v>
      </c>
      <c r="J58" s="29">
        <f>SUM(J59:J61)</f>
        <v>0</v>
      </c>
      <c r="K58" s="29">
        <f>SUM(K59:K61)</f>
        <v>0</v>
      </c>
    </row>
    <row r="59" spans="1:11" s="31" customFormat="1" ht="12" customHeight="1" x14ac:dyDescent="0.2">
      <c r="A59" s="32" t="s">
        <v>115</v>
      </c>
      <c r="B59" s="33" t="s">
        <v>116</v>
      </c>
      <c r="C59" s="94"/>
      <c r="D59" s="95"/>
      <c r="E59" s="61"/>
      <c r="F59" s="62"/>
      <c r="G59" s="62"/>
      <c r="H59" s="96">
        <f>'[1]1.1.sz.mell. '!C60</f>
        <v>0</v>
      </c>
      <c r="I59" s="63"/>
      <c r="J59" s="64"/>
      <c r="K59" s="64"/>
    </row>
    <row r="60" spans="1:11" s="31" customFormat="1" ht="12" customHeight="1" x14ac:dyDescent="0.2">
      <c r="A60" s="40" t="s">
        <v>117</v>
      </c>
      <c r="B60" s="41" t="s">
        <v>118</v>
      </c>
      <c r="C60" s="42">
        <v>15332864</v>
      </c>
      <c r="D60" s="43">
        <v>540368</v>
      </c>
      <c r="E60" s="44">
        <f>383000+1566000</f>
        <v>1949000</v>
      </c>
      <c r="F60" s="45"/>
      <c r="G60" s="45"/>
      <c r="H60" s="46">
        <f>'[1]1.1.sz.mell. '!C61</f>
        <v>200000</v>
      </c>
      <c r="I60" s="65">
        <f>480000</f>
        <v>480000</v>
      </c>
      <c r="J60" s="47"/>
      <c r="K60" s="47"/>
    </row>
    <row r="61" spans="1:11" s="31" customFormat="1" ht="12" customHeight="1" x14ac:dyDescent="0.2">
      <c r="A61" s="40" t="s">
        <v>119</v>
      </c>
      <c r="B61" s="41" t="s">
        <v>120</v>
      </c>
      <c r="C61" s="42">
        <v>2791293</v>
      </c>
      <c r="D61" s="43">
        <v>1954048</v>
      </c>
      <c r="E61" s="44">
        <f>4075000+140433</f>
        <v>4215433</v>
      </c>
      <c r="F61" s="45"/>
      <c r="G61" s="45"/>
      <c r="H61" s="46">
        <f>'[1]1.1.sz.mell. '!C62</f>
        <v>1000000</v>
      </c>
      <c r="I61" s="65">
        <f>950000</f>
        <v>950000</v>
      </c>
      <c r="J61" s="47"/>
      <c r="K61" s="47"/>
    </row>
    <row r="62" spans="1:11" s="31" customFormat="1" ht="12" customHeight="1" thickBot="1" x14ac:dyDescent="0.25">
      <c r="A62" s="49" t="s">
        <v>121</v>
      </c>
      <c r="B62" s="50" t="s">
        <v>122</v>
      </c>
      <c r="C62" s="51"/>
      <c r="D62" s="52"/>
      <c r="E62" s="97"/>
      <c r="F62" s="98"/>
      <c r="G62" s="98"/>
      <c r="H62" s="55">
        <f>'[1]1.1.sz.mell. '!C63</f>
        <v>0</v>
      </c>
      <c r="I62" s="99"/>
      <c r="J62" s="100"/>
      <c r="K62" s="100"/>
    </row>
    <row r="63" spans="1:11" s="31" customFormat="1" ht="12" customHeight="1" thickBot="1" x14ac:dyDescent="0.25">
      <c r="A63" s="25" t="s">
        <v>123</v>
      </c>
      <c r="B63" s="58" t="s">
        <v>124</v>
      </c>
      <c r="C63" s="59">
        <f>SUM(C64:C66)</f>
        <v>0</v>
      </c>
      <c r="D63" s="60">
        <f>SUM(D64:D66)</f>
        <v>11510400</v>
      </c>
      <c r="E63" s="27">
        <f>SUM(E64:E66)</f>
        <v>0</v>
      </c>
      <c r="F63" s="28">
        <f>SUM(F64:F66)</f>
        <v>0</v>
      </c>
      <c r="G63" s="28">
        <f>SUM(G64:G66)</f>
        <v>0</v>
      </c>
      <c r="H63" s="29">
        <f>'[1]1.1.sz.mell. '!C64</f>
        <v>0</v>
      </c>
      <c r="I63" s="30">
        <f>SUM(I64:I66)</f>
        <v>0</v>
      </c>
      <c r="J63" s="29">
        <f>SUM(J64:J66)</f>
        <v>0</v>
      </c>
      <c r="K63" s="29">
        <f>SUM(K64:K66)</f>
        <v>0</v>
      </c>
    </row>
    <row r="64" spans="1:11" s="31" customFormat="1" ht="12" customHeight="1" x14ac:dyDescent="0.2">
      <c r="A64" s="32" t="s">
        <v>125</v>
      </c>
      <c r="B64" s="33" t="s">
        <v>126</v>
      </c>
      <c r="C64" s="89"/>
      <c r="D64" s="90"/>
      <c r="E64" s="44"/>
      <c r="F64" s="45"/>
      <c r="G64" s="45"/>
      <c r="H64" s="91">
        <f>'[1]1.1.sz.mell. '!C65</f>
        <v>0</v>
      </c>
      <c r="I64" s="65"/>
      <c r="J64" s="47"/>
      <c r="K64" s="47"/>
    </row>
    <row r="65" spans="1:11" s="31" customFormat="1" ht="12" customHeight="1" x14ac:dyDescent="0.2">
      <c r="A65" s="40" t="s">
        <v>127</v>
      </c>
      <c r="B65" s="41" t="s">
        <v>128</v>
      </c>
      <c r="C65" s="74"/>
      <c r="D65" s="75"/>
      <c r="E65" s="44"/>
      <c r="F65" s="45"/>
      <c r="G65" s="45"/>
      <c r="H65" s="76">
        <f>'[1]1.1.sz.mell. '!C66</f>
        <v>0</v>
      </c>
      <c r="I65" s="65"/>
      <c r="J65" s="47"/>
      <c r="K65" s="47"/>
    </row>
    <row r="66" spans="1:11" s="31" customFormat="1" ht="12" customHeight="1" x14ac:dyDescent="0.2">
      <c r="A66" s="40" t="s">
        <v>129</v>
      </c>
      <c r="B66" s="41" t="s">
        <v>130</v>
      </c>
      <c r="C66" s="74"/>
      <c r="D66" s="75">
        <v>11510400</v>
      </c>
      <c r="E66" s="44"/>
      <c r="F66" s="45"/>
      <c r="G66" s="45"/>
      <c r="H66" s="76">
        <f>'[1]1.1.sz.mell. '!C67</f>
        <v>0</v>
      </c>
      <c r="I66" s="65"/>
      <c r="J66" s="47"/>
      <c r="K66" s="47"/>
    </row>
    <row r="67" spans="1:11" s="31" customFormat="1" ht="12" customHeight="1" thickBot="1" x14ac:dyDescent="0.25">
      <c r="A67" s="49" t="s">
        <v>131</v>
      </c>
      <c r="B67" s="50" t="s">
        <v>132</v>
      </c>
      <c r="C67" s="101"/>
      <c r="D67" s="102">
        <v>5060400</v>
      </c>
      <c r="E67" s="44"/>
      <c r="F67" s="45"/>
      <c r="G67" s="45"/>
      <c r="H67" s="92">
        <f>'[1]1.1.sz.mell. '!C68</f>
        <v>0</v>
      </c>
      <c r="I67" s="65"/>
      <c r="J67" s="47"/>
      <c r="K67" s="47"/>
    </row>
    <row r="68" spans="1:11" s="31" customFormat="1" ht="12" customHeight="1" thickBot="1" x14ac:dyDescent="0.25">
      <c r="A68" s="103" t="s">
        <v>133</v>
      </c>
      <c r="B68" s="26" t="s">
        <v>134</v>
      </c>
      <c r="C68" s="20">
        <f>C9+C18+C25+C32+C40+C52+C58+C63</f>
        <v>3345215538</v>
      </c>
      <c r="D68" s="27">
        <f>D9+D18+D25+D32+D40+D52+D58+D63</f>
        <v>2561106428</v>
      </c>
      <c r="E68" s="78">
        <f>+E9+E18+E25+E32+E40+E52+E58+E63</f>
        <v>1391439714</v>
      </c>
      <c r="F68" s="79">
        <f>+F9+F18+F25+F32+F40+F52+F58+F63</f>
        <v>9416500</v>
      </c>
      <c r="G68" s="79">
        <f>+G9+G18+G25+G32+G40+G52+G58+G63</f>
        <v>390751178</v>
      </c>
      <c r="H68" s="29">
        <f>'[1]1.1.sz.mell. '!C69</f>
        <v>2958996769</v>
      </c>
      <c r="I68" s="80">
        <f>+I9+I18+I25+I32+I40+I52+I58+I63</f>
        <v>2315958967</v>
      </c>
      <c r="J68" s="81">
        <f>+J9+J18+J25+J32+J40+J52+J58+J63</f>
        <v>8450828</v>
      </c>
      <c r="K68" s="81">
        <f>+K9+K18+K25+K32+K40+K52+K58+K63</f>
        <v>288906915</v>
      </c>
    </row>
    <row r="69" spans="1:11" s="31" customFormat="1" ht="12" customHeight="1" thickBot="1" x14ac:dyDescent="0.25">
      <c r="A69" s="104" t="s">
        <v>135</v>
      </c>
      <c r="B69" s="58" t="s">
        <v>136</v>
      </c>
      <c r="C69" s="20">
        <f>SUM(C70:C72)</f>
        <v>30020437</v>
      </c>
      <c r="D69" s="27">
        <f>SUM(D70:D72)</f>
        <v>842474481</v>
      </c>
      <c r="E69" s="27">
        <f>SUM(E70:E72)</f>
        <v>144100000</v>
      </c>
      <c r="F69" s="28">
        <f>SUM(F70:F72)</f>
        <v>0</v>
      </c>
      <c r="G69" s="28">
        <f>SUM(G70:G72)</f>
        <v>0</v>
      </c>
      <c r="H69" s="29">
        <f>'[1]1.1.sz.mell. '!C70</f>
        <v>868562529</v>
      </c>
      <c r="I69" s="30">
        <f>SUM(I70:I72)</f>
        <v>169269106</v>
      </c>
      <c r="J69" s="29">
        <f>SUM(J70:J72)</f>
        <v>0</v>
      </c>
      <c r="K69" s="29">
        <f>SUM(K70:K72)</f>
        <v>0</v>
      </c>
    </row>
    <row r="70" spans="1:11" s="31" customFormat="1" ht="12" customHeight="1" x14ac:dyDescent="0.2">
      <c r="A70" s="32" t="s">
        <v>137</v>
      </c>
      <c r="B70" s="33" t="s">
        <v>138</v>
      </c>
      <c r="C70" s="34">
        <v>30020437</v>
      </c>
      <c r="D70" s="35">
        <v>21319241</v>
      </c>
      <c r="E70" s="44">
        <v>44100000</v>
      </c>
      <c r="F70" s="45"/>
      <c r="G70" s="45"/>
      <c r="H70" s="38">
        <f>'[1]1.1.sz.mell. '!C71</f>
        <v>18562529</v>
      </c>
      <c r="I70" s="65">
        <f>69269106</f>
        <v>69269106</v>
      </c>
      <c r="J70" s="47"/>
      <c r="K70" s="47"/>
    </row>
    <row r="71" spans="1:11" s="31" customFormat="1" ht="12" customHeight="1" x14ac:dyDescent="0.2">
      <c r="A71" s="40" t="s">
        <v>139</v>
      </c>
      <c r="B71" s="41" t="s">
        <v>140</v>
      </c>
      <c r="C71" s="42"/>
      <c r="D71" s="43">
        <v>821155240</v>
      </c>
      <c r="E71" s="44">
        <v>100000000</v>
      </c>
      <c r="F71" s="45"/>
      <c r="G71" s="45"/>
      <c r="H71" s="46">
        <f>'[1]1.1.sz.mell. '!C72</f>
        <v>850000000</v>
      </c>
      <c r="I71" s="65">
        <v>100000000</v>
      </c>
      <c r="J71" s="47"/>
      <c r="K71" s="47"/>
    </row>
    <row r="72" spans="1:11" s="31" customFormat="1" ht="12" customHeight="1" thickBot="1" x14ac:dyDescent="0.25">
      <c r="A72" s="49" t="s">
        <v>141</v>
      </c>
      <c r="B72" s="105" t="s">
        <v>142</v>
      </c>
      <c r="C72" s="101"/>
      <c r="D72" s="102"/>
      <c r="E72" s="44"/>
      <c r="F72" s="45"/>
      <c r="G72" s="45"/>
      <c r="H72" s="92">
        <f>'[1]1.1.sz.mell. '!C73</f>
        <v>0</v>
      </c>
      <c r="I72" s="65"/>
      <c r="J72" s="47"/>
      <c r="K72" s="47"/>
    </row>
    <row r="73" spans="1:11" s="31" customFormat="1" ht="12" customHeight="1" thickBot="1" x14ac:dyDescent="0.25">
      <c r="A73" s="104" t="s">
        <v>143</v>
      </c>
      <c r="B73" s="58" t="s">
        <v>144</v>
      </c>
      <c r="C73" s="106">
        <f>SUM(C74:C77)</f>
        <v>0</v>
      </c>
      <c r="D73" s="107">
        <f>SUM(D74:D77)</f>
        <v>0</v>
      </c>
      <c r="E73" s="27">
        <f>SUM(E74:E77)</f>
        <v>0</v>
      </c>
      <c r="F73" s="28">
        <f>SUM(F74:F77)</f>
        <v>0</v>
      </c>
      <c r="G73" s="28">
        <f>SUM(G74:G77)</f>
        <v>0</v>
      </c>
      <c r="H73" s="29">
        <f>'[1]1.1.sz.mell. '!C74</f>
        <v>0</v>
      </c>
      <c r="I73" s="30">
        <f>SUM(I74:I77)</f>
        <v>0</v>
      </c>
      <c r="J73" s="29">
        <f>SUM(J74:J77)</f>
        <v>0</v>
      </c>
      <c r="K73" s="29">
        <f>SUM(K74:K77)</f>
        <v>0</v>
      </c>
    </row>
    <row r="74" spans="1:11" s="31" customFormat="1" ht="12" customHeight="1" x14ac:dyDescent="0.2">
      <c r="A74" s="32" t="s">
        <v>145</v>
      </c>
      <c r="B74" s="33" t="s">
        <v>146</v>
      </c>
      <c r="C74" s="89"/>
      <c r="D74" s="90"/>
      <c r="E74" s="44"/>
      <c r="F74" s="45"/>
      <c r="G74" s="45"/>
      <c r="H74" s="91">
        <f>'[1]1.1.sz.mell. '!C75</f>
        <v>0</v>
      </c>
      <c r="I74" s="65"/>
      <c r="J74" s="47"/>
      <c r="K74" s="47"/>
    </row>
    <row r="75" spans="1:11" s="31" customFormat="1" ht="17.25" customHeight="1" x14ac:dyDescent="0.2">
      <c r="A75" s="40" t="s">
        <v>147</v>
      </c>
      <c r="B75" s="41" t="s">
        <v>148</v>
      </c>
      <c r="C75" s="74"/>
      <c r="D75" s="75"/>
      <c r="E75" s="44"/>
      <c r="F75" s="45"/>
      <c r="G75" s="45"/>
      <c r="H75" s="76">
        <f>'[1]1.1.sz.mell. '!C76</f>
        <v>0</v>
      </c>
      <c r="I75" s="65"/>
      <c r="J75" s="47"/>
      <c r="K75" s="47"/>
    </row>
    <row r="76" spans="1:11" s="31" customFormat="1" ht="12" customHeight="1" x14ac:dyDescent="0.2">
      <c r="A76" s="40" t="s">
        <v>149</v>
      </c>
      <c r="B76" s="41" t="s">
        <v>150</v>
      </c>
      <c r="C76" s="74"/>
      <c r="D76" s="75"/>
      <c r="E76" s="44"/>
      <c r="F76" s="45"/>
      <c r="G76" s="45"/>
      <c r="H76" s="76">
        <f>'[1]1.1.sz.mell. '!C77</f>
        <v>0</v>
      </c>
      <c r="I76" s="65"/>
      <c r="J76" s="47"/>
      <c r="K76" s="47"/>
    </row>
    <row r="77" spans="1:11" s="31" customFormat="1" ht="12" customHeight="1" thickBot="1" x14ac:dyDescent="0.25">
      <c r="A77" s="49" t="s">
        <v>151</v>
      </c>
      <c r="B77" s="50" t="s">
        <v>152</v>
      </c>
      <c r="C77" s="101"/>
      <c r="D77" s="102"/>
      <c r="E77" s="44"/>
      <c r="F77" s="45"/>
      <c r="G77" s="45"/>
      <c r="H77" s="92">
        <f>'[1]1.1.sz.mell. '!C78</f>
        <v>0</v>
      </c>
      <c r="I77" s="65"/>
      <c r="J77" s="47"/>
      <c r="K77" s="47"/>
    </row>
    <row r="78" spans="1:11" s="31" customFormat="1" ht="12" customHeight="1" thickBot="1" x14ac:dyDescent="0.25">
      <c r="A78" s="104" t="s">
        <v>153</v>
      </c>
      <c r="B78" s="58" t="s">
        <v>154</v>
      </c>
      <c r="C78" s="20">
        <f>SUM(C79:C80)</f>
        <v>367267935</v>
      </c>
      <c r="D78" s="27">
        <f>SUM(D79:D80)</f>
        <v>933051850</v>
      </c>
      <c r="E78" s="27">
        <f>SUM(E79:E80)</f>
        <v>289331423</v>
      </c>
      <c r="F78" s="28">
        <f>SUM(F79:F80)</f>
        <v>447404</v>
      </c>
      <c r="G78" s="28">
        <f>SUM(G79:G80)</f>
        <v>3220588</v>
      </c>
      <c r="H78" s="29">
        <f>'[1]1.1.sz.mell. '!C79</f>
        <v>856482639</v>
      </c>
      <c r="I78" s="30">
        <f>SUM(I79:I80)</f>
        <v>346583469</v>
      </c>
      <c r="J78" s="29">
        <f>SUM(J79:J80)</f>
        <v>829764</v>
      </c>
      <c r="K78" s="29">
        <f>SUM(K79:K80)</f>
        <v>17254367</v>
      </c>
    </row>
    <row r="79" spans="1:11" s="31" customFormat="1" ht="12" customHeight="1" x14ac:dyDescent="0.2">
      <c r="A79" s="32" t="s">
        <v>155</v>
      </c>
      <c r="B79" s="33" t="s">
        <v>156</v>
      </c>
      <c r="C79" s="34">
        <v>367267935</v>
      </c>
      <c r="D79" s="35">
        <v>933051850</v>
      </c>
      <c r="E79" s="44">
        <v>289331423</v>
      </c>
      <c r="F79" s="45">
        <v>447404</v>
      </c>
      <c r="G79" s="45">
        <v>3220588</v>
      </c>
      <c r="H79" s="38">
        <f>'[1]1.1.sz.mell. '!C80</f>
        <v>856482639</v>
      </c>
      <c r="I79" s="65">
        <f>346583469</f>
        <v>346583469</v>
      </c>
      <c r="J79" s="47">
        <f>829764</f>
        <v>829764</v>
      </c>
      <c r="K79" s="47">
        <f>1550858+372804+435258+1054835+13840612</f>
        <v>17254367</v>
      </c>
    </row>
    <row r="80" spans="1:11" s="31" customFormat="1" ht="12" customHeight="1" thickBot="1" x14ac:dyDescent="0.25">
      <c r="A80" s="49" t="s">
        <v>157</v>
      </c>
      <c r="B80" s="50" t="s">
        <v>158</v>
      </c>
      <c r="C80" s="101"/>
      <c r="D80" s="102"/>
      <c r="E80" s="44"/>
      <c r="F80" s="45"/>
      <c r="G80" s="45"/>
      <c r="H80" s="92">
        <f>'[1]1.1.sz.mell. '!C81</f>
        <v>0</v>
      </c>
      <c r="I80" s="65"/>
      <c r="J80" s="47"/>
      <c r="K80" s="47"/>
    </row>
    <row r="81" spans="1:11" s="31" customFormat="1" ht="12" customHeight="1" thickBot="1" x14ac:dyDescent="0.25">
      <c r="A81" s="104" t="s">
        <v>159</v>
      </c>
      <c r="B81" s="58" t="s">
        <v>160</v>
      </c>
      <c r="C81" s="108">
        <f>SUM(C82:C84)</f>
        <v>45672254</v>
      </c>
      <c r="D81" s="78">
        <f>SUM(D82:D84)</f>
        <v>48966750</v>
      </c>
      <c r="E81" s="27">
        <f>SUM(E82:E84)</f>
        <v>0</v>
      </c>
      <c r="F81" s="28">
        <f>SUM(F82:F84)</f>
        <v>0</v>
      </c>
      <c r="G81" s="28">
        <f>SUM(G82:G84)</f>
        <v>0</v>
      </c>
      <c r="H81" s="29">
        <f>'[1]1.1.sz.mell. '!C82</f>
        <v>48966750</v>
      </c>
      <c r="I81" s="30">
        <f>SUM(I82:I84)</f>
        <v>0</v>
      </c>
      <c r="J81" s="29">
        <f>SUM(J82:J84)</f>
        <v>0</v>
      </c>
      <c r="K81" s="29">
        <f>SUM(K82:K84)</f>
        <v>0</v>
      </c>
    </row>
    <row r="82" spans="1:11" s="31" customFormat="1" ht="12" customHeight="1" x14ac:dyDescent="0.2">
      <c r="A82" s="32" t="s">
        <v>161</v>
      </c>
      <c r="B82" s="33" t="s">
        <v>162</v>
      </c>
      <c r="C82" s="34">
        <v>45672254</v>
      </c>
      <c r="D82" s="35">
        <v>48966750</v>
      </c>
      <c r="E82" s="44"/>
      <c r="F82" s="45"/>
      <c r="G82" s="45"/>
      <c r="H82" s="91">
        <f>'[1]1.1.sz.mell. '!C83</f>
        <v>48966750</v>
      </c>
      <c r="I82" s="65"/>
      <c r="J82" s="47"/>
      <c r="K82" s="47"/>
    </row>
    <row r="83" spans="1:11" s="31" customFormat="1" ht="12" customHeight="1" x14ac:dyDescent="0.2">
      <c r="A83" s="40" t="s">
        <v>163</v>
      </c>
      <c r="B83" s="41" t="s">
        <v>164</v>
      </c>
      <c r="C83" s="74"/>
      <c r="D83" s="75"/>
      <c r="E83" s="44"/>
      <c r="F83" s="45"/>
      <c r="G83" s="45"/>
      <c r="H83" s="76">
        <f>'[1]1.1.sz.mell. '!C84</f>
        <v>0</v>
      </c>
      <c r="I83" s="65"/>
      <c r="J83" s="47"/>
      <c r="K83" s="47"/>
    </row>
    <row r="84" spans="1:11" s="31" customFormat="1" ht="12" customHeight="1" thickBot="1" x14ac:dyDescent="0.25">
      <c r="A84" s="49" t="s">
        <v>165</v>
      </c>
      <c r="B84" s="50" t="s">
        <v>166</v>
      </c>
      <c r="C84" s="101"/>
      <c r="D84" s="102"/>
      <c r="E84" s="44"/>
      <c r="F84" s="45"/>
      <c r="G84" s="45"/>
      <c r="H84" s="92">
        <f>'[1]1.1.sz.mell. '!C85</f>
        <v>0</v>
      </c>
      <c r="I84" s="65"/>
      <c r="J84" s="47"/>
      <c r="K84" s="47"/>
    </row>
    <row r="85" spans="1:11" s="31" customFormat="1" ht="12" customHeight="1" thickBot="1" x14ac:dyDescent="0.25">
      <c r="A85" s="104" t="s">
        <v>167</v>
      </c>
      <c r="B85" s="58" t="s">
        <v>168</v>
      </c>
      <c r="C85" s="106">
        <f>SUM(C86:C89)</f>
        <v>0</v>
      </c>
      <c r="D85" s="107">
        <f>SUM(D86:D89)</f>
        <v>0</v>
      </c>
      <c r="E85" s="27">
        <f>SUM(E86:E89)</f>
        <v>0</v>
      </c>
      <c r="F85" s="28">
        <f>SUM(F86:F89)</f>
        <v>0</v>
      </c>
      <c r="G85" s="28">
        <f>SUM(G86:G89)</f>
        <v>0</v>
      </c>
      <c r="H85" s="29">
        <f>'[1]1.1.sz.mell. '!C86</f>
        <v>0</v>
      </c>
      <c r="I85" s="30">
        <f>SUM(I86:I89)</f>
        <v>0</v>
      </c>
      <c r="J85" s="29">
        <f>SUM(J86:J89)</f>
        <v>0</v>
      </c>
      <c r="K85" s="29">
        <f>SUM(K86:K89)</f>
        <v>0</v>
      </c>
    </row>
    <row r="86" spans="1:11" s="31" customFormat="1" ht="12" customHeight="1" x14ac:dyDescent="0.2">
      <c r="A86" s="109" t="s">
        <v>169</v>
      </c>
      <c r="B86" s="33" t="s">
        <v>170</v>
      </c>
      <c r="C86" s="89"/>
      <c r="D86" s="90"/>
      <c r="E86" s="44"/>
      <c r="F86" s="45"/>
      <c r="G86" s="45"/>
      <c r="H86" s="91">
        <f>'[1]1.1.sz.mell. '!C87</f>
        <v>0</v>
      </c>
      <c r="I86" s="65"/>
      <c r="J86" s="47"/>
      <c r="K86" s="47"/>
    </row>
    <row r="87" spans="1:11" s="31" customFormat="1" ht="12" customHeight="1" x14ac:dyDescent="0.2">
      <c r="A87" s="110" t="s">
        <v>171</v>
      </c>
      <c r="B87" s="41" t="s">
        <v>172</v>
      </c>
      <c r="C87" s="74"/>
      <c r="D87" s="75"/>
      <c r="E87" s="44"/>
      <c r="F87" s="45"/>
      <c r="G87" s="45"/>
      <c r="H87" s="76">
        <f>'[1]1.1.sz.mell. '!C88</f>
        <v>0</v>
      </c>
      <c r="I87" s="65"/>
      <c r="J87" s="47"/>
      <c r="K87" s="47"/>
    </row>
    <row r="88" spans="1:11" s="31" customFormat="1" ht="12" customHeight="1" x14ac:dyDescent="0.2">
      <c r="A88" s="110" t="s">
        <v>173</v>
      </c>
      <c r="B88" s="41" t="s">
        <v>174</v>
      </c>
      <c r="C88" s="74"/>
      <c r="D88" s="75"/>
      <c r="E88" s="44"/>
      <c r="F88" s="45"/>
      <c r="G88" s="45"/>
      <c r="H88" s="76">
        <f>'[1]1.1.sz.mell. '!C89</f>
        <v>0</v>
      </c>
      <c r="I88" s="65"/>
      <c r="J88" s="47"/>
      <c r="K88" s="47"/>
    </row>
    <row r="89" spans="1:11" s="31" customFormat="1" ht="12" customHeight="1" thickBot="1" x14ac:dyDescent="0.25">
      <c r="A89" s="111" t="s">
        <v>175</v>
      </c>
      <c r="B89" s="50" t="s">
        <v>176</v>
      </c>
      <c r="C89" s="101"/>
      <c r="D89" s="102"/>
      <c r="E89" s="44"/>
      <c r="F89" s="45"/>
      <c r="G89" s="45"/>
      <c r="H89" s="92">
        <f>'[1]1.1.sz.mell. '!C90</f>
        <v>0</v>
      </c>
      <c r="I89" s="65"/>
      <c r="J89" s="47"/>
      <c r="K89" s="47"/>
    </row>
    <row r="90" spans="1:11" s="31" customFormat="1" ht="12" customHeight="1" thickBot="1" x14ac:dyDescent="0.25">
      <c r="A90" s="104" t="s">
        <v>177</v>
      </c>
      <c r="B90" s="58" t="s">
        <v>178</v>
      </c>
      <c r="C90" s="20"/>
      <c r="D90" s="27"/>
      <c r="E90" s="112"/>
      <c r="F90" s="113"/>
      <c r="G90" s="113"/>
      <c r="H90" s="29">
        <f>'[1]1.1.sz.mell. '!C91</f>
        <v>0</v>
      </c>
      <c r="I90" s="114"/>
      <c r="J90" s="115"/>
      <c r="K90" s="115"/>
    </row>
    <row r="91" spans="1:11" s="31" customFormat="1" ht="12" customHeight="1" thickBot="1" x14ac:dyDescent="0.25">
      <c r="A91" s="104" t="s">
        <v>179</v>
      </c>
      <c r="B91" s="58" t="s">
        <v>180</v>
      </c>
      <c r="C91" s="20"/>
      <c r="D91" s="27"/>
      <c r="E91" s="112"/>
      <c r="F91" s="113"/>
      <c r="G91" s="113"/>
      <c r="H91" s="29">
        <f>'[1]1.1.sz.mell. '!C92</f>
        <v>0</v>
      </c>
      <c r="I91" s="114"/>
      <c r="J91" s="115"/>
      <c r="K91" s="115"/>
    </row>
    <row r="92" spans="1:11" s="31" customFormat="1" ht="12" customHeight="1" thickBot="1" x14ac:dyDescent="0.25">
      <c r="A92" s="104" t="s">
        <v>181</v>
      </c>
      <c r="B92" s="116" t="s">
        <v>182</v>
      </c>
      <c r="C92" s="20">
        <f>C91+C90+C85+C81+C78+C73+C69</f>
        <v>442960626</v>
      </c>
      <c r="D92" s="27">
        <f>D91+D90+D85+D81+D78+D73+D69</f>
        <v>1824493081</v>
      </c>
      <c r="E92" s="78">
        <f>+E69+E73+E78+E81+E85+E91+E90</f>
        <v>433431423</v>
      </c>
      <c r="F92" s="79">
        <f>+F69+F73+F78+F81+F85+F91+F90</f>
        <v>447404</v>
      </c>
      <c r="G92" s="79">
        <f>+G69+G73+G78+G81+G85+G91+G90</f>
        <v>3220588</v>
      </c>
      <c r="H92" s="29">
        <f>'[1]1.1.sz.mell. '!C93</f>
        <v>1774011918</v>
      </c>
      <c r="I92" s="80">
        <f>+I69+I73+I78+I81+I85+I91+I90</f>
        <v>515852575</v>
      </c>
      <c r="J92" s="81">
        <f>+J69+J73+J78+J81+J85+J91+J90</f>
        <v>829764</v>
      </c>
      <c r="K92" s="81">
        <f>+K69+K73+K78+K81+K85+K91+K90</f>
        <v>17254367</v>
      </c>
    </row>
    <row r="93" spans="1:11" s="31" customFormat="1" ht="12" customHeight="1" thickBot="1" x14ac:dyDescent="0.25">
      <c r="A93" s="117" t="s">
        <v>183</v>
      </c>
      <c r="B93" s="118" t="s">
        <v>184</v>
      </c>
      <c r="C93" s="20">
        <f>C92+C68</f>
        <v>3788176164</v>
      </c>
      <c r="D93" s="27">
        <f>D92+D68</f>
        <v>4385599509</v>
      </c>
      <c r="E93" s="78">
        <f>+E68+E92</f>
        <v>1824871137</v>
      </c>
      <c r="F93" s="79">
        <f>+F68+F92</f>
        <v>9863904</v>
      </c>
      <c r="G93" s="79">
        <f>+G68+G92</f>
        <v>393971766</v>
      </c>
      <c r="H93" s="29">
        <f>'[1]1.1.sz.mell. '!C94</f>
        <v>4733008687</v>
      </c>
      <c r="I93" s="80">
        <f>+I68+I92</f>
        <v>2831811542</v>
      </c>
      <c r="J93" s="81">
        <f>+J68+J92</f>
        <v>9280592</v>
      </c>
      <c r="K93" s="81">
        <f>+K68+K92</f>
        <v>306161282</v>
      </c>
    </row>
    <row r="94" spans="1:11" s="31" customFormat="1" ht="12" customHeight="1" x14ac:dyDescent="0.2">
      <c r="A94" s="119"/>
      <c r="B94" s="120"/>
      <c r="C94" s="121"/>
      <c r="D94" s="122"/>
      <c r="E94" s="123"/>
      <c r="F94" s="123"/>
      <c r="G94" s="123"/>
      <c r="H94" s="124"/>
    </row>
    <row r="95" spans="1:11" s="31" customFormat="1" ht="12" customHeight="1" x14ac:dyDescent="0.2">
      <c r="A95" s="8" t="s">
        <v>185</v>
      </c>
      <c r="B95" s="8"/>
      <c r="C95" s="8"/>
      <c r="D95" s="8"/>
      <c r="E95" s="8"/>
      <c r="F95" s="8"/>
      <c r="G95" s="8"/>
      <c r="H95" s="8"/>
    </row>
    <row r="96" spans="1:11" s="31" customFormat="1" ht="12" customHeight="1" thickBot="1" x14ac:dyDescent="0.25">
      <c r="A96" s="125" t="s">
        <v>186</v>
      </c>
      <c r="B96" s="125"/>
      <c r="C96" s="126"/>
      <c r="D96" s="10"/>
      <c r="E96" s="10"/>
      <c r="F96" s="10"/>
      <c r="G96" s="10"/>
      <c r="H96" s="127" t="str">
        <f>H6</f>
        <v>Forintban!</v>
      </c>
    </row>
    <row r="97" spans="1:11" s="31" customFormat="1" ht="36.75" customHeight="1" thickBot="1" x14ac:dyDescent="0.25">
      <c r="A97" s="13" t="s">
        <v>187</v>
      </c>
      <c r="B97" s="128" t="s">
        <v>188</v>
      </c>
      <c r="C97" s="15" t="str">
        <f>C7</f>
        <v>2019. évi tény</v>
      </c>
      <c r="D97" s="15" t="str">
        <f>D7</f>
        <v>2020. évi várható adat</v>
      </c>
      <c r="E97" s="15">
        <f>E7</f>
        <v>0</v>
      </c>
      <c r="F97" s="15">
        <f>F7</f>
        <v>0</v>
      </c>
      <c r="G97" s="15">
        <f>G7</f>
        <v>0</v>
      </c>
      <c r="H97" s="15" t="str">
        <f>H7</f>
        <v>2021. évi előirányzat</v>
      </c>
    </row>
    <row r="98" spans="1:11" s="31" customFormat="1" ht="12" customHeight="1" thickBot="1" x14ac:dyDescent="0.25">
      <c r="A98" s="18" t="s">
        <v>10</v>
      </c>
      <c r="B98" s="19" t="s">
        <v>11</v>
      </c>
      <c r="C98" s="20" t="s">
        <v>12</v>
      </c>
      <c r="D98" s="129" t="s">
        <v>13</v>
      </c>
      <c r="E98" s="22"/>
      <c r="F98" s="22"/>
      <c r="G98" s="22"/>
      <c r="H98" s="23" t="s">
        <v>14</v>
      </c>
    </row>
    <row r="99" spans="1:11" s="31" customFormat="1" ht="15" customHeight="1" thickBot="1" x14ac:dyDescent="0.25">
      <c r="A99" s="130" t="s">
        <v>15</v>
      </c>
      <c r="B99" s="131" t="s">
        <v>189</v>
      </c>
      <c r="C99" s="132">
        <f>SUM(C100:C104,C117)</f>
        <v>2286219244</v>
      </c>
      <c r="D99" s="132">
        <f>SUM(D100:D104,D117)</f>
        <v>2234422838</v>
      </c>
      <c r="E99" s="133"/>
      <c r="F99" s="134"/>
      <c r="G99" s="132"/>
      <c r="H99" s="135">
        <f>'[1]1.1.sz.mell. '!C100</f>
        <v>2831433172</v>
      </c>
      <c r="I99" s="136">
        <f>+I100+I101+I102+I103+I104+I117</f>
        <v>729611526</v>
      </c>
      <c r="J99" s="137">
        <f>+J100+J101+J102+J103+J104+J117</f>
        <v>223670940</v>
      </c>
      <c r="K99" s="93">
        <f>K100+K101+K102+K103+K104+K117</f>
        <v>1606947760</v>
      </c>
    </row>
    <row r="100" spans="1:11" s="31" customFormat="1" ht="12.95" customHeight="1" x14ac:dyDescent="0.2">
      <c r="A100" s="138" t="s">
        <v>17</v>
      </c>
      <c r="B100" s="139" t="s">
        <v>190</v>
      </c>
      <c r="C100" s="140">
        <v>1036807081</v>
      </c>
      <c r="D100" s="141">
        <v>1107374684</v>
      </c>
      <c r="E100" s="142"/>
      <c r="F100" s="143"/>
      <c r="G100" s="143"/>
      <c r="H100" s="144">
        <f>'[1]1.1.sz.mell. '!C101</f>
        <v>1258326512</v>
      </c>
      <c r="I100" s="145">
        <f>23173251+2787126+1407675+14384916+61829+2528076+5742073</f>
        <v>50084946</v>
      </c>
      <c r="J100" s="146">
        <f>147375885+935085+4069918</f>
        <v>152380888</v>
      </c>
      <c r="K100" s="146">
        <f>60512486+64039486+48091292+208655734+471445483</f>
        <v>852744481</v>
      </c>
    </row>
    <row r="101" spans="1:11" ht="16.5" customHeight="1" x14ac:dyDescent="0.25">
      <c r="A101" s="40" t="s">
        <v>19</v>
      </c>
      <c r="B101" s="147" t="s">
        <v>191</v>
      </c>
      <c r="C101" s="148">
        <v>207856870</v>
      </c>
      <c r="D101" s="149">
        <v>200144461</v>
      </c>
      <c r="E101" s="150"/>
      <c r="F101" s="151"/>
      <c r="G101" s="151"/>
      <c r="H101" s="144">
        <f>'[1]1.1.sz.mell. '!C102</f>
        <v>215518047</v>
      </c>
      <c r="I101" s="65">
        <f>4364055+1409889+7817+2684650+14227+10944+444000+1007723</f>
        <v>9943305</v>
      </c>
      <c r="J101" s="47">
        <f>30406649+133681+815187</f>
        <v>31355517</v>
      </c>
      <c r="K101" s="47">
        <f>13261042+12834203+9499320+44850807+98130166</f>
        <v>178575538</v>
      </c>
    </row>
    <row r="102" spans="1:11" x14ac:dyDescent="0.25">
      <c r="A102" s="40" t="s">
        <v>21</v>
      </c>
      <c r="B102" s="147" t="s">
        <v>192</v>
      </c>
      <c r="C102" s="148">
        <v>803850676</v>
      </c>
      <c r="D102" s="149">
        <v>742294097</v>
      </c>
      <c r="E102" s="152"/>
      <c r="F102" s="153"/>
      <c r="G102" s="151"/>
      <c r="H102" s="144">
        <f>'[1]1.1.sz.mell. '!C103</f>
        <v>985774764</v>
      </c>
      <c r="I102" s="68">
        <f>415496+34588831+4192823+96000+889000+13277327+313996+3082677+698500+16688593+835000+27068590+825500+43854655+45600000+4500000+20525292+45669+157480+54851+3760587+437750+7125983+1438017+300000+49047304+2354100+10000+4070204+259082+8850000</f>
        <v>295363307</v>
      </c>
      <c r="J102" s="69">
        <f>38780508+150000+369027+635000</f>
        <v>39934535</v>
      </c>
      <c r="K102" s="47">
        <f>229985778+15749737+50789082+80145873+198957271</f>
        <v>575627741</v>
      </c>
    </row>
    <row r="103" spans="1:11" s="24" customFormat="1" ht="12" customHeight="1" x14ac:dyDescent="0.2">
      <c r="A103" s="40" t="s">
        <v>27</v>
      </c>
      <c r="B103" s="154" t="s">
        <v>193</v>
      </c>
      <c r="C103" s="148">
        <v>47275053</v>
      </c>
      <c r="D103" s="149">
        <v>46911174</v>
      </c>
      <c r="E103" s="152"/>
      <c r="F103" s="153"/>
      <c r="G103" s="153"/>
      <c r="H103" s="144">
        <f>'[1]1.1.sz.mell. '!C104</f>
        <v>56500000</v>
      </c>
      <c r="I103" s="68">
        <f>24250000+48100000+3500000</f>
        <v>75850000</v>
      </c>
      <c r="J103" s="69"/>
      <c r="K103" s="69"/>
    </row>
    <row r="104" spans="1:11" ht="12" customHeight="1" x14ac:dyDescent="0.25">
      <c r="A104" s="40" t="s">
        <v>194</v>
      </c>
      <c r="B104" s="155" t="s">
        <v>195</v>
      </c>
      <c r="C104" s="156">
        <f>SUM(C105:C116)</f>
        <v>190429564</v>
      </c>
      <c r="D104" s="156">
        <f>SUM(D105:D116)</f>
        <v>137698422</v>
      </c>
      <c r="E104" s="156">
        <f>SUM(E105:E116)</f>
        <v>0</v>
      </c>
      <c r="F104" s="156">
        <f>SUM(F105:F116)</f>
        <v>0</v>
      </c>
      <c r="G104" s="156">
        <f>SUM(G105:G116)</f>
        <v>0</v>
      </c>
      <c r="H104" s="156">
        <f>'[1]1.1.sz.mell. '!C105</f>
        <v>198934698</v>
      </c>
      <c r="I104" s="68">
        <f>SUM(I105:I116)</f>
        <v>219979003</v>
      </c>
      <c r="J104" s="68">
        <f>SUM(J105:J116)</f>
        <v>0</v>
      </c>
      <c r="K104" s="69"/>
    </row>
    <row r="105" spans="1:11" ht="12" customHeight="1" x14ac:dyDescent="0.25">
      <c r="A105" s="40" t="s">
        <v>31</v>
      </c>
      <c r="B105" s="147" t="s">
        <v>196</v>
      </c>
      <c r="C105" s="148">
        <v>9463052</v>
      </c>
      <c r="D105" s="149">
        <v>792176</v>
      </c>
      <c r="E105" s="152"/>
      <c r="F105" s="153"/>
      <c r="G105" s="153"/>
      <c r="H105" s="144">
        <f>'[1]1.1.sz.mell. '!C106</f>
        <v>140000</v>
      </c>
      <c r="I105" s="68">
        <v>100000</v>
      </c>
      <c r="J105" s="69"/>
      <c r="K105" s="69"/>
    </row>
    <row r="106" spans="1:11" ht="12" customHeight="1" x14ac:dyDescent="0.25">
      <c r="A106" s="40" t="s">
        <v>197</v>
      </c>
      <c r="B106" s="157" t="s">
        <v>198</v>
      </c>
      <c r="C106" s="148"/>
      <c r="D106" s="149"/>
      <c r="E106" s="152"/>
      <c r="F106" s="153"/>
      <c r="G106" s="153"/>
      <c r="H106" s="144">
        <f>'[1]1.1.sz.mell. '!C107</f>
        <v>0</v>
      </c>
      <c r="I106" s="68"/>
      <c r="J106" s="69"/>
      <c r="K106" s="69"/>
    </row>
    <row r="107" spans="1:11" ht="12" customHeight="1" x14ac:dyDescent="0.25">
      <c r="A107" s="40" t="s">
        <v>199</v>
      </c>
      <c r="B107" s="157" t="s">
        <v>200</v>
      </c>
      <c r="C107" s="148"/>
      <c r="D107" s="149"/>
      <c r="E107" s="152"/>
      <c r="F107" s="153"/>
      <c r="G107" s="153"/>
      <c r="H107" s="144">
        <f>'[1]1.1.sz.mell. '!C108</f>
        <v>24566831</v>
      </c>
      <c r="I107" s="68"/>
      <c r="J107" s="69"/>
      <c r="K107" s="69"/>
    </row>
    <row r="108" spans="1:11" ht="12" customHeight="1" x14ac:dyDescent="0.25">
      <c r="A108" s="40" t="s">
        <v>201</v>
      </c>
      <c r="B108" s="158" t="s">
        <v>202</v>
      </c>
      <c r="C108" s="148"/>
      <c r="D108" s="149"/>
      <c r="E108" s="152"/>
      <c r="F108" s="153"/>
      <c r="G108" s="153"/>
      <c r="H108" s="144">
        <f>'[1]1.1.sz.mell. '!C109</f>
        <v>0</v>
      </c>
      <c r="I108" s="68"/>
      <c r="J108" s="69"/>
      <c r="K108" s="69"/>
    </row>
    <row r="109" spans="1:11" ht="12" customHeight="1" x14ac:dyDescent="0.25">
      <c r="A109" s="40" t="s">
        <v>203</v>
      </c>
      <c r="B109" s="159" t="s">
        <v>204</v>
      </c>
      <c r="C109" s="148"/>
      <c r="D109" s="149"/>
      <c r="E109" s="152"/>
      <c r="F109" s="153"/>
      <c r="G109" s="153"/>
      <c r="H109" s="144">
        <f>'[1]1.1.sz.mell. '!C110</f>
        <v>0</v>
      </c>
      <c r="I109" s="68"/>
      <c r="J109" s="69"/>
      <c r="K109" s="69"/>
    </row>
    <row r="110" spans="1:11" ht="12" customHeight="1" x14ac:dyDescent="0.25">
      <c r="A110" s="40" t="s">
        <v>205</v>
      </c>
      <c r="B110" s="159" t="s">
        <v>206</v>
      </c>
      <c r="C110" s="148"/>
      <c r="D110" s="149"/>
      <c r="E110" s="152"/>
      <c r="F110" s="153"/>
      <c r="G110" s="153"/>
      <c r="H110" s="144">
        <f>'[1]1.1.sz.mell. '!C111</f>
        <v>0</v>
      </c>
      <c r="I110" s="68"/>
      <c r="J110" s="69"/>
      <c r="K110" s="69"/>
    </row>
    <row r="111" spans="1:11" ht="12" customHeight="1" x14ac:dyDescent="0.25">
      <c r="A111" s="40" t="s">
        <v>207</v>
      </c>
      <c r="B111" s="158" t="s">
        <v>208</v>
      </c>
      <c r="C111" s="148">
        <v>4012934</v>
      </c>
      <c r="D111" s="149">
        <v>1352500</v>
      </c>
      <c r="E111" s="152"/>
      <c r="F111" s="153"/>
      <c r="G111" s="153"/>
      <c r="H111" s="144">
        <f>'[1]1.1.sz.mell. '!C112</f>
        <v>636000</v>
      </c>
      <c r="I111" s="68">
        <f>523000</f>
        <v>523000</v>
      </c>
      <c r="J111" s="69"/>
      <c r="K111" s="69"/>
    </row>
    <row r="112" spans="1:11" ht="12" customHeight="1" x14ac:dyDescent="0.25">
      <c r="A112" s="40" t="s">
        <v>209</v>
      </c>
      <c r="B112" s="158" t="s">
        <v>210</v>
      </c>
      <c r="C112" s="148"/>
      <c r="D112" s="149"/>
      <c r="E112" s="152"/>
      <c r="F112" s="153"/>
      <c r="G112" s="153"/>
      <c r="H112" s="144">
        <f>'[1]1.1.sz.mell. '!C113</f>
        <v>0</v>
      </c>
      <c r="I112" s="68"/>
      <c r="J112" s="69"/>
      <c r="K112" s="69"/>
    </row>
    <row r="113" spans="1:11" ht="12" customHeight="1" x14ac:dyDescent="0.25">
      <c r="A113" s="40" t="s">
        <v>211</v>
      </c>
      <c r="B113" s="159" t="s">
        <v>212</v>
      </c>
      <c r="C113" s="148">
        <v>15400000</v>
      </c>
      <c r="D113" s="149"/>
      <c r="E113" s="152"/>
      <c r="F113" s="153"/>
      <c r="G113" s="153"/>
      <c r="H113" s="144">
        <f>'[1]1.1.sz.mell. '!C114</f>
        <v>0</v>
      </c>
      <c r="I113" s="68"/>
      <c r="J113" s="69"/>
      <c r="K113" s="69"/>
    </row>
    <row r="114" spans="1:11" ht="12" customHeight="1" x14ac:dyDescent="0.25">
      <c r="A114" s="160" t="s">
        <v>213</v>
      </c>
      <c r="B114" s="157" t="s">
        <v>214</v>
      </c>
      <c r="C114" s="148"/>
      <c r="D114" s="149"/>
      <c r="E114" s="152"/>
      <c r="F114" s="153"/>
      <c r="G114" s="153"/>
      <c r="H114" s="144">
        <f>'[1]1.1.sz.mell. '!C115</f>
        <v>0</v>
      </c>
      <c r="I114" s="68"/>
      <c r="J114" s="69"/>
      <c r="K114" s="69"/>
    </row>
    <row r="115" spans="1:11" ht="12" customHeight="1" x14ac:dyDescent="0.25">
      <c r="A115" s="40" t="s">
        <v>215</v>
      </c>
      <c r="B115" s="157" t="s">
        <v>216</v>
      </c>
      <c r="C115" s="148"/>
      <c r="D115" s="149"/>
      <c r="E115" s="152"/>
      <c r="F115" s="153"/>
      <c r="G115" s="153"/>
      <c r="H115" s="144">
        <f>'[1]1.1.sz.mell. '!C116</f>
        <v>0</v>
      </c>
      <c r="I115" s="68"/>
      <c r="J115" s="69"/>
      <c r="K115" s="69"/>
    </row>
    <row r="116" spans="1:11" ht="12" customHeight="1" x14ac:dyDescent="0.25">
      <c r="A116" s="49" t="s">
        <v>217</v>
      </c>
      <c r="B116" s="157" t="s">
        <v>218</v>
      </c>
      <c r="C116" s="148">
        <v>161553578</v>
      </c>
      <c r="D116" s="149">
        <v>135553746</v>
      </c>
      <c r="E116" s="150"/>
      <c r="F116" s="151"/>
      <c r="G116" s="153"/>
      <c r="H116" s="144">
        <f>'[1]1.1.sz.mell. '!C117</f>
        <v>173591867</v>
      </c>
      <c r="I116" s="65">
        <f>1000000+47869145+6604733+15489215+46984511+23326783+69312000+7332000+1437616</f>
        <v>219356003</v>
      </c>
      <c r="J116" s="47"/>
      <c r="K116" s="69"/>
    </row>
    <row r="117" spans="1:11" ht="12" customHeight="1" x14ac:dyDescent="0.25">
      <c r="A117" s="40" t="s">
        <v>219</v>
      </c>
      <c r="B117" s="154" t="s">
        <v>220</v>
      </c>
      <c r="C117" s="148"/>
      <c r="D117" s="149"/>
      <c r="E117" s="150"/>
      <c r="F117" s="151"/>
      <c r="G117" s="151"/>
      <c r="H117" s="144">
        <f>'[1]1.1.sz.mell. '!C118</f>
        <v>116379151</v>
      </c>
      <c r="I117" s="65">
        <f>SUM(I118:I119)</f>
        <v>78390965</v>
      </c>
      <c r="J117" s="65">
        <f>SUM(J118:J119)</f>
        <v>0</v>
      </c>
      <c r="K117" s="47"/>
    </row>
    <row r="118" spans="1:11" ht="12" customHeight="1" x14ac:dyDescent="0.25">
      <c r="A118" s="40" t="s">
        <v>221</v>
      </c>
      <c r="B118" s="147" t="s">
        <v>222</v>
      </c>
      <c r="C118" s="148"/>
      <c r="D118" s="149"/>
      <c r="E118" s="152"/>
      <c r="F118" s="153"/>
      <c r="G118" s="151"/>
      <c r="H118" s="144">
        <f>'[1]1.1.sz.mell. '!C119</f>
        <v>10000000</v>
      </c>
      <c r="I118" s="68">
        <v>15000000</v>
      </c>
      <c r="J118" s="69"/>
      <c r="K118" s="47"/>
    </row>
    <row r="119" spans="1:11" ht="12" customHeight="1" thickBot="1" x14ac:dyDescent="0.3">
      <c r="A119" s="161" t="s">
        <v>223</v>
      </c>
      <c r="B119" s="162" t="s">
        <v>224</v>
      </c>
      <c r="C119" s="163"/>
      <c r="D119" s="164"/>
      <c r="E119" s="165"/>
      <c r="F119" s="166"/>
      <c r="G119" s="166"/>
      <c r="H119" s="144">
        <f>'[1]1.1.sz.mell. '!C120</f>
        <v>106379151</v>
      </c>
      <c r="I119" s="167">
        <f>63390965</f>
        <v>63390965</v>
      </c>
      <c r="J119" s="168"/>
      <c r="K119" s="168"/>
    </row>
    <row r="120" spans="1:11" ht="12" customHeight="1" thickBot="1" x14ac:dyDescent="0.3">
      <c r="A120" s="169" t="s">
        <v>33</v>
      </c>
      <c r="B120" s="170" t="s">
        <v>225</v>
      </c>
      <c r="C120" s="132">
        <f>C121+C123+C125</f>
        <v>478464804</v>
      </c>
      <c r="D120" s="132">
        <f>D121+D123+D125</f>
        <v>401828104</v>
      </c>
      <c r="E120" s="171"/>
      <c r="F120" s="172"/>
      <c r="G120" s="173"/>
      <c r="H120" s="174">
        <f>'[1]1.1.sz.mell. '!C121</f>
        <v>977615018</v>
      </c>
      <c r="I120" s="30">
        <f>+I121+I123+I125</f>
        <v>404630354</v>
      </c>
      <c r="J120" s="29">
        <f>+J121+J123+J125</f>
        <v>3585917</v>
      </c>
      <c r="K120" s="175">
        <f>+K121+K123+K125</f>
        <v>19950087</v>
      </c>
    </row>
    <row r="121" spans="1:11" ht="12" customHeight="1" x14ac:dyDescent="0.25">
      <c r="A121" s="32" t="s">
        <v>35</v>
      </c>
      <c r="B121" s="147" t="s">
        <v>226</v>
      </c>
      <c r="C121" s="176">
        <v>211704361</v>
      </c>
      <c r="D121" s="141">
        <v>223119190</v>
      </c>
      <c r="E121" s="177"/>
      <c r="F121" s="178"/>
      <c r="G121" s="178"/>
      <c r="H121" s="144">
        <f>'[1]1.1.sz.mell. '!C122</f>
        <v>612539782</v>
      </c>
      <c r="I121" s="72">
        <f>229989520+300000+13809000+835610+12076323+1270000+359410+4508500+2505001+5000+6704583</f>
        <v>272362947</v>
      </c>
      <c r="J121" s="39">
        <f>3355917+230000</f>
        <v>3585917</v>
      </c>
      <c r="K121" s="39">
        <f>506050+641350+1986214+1926590+13924683</f>
        <v>18984887</v>
      </c>
    </row>
    <row r="122" spans="1:11" x14ac:dyDescent="0.25">
      <c r="A122" s="32" t="s">
        <v>37</v>
      </c>
      <c r="B122" s="179" t="s">
        <v>227</v>
      </c>
      <c r="C122" s="148"/>
      <c r="D122" s="149"/>
      <c r="E122" s="177"/>
      <c r="F122" s="178"/>
      <c r="G122" s="178"/>
      <c r="H122" s="144">
        <f>'[1]1.1.sz.mell. '!C123</f>
        <v>401925076</v>
      </c>
      <c r="I122" s="72">
        <f>156693000+42191010+12076323+6704583</f>
        <v>217664916</v>
      </c>
      <c r="J122" s="39"/>
      <c r="K122" s="39">
        <v>717651</v>
      </c>
    </row>
    <row r="123" spans="1:11" ht="12" customHeight="1" x14ac:dyDescent="0.25">
      <c r="A123" s="32" t="s">
        <v>39</v>
      </c>
      <c r="B123" s="179" t="s">
        <v>228</v>
      </c>
      <c r="C123" s="148">
        <v>259516521</v>
      </c>
      <c r="D123" s="149">
        <v>174642005</v>
      </c>
      <c r="E123" s="150"/>
      <c r="F123" s="151"/>
      <c r="G123" s="151"/>
      <c r="H123" s="144">
        <f>'[1]1.1.sz.mell. '!C124</f>
        <v>359163430</v>
      </c>
      <c r="I123" s="65">
        <f>9517731+51474577+42450993+1905000</f>
        <v>105348301</v>
      </c>
      <c r="J123" s="47"/>
      <c r="K123" s="47">
        <v>965200</v>
      </c>
    </row>
    <row r="124" spans="1:11" ht="12" customHeight="1" x14ac:dyDescent="0.25">
      <c r="A124" s="32" t="s">
        <v>41</v>
      </c>
      <c r="B124" s="179" t="s">
        <v>229</v>
      </c>
      <c r="C124" s="148"/>
      <c r="D124" s="149"/>
      <c r="E124" s="150"/>
      <c r="F124" s="180"/>
      <c r="G124" s="150"/>
      <c r="H124" s="144">
        <f>'[1]1.1.sz.mell. '!C125</f>
        <v>290689778</v>
      </c>
      <c r="I124" s="65">
        <f>28614577+42450993-1206500</f>
        <v>69859070</v>
      </c>
      <c r="J124" s="181"/>
      <c r="K124" s="65"/>
    </row>
    <row r="125" spans="1:11" ht="12" customHeight="1" x14ac:dyDescent="0.25">
      <c r="A125" s="32" t="s">
        <v>43</v>
      </c>
      <c r="B125" s="50" t="s">
        <v>230</v>
      </c>
      <c r="C125" s="148">
        <f>SUM(C126:C133)</f>
        <v>7243922</v>
      </c>
      <c r="D125" s="148">
        <f>SUM(D126:D133)</f>
        <v>4066909</v>
      </c>
      <c r="E125" s="150"/>
      <c r="F125" s="150"/>
      <c r="G125" s="150"/>
      <c r="H125" s="144">
        <f>'[1]1.1.sz.mell. '!C126</f>
        <v>5911806</v>
      </c>
      <c r="I125" s="65">
        <f>SUM(I126:I133)</f>
        <v>26919106</v>
      </c>
      <c r="J125" s="65">
        <f>SUM(J126:J133)</f>
        <v>0</v>
      </c>
      <c r="K125" s="65"/>
    </row>
    <row r="126" spans="1:11" ht="12" customHeight="1" x14ac:dyDescent="0.25">
      <c r="A126" s="32" t="s">
        <v>45</v>
      </c>
      <c r="B126" s="48" t="s">
        <v>231</v>
      </c>
      <c r="C126" s="148"/>
      <c r="D126" s="149"/>
      <c r="E126" s="182"/>
      <c r="F126" s="182"/>
      <c r="G126" s="150"/>
      <c r="H126" s="144">
        <f>'[1]1.1.sz.mell. '!C127</f>
        <v>0</v>
      </c>
      <c r="I126" s="56"/>
      <c r="J126" s="56"/>
      <c r="K126" s="65"/>
    </row>
    <row r="127" spans="1:11" ht="12" customHeight="1" x14ac:dyDescent="0.25">
      <c r="A127" s="32" t="s">
        <v>232</v>
      </c>
      <c r="B127" s="183" t="s">
        <v>233</v>
      </c>
      <c r="C127" s="148"/>
      <c r="D127" s="149"/>
      <c r="E127" s="182"/>
      <c r="F127" s="182"/>
      <c r="G127" s="150"/>
      <c r="H127" s="144">
        <f>'[1]1.1.sz.mell. '!C128</f>
        <v>0</v>
      </c>
      <c r="I127" s="56"/>
      <c r="J127" s="56"/>
      <c r="K127" s="65"/>
    </row>
    <row r="128" spans="1:11" ht="12" customHeight="1" x14ac:dyDescent="0.25">
      <c r="A128" s="32" t="s">
        <v>234</v>
      </c>
      <c r="B128" s="159" t="s">
        <v>206</v>
      </c>
      <c r="C128" s="148"/>
      <c r="D128" s="149"/>
      <c r="E128" s="182"/>
      <c r="F128" s="182"/>
      <c r="G128" s="150"/>
      <c r="H128" s="144">
        <f>'[1]1.1.sz.mell. '!C129</f>
        <v>0</v>
      </c>
      <c r="I128" s="56"/>
      <c r="J128" s="56"/>
      <c r="K128" s="65"/>
    </row>
    <row r="129" spans="1:11" ht="12" customHeight="1" x14ac:dyDescent="0.25">
      <c r="A129" s="32" t="s">
        <v>235</v>
      </c>
      <c r="B129" s="159" t="s">
        <v>236</v>
      </c>
      <c r="C129" s="148">
        <v>308980</v>
      </c>
      <c r="D129" s="149"/>
      <c r="E129" s="182"/>
      <c r="F129" s="182"/>
      <c r="G129" s="150"/>
      <c r="H129" s="144">
        <f>'[1]1.1.sz.mell. '!C130</f>
        <v>0</v>
      </c>
      <c r="I129" s="56"/>
      <c r="J129" s="56"/>
      <c r="K129" s="65"/>
    </row>
    <row r="130" spans="1:11" ht="12" customHeight="1" x14ac:dyDescent="0.25">
      <c r="A130" s="32" t="s">
        <v>237</v>
      </c>
      <c r="B130" s="159" t="s">
        <v>238</v>
      </c>
      <c r="C130" s="148"/>
      <c r="D130" s="149"/>
      <c r="E130" s="182"/>
      <c r="F130" s="182"/>
      <c r="G130" s="150"/>
      <c r="H130" s="144">
        <f>'[1]1.1.sz.mell. '!C131</f>
        <v>0</v>
      </c>
      <c r="I130" s="56"/>
      <c r="J130" s="56"/>
      <c r="K130" s="65"/>
    </row>
    <row r="131" spans="1:11" ht="12" customHeight="1" x14ac:dyDescent="0.25">
      <c r="A131" s="32" t="s">
        <v>239</v>
      </c>
      <c r="B131" s="159" t="s">
        <v>212</v>
      </c>
      <c r="C131" s="148"/>
      <c r="D131" s="149"/>
      <c r="E131" s="182"/>
      <c r="F131" s="182"/>
      <c r="G131" s="150"/>
      <c r="H131" s="144">
        <f>'[1]1.1.sz.mell. '!C132</f>
        <v>0</v>
      </c>
      <c r="I131" s="56"/>
      <c r="J131" s="56"/>
      <c r="K131" s="65"/>
    </row>
    <row r="132" spans="1:11" ht="12" customHeight="1" x14ac:dyDescent="0.25">
      <c r="A132" s="32" t="s">
        <v>240</v>
      </c>
      <c r="B132" s="159" t="s">
        <v>241</v>
      </c>
      <c r="C132" s="148"/>
      <c r="D132" s="149"/>
      <c r="E132" s="182"/>
      <c r="F132" s="182"/>
      <c r="G132" s="150"/>
      <c r="H132" s="144">
        <f>'[1]1.1.sz.mell. '!C133</f>
        <v>0</v>
      </c>
      <c r="I132" s="56"/>
      <c r="J132" s="56"/>
      <c r="K132" s="65"/>
    </row>
    <row r="133" spans="1:11" ht="12" customHeight="1" thickBot="1" x14ac:dyDescent="0.3">
      <c r="A133" s="160" t="s">
        <v>242</v>
      </c>
      <c r="B133" s="159" t="s">
        <v>243</v>
      </c>
      <c r="C133" s="163">
        <v>6934942</v>
      </c>
      <c r="D133" s="164">
        <v>4066909</v>
      </c>
      <c r="E133" s="152"/>
      <c r="F133" s="152"/>
      <c r="G133" s="152"/>
      <c r="H133" s="144">
        <f>'[1]1.1.sz.mell. '!C134</f>
        <v>5911806</v>
      </c>
      <c r="I133" s="68">
        <f>650000+26269106</f>
        <v>26919106</v>
      </c>
      <c r="J133" s="68"/>
      <c r="K133" s="68"/>
    </row>
    <row r="134" spans="1:11" ht="12" customHeight="1" thickBot="1" x14ac:dyDescent="0.3">
      <c r="A134" s="25" t="s">
        <v>47</v>
      </c>
      <c r="B134" s="184" t="s">
        <v>244</v>
      </c>
      <c r="C134" s="132">
        <f>C120+C99</f>
        <v>2764684048</v>
      </c>
      <c r="D134" s="132">
        <f>D120+D99</f>
        <v>2636250942</v>
      </c>
      <c r="E134" s="171"/>
      <c r="F134" s="172"/>
      <c r="G134" s="172"/>
      <c r="H134" s="174">
        <f>'[1]1.1.sz.mell. '!C135</f>
        <v>3809048190</v>
      </c>
      <c r="I134" s="30">
        <f>+I99+I120</f>
        <v>1134241880</v>
      </c>
      <c r="J134" s="29">
        <f>+J99+J120</f>
        <v>227256857</v>
      </c>
      <c r="K134" s="29">
        <f>+K99+K120</f>
        <v>1626897847</v>
      </c>
    </row>
    <row r="135" spans="1:11" ht="12" customHeight="1" thickBot="1" x14ac:dyDescent="0.3">
      <c r="A135" s="25" t="s">
        <v>245</v>
      </c>
      <c r="B135" s="184" t="s">
        <v>246</v>
      </c>
      <c r="C135" s="132">
        <f>SUM(C136:C138)</f>
        <v>16952500</v>
      </c>
      <c r="D135" s="132">
        <f>SUM(D136:D138)</f>
        <v>847193674</v>
      </c>
      <c r="E135" s="171"/>
      <c r="F135" s="172"/>
      <c r="G135" s="172"/>
      <c r="H135" s="174">
        <f>'[1]1.1.sz.mell. '!C136</f>
        <v>874993747</v>
      </c>
      <c r="I135" s="30">
        <f>+I136+I137+I138</f>
        <v>116952500</v>
      </c>
      <c r="J135" s="29">
        <f>+J136+J137+J138</f>
        <v>0</v>
      </c>
      <c r="K135" s="29">
        <f>+K136+K137+K138</f>
        <v>0</v>
      </c>
    </row>
    <row r="136" spans="1:11" ht="12" customHeight="1" x14ac:dyDescent="0.25">
      <c r="A136" s="32" t="s">
        <v>63</v>
      </c>
      <c r="B136" s="179" t="s">
        <v>247</v>
      </c>
      <c r="C136" s="185">
        <v>16952500</v>
      </c>
      <c r="D136" s="186">
        <v>26038434</v>
      </c>
      <c r="E136" s="150"/>
      <c r="F136" s="150"/>
      <c r="G136" s="150"/>
      <c r="H136" s="144">
        <f>'[1]1.1.sz.mell. '!C137</f>
        <v>24993747</v>
      </c>
      <c r="I136" s="65">
        <f>11674500+5278000</f>
        <v>16952500</v>
      </c>
      <c r="J136" s="65"/>
      <c r="K136" s="65"/>
    </row>
    <row r="137" spans="1:11" ht="12" customHeight="1" x14ac:dyDescent="0.25">
      <c r="A137" s="32" t="s">
        <v>69</v>
      </c>
      <c r="B137" s="179" t="s">
        <v>248</v>
      </c>
      <c r="C137" s="187"/>
      <c r="D137" s="188">
        <v>821155240</v>
      </c>
      <c r="E137" s="182"/>
      <c r="F137" s="182"/>
      <c r="G137" s="182"/>
      <c r="H137" s="144">
        <f>'[1]1.1.sz.mell. '!C138</f>
        <v>850000000</v>
      </c>
      <c r="I137" s="56">
        <v>100000000</v>
      </c>
      <c r="J137" s="56"/>
      <c r="K137" s="56"/>
    </row>
    <row r="138" spans="1:11" ht="12" customHeight="1" thickBot="1" x14ac:dyDescent="0.3">
      <c r="A138" s="160" t="s">
        <v>249</v>
      </c>
      <c r="B138" s="179" t="s">
        <v>250</v>
      </c>
      <c r="C138" s="189"/>
      <c r="D138" s="190"/>
      <c r="E138" s="182"/>
      <c r="F138" s="182"/>
      <c r="G138" s="182"/>
      <c r="H138" s="191">
        <f>'[1]1.1.sz.mell. '!C139</f>
        <v>0</v>
      </c>
      <c r="I138" s="56"/>
      <c r="J138" s="56"/>
      <c r="K138" s="56"/>
    </row>
    <row r="139" spans="1:11" ht="12" customHeight="1" thickBot="1" x14ac:dyDescent="0.3">
      <c r="A139" s="25" t="s">
        <v>77</v>
      </c>
      <c r="B139" s="184" t="s">
        <v>251</v>
      </c>
      <c r="C139" s="192">
        <f>SUM(C140:C145)</f>
        <v>0</v>
      </c>
      <c r="D139" s="192">
        <f>SUM(D140:D145)</f>
        <v>0</v>
      </c>
      <c r="E139" s="192">
        <f>SUM(E140:E145)</f>
        <v>0</v>
      </c>
      <c r="F139" s="192">
        <f>SUM(F140:F145)</f>
        <v>0</v>
      </c>
      <c r="G139" s="192">
        <f>SUM(G140:G145)</f>
        <v>0</v>
      </c>
      <c r="H139" s="192">
        <f>'[1]1.1.sz.mell. '!C140</f>
        <v>0</v>
      </c>
      <c r="I139" s="30">
        <f>+I140+I141+I142+I143+I144+I145</f>
        <v>0</v>
      </c>
      <c r="J139" s="29">
        <f>+J140+J141+J142+J143+J144+J145</f>
        <v>0</v>
      </c>
      <c r="K139" s="29">
        <f>SUM(K140:K145)</f>
        <v>0</v>
      </c>
    </row>
    <row r="140" spans="1:11" ht="12" customHeight="1" x14ac:dyDescent="0.25">
      <c r="A140" s="32" t="s">
        <v>79</v>
      </c>
      <c r="B140" s="193" t="s">
        <v>252</v>
      </c>
      <c r="C140" s="185"/>
      <c r="D140" s="186"/>
      <c r="E140" s="182"/>
      <c r="F140" s="182"/>
      <c r="G140" s="182"/>
      <c r="H140" s="144">
        <f>'[1]1.1.sz.mell. '!C141</f>
        <v>0</v>
      </c>
      <c r="I140" s="56"/>
      <c r="J140" s="56"/>
      <c r="K140" s="56"/>
    </row>
    <row r="141" spans="1:11" ht="12" customHeight="1" x14ac:dyDescent="0.25">
      <c r="A141" s="32" t="s">
        <v>81</v>
      </c>
      <c r="B141" s="193" t="s">
        <v>253</v>
      </c>
      <c r="C141" s="187"/>
      <c r="D141" s="188"/>
      <c r="E141" s="182"/>
      <c r="F141" s="182"/>
      <c r="G141" s="182"/>
      <c r="H141" s="144">
        <f>'[1]1.1.sz.mell. '!C142</f>
        <v>0</v>
      </c>
      <c r="I141" s="56"/>
      <c r="J141" s="56"/>
      <c r="K141" s="56"/>
    </row>
    <row r="142" spans="1:11" ht="12" customHeight="1" x14ac:dyDescent="0.25">
      <c r="A142" s="32" t="s">
        <v>83</v>
      </c>
      <c r="B142" s="193" t="s">
        <v>254</v>
      </c>
      <c r="C142" s="187"/>
      <c r="D142" s="188"/>
      <c r="E142" s="182"/>
      <c r="F142" s="182"/>
      <c r="G142" s="182"/>
      <c r="H142" s="144">
        <f>'[1]1.1.sz.mell. '!C143</f>
        <v>0</v>
      </c>
      <c r="I142" s="56"/>
      <c r="J142" s="56"/>
      <c r="K142" s="56"/>
    </row>
    <row r="143" spans="1:11" ht="12" customHeight="1" x14ac:dyDescent="0.25">
      <c r="A143" s="32" t="s">
        <v>85</v>
      </c>
      <c r="B143" s="193" t="s">
        <v>255</v>
      </c>
      <c r="C143" s="187"/>
      <c r="D143" s="188"/>
      <c r="E143" s="182"/>
      <c r="F143" s="182"/>
      <c r="G143" s="182"/>
      <c r="H143" s="144">
        <f>'[1]1.1.sz.mell. '!C144</f>
        <v>0</v>
      </c>
      <c r="I143" s="56"/>
      <c r="J143" s="56"/>
      <c r="K143" s="56"/>
    </row>
    <row r="144" spans="1:11" ht="12" customHeight="1" x14ac:dyDescent="0.25">
      <c r="A144" s="32" t="s">
        <v>87</v>
      </c>
      <c r="B144" s="193" t="s">
        <v>256</v>
      </c>
      <c r="C144" s="187"/>
      <c r="D144" s="188"/>
      <c r="E144" s="182"/>
      <c r="F144" s="182"/>
      <c r="G144" s="182"/>
      <c r="H144" s="144">
        <f>'[1]1.1.sz.mell. '!C145</f>
        <v>0</v>
      </c>
      <c r="I144" s="56"/>
      <c r="J144" s="56"/>
      <c r="K144" s="56"/>
    </row>
    <row r="145" spans="1:11" ht="12" customHeight="1" thickBot="1" x14ac:dyDescent="0.3">
      <c r="A145" s="160" t="s">
        <v>89</v>
      </c>
      <c r="B145" s="193" t="s">
        <v>257</v>
      </c>
      <c r="C145" s="189"/>
      <c r="D145" s="190"/>
      <c r="E145" s="182"/>
      <c r="F145" s="182"/>
      <c r="G145" s="182"/>
      <c r="H145" s="191">
        <f>'[1]1.1.sz.mell. '!C146</f>
        <v>0</v>
      </c>
      <c r="I145" s="56"/>
      <c r="J145" s="56"/>
      <c r="K145" s="56"/>
    </row>
    <row r="146" spans="1:11" ht="12" customHeight="1" thickBot="1" x14ac:dyDescent="0.3">
      <c r="A146" s="25" t="s">
        <v>101</v>
      </c>
      <c r="B146" s="184" t="s">
        <v>258</v>
      </c>
      <c r="C146" s="132">
        <f t="shared" ref="C146:K146" si="0">SUM(C147:C150)</f>
        <v>41904332</v>
      </c>
      <c r="D146" s="132">
        <f t="shared" si="0"/>
        <v>45672254</v>
      </c>
      <c r="E146" s="132">
        <f t="shared" si="0"/>
        <v>0</v>
      </c>
      <c r="F146" s="132">
        <f t="shared" si="0"/>
        <v>0</v>
      </c>
      <c r="G146" s="132">
        <f t="shared" si="0"/>
        <v>0</v>
      </c>
      <c r="H146" s="132">
        <f>'[1]1.1.sz.mell. '!C147</f>
        <v>48966750</v>
      </c>
      <c r="I146" s="20">
        <f t="shared" si="0"/>
        <v>41904332</v>
      </c>
      <c r="J146" s="20">
        <f t="shared" si="0"/>
        <v>0</v>
      </c>
      <c r="K146" s="20">
        <f t="shared" si="0"/>
        <v>0</v>
      </c>
    </row>
    <row r="147" spans="1:11" ht="12" customHeight="1" x14ac:dyDescent="0.25">
      <c r="A147" s="32" t="s">
        <v>103</v>
      </c>
      <c r="B147" s="193" t="s">
        <v>259</v>
      </c>
      <c r="C147" s="185"/>
      <c r="D147" s="186"/>
      <c r="E147" s="182"/>
      <c r="F147" s="182"/>
      <c r="G147" s="182"/>
      <c r="H147" s="194">
        <f>'[1]1.1.sz.mell. '!C148</f>
        <v>0</v>
      </c>
      <c r="I147" s="56"/>
      <c r="J147" s="56"/>
      <c r="K147" s="56"/>
    </row>
    <row r="148" spans="1:11" ht="12" customHeight="1" x14ac:dyDescent="0.25">
      <c r="A148" s="32" t="s">
        <v>105</v>
      </c>
      <c r="B148" s="193" t="s">
        <v>260</v>
      </c>
      <c r="C148" s="187">
        <v>41904332</v>
      </c>
      <c r="D148" s="188">
        <v>45672254</v>
      </c>
      <c r="E148" s="182"/>
      <c r="F148" s="182"/>
      <c r="G148" s="182"/>
      <c r="H148" s="144">
        <f>'[1]1.1.sz.mell. '!C149</f>
        <v>48966750</v>
      </c>
      <c r="I148" s="56">
        <f>41904332</f>
        <v>41904332</v>
      </c>
      <c r="J148" s="56"/>
      <c r="K148" s="56"/>
    </row>
    <row r="149" spans="1:11" ht="12" customHeight="1" x14ac:dyDescent="0.25">
      <c r="A149" s="32" t="s">
        <v>107</v>
      </c>
      <c r="B149" s="193" t="s">
        <v>261</v>
      </c>
      <c r="C149" s="187"/>
      <c r="D149" s="188"/>
      <c r="E149" s="182"/>
      <c r="F149" s="182"/>
      <c r="G149" s="182"/>
      <c r="H149" s="194">
        <f>'[1]1.1.sz.mell. '!C150</f>
        <v>0</v>
      </c>
      <c r="I149" s="56"/>
      <c r="J149" s="56"/>
      <c r="K149" s="56"/>
    </row>
    <row r="150" spans="1:11" ht="12" customHeight="1" thickBot="1" x14ac:dyDescent="0.3">
      <c r="A150" s="160" t="s">
        <v>109</v>
      </c>
      <c r="B150" s="195" t="s">
        <v>262</v>
      </c>
      <c r="C150" s="189"/>
      <c r="D150" s="190"/>
      <c r="E150" s="182"/>
      <c r="F150" s="182"/>
      <c r="G150" s="182"/>
      <c r="H150" s="196">
        <f>'[1]1.1.sz.mell. '!C151</f>
        <v>0</v>
      </c>
      <c r="I150" s="56"/>
      <c r="J150" s="56"/>
      <c r="K150" s="56"/>
    </row>
    <row r="151" spans="1:11" ht="12" customHeight="1" thickBot="1" x14ac:dyDescent="0.3">
      <c r="A151" s="25" t="s">
        <v>263</v>
      </c>
      <c r="B151" s="184" t="s">
        <v>264</v>
      </c>
      <c r="C151" s="197">
        <f>SUM(C152:C156)</f>
        <v>0</v>
      </c>
      <c r="D151" s="197">
        <f>SUM(D152:D156)</f>
        <v>0</v>
      </c>
      <c r="E151" s="197">
        <f>SUM(E152:E156)</f>
        <v>0</v>
      </c>
      <c r="F151" s="197">
        <f>SUM(F152:F156)</f>
        <v>0</v>
      </c>
      <c r="G151" s="197">
        <f>SUM(G152:G156)</f>
        <v>0</v>
      </c>
      <c r="H151" s="197">
        <f>'[1]1.1.sz.mell. '!C152</f>
        <v>0</v>
      </c>
      <c r="I151" s="198">
        <f>+I152+I153+I154+I155+I156</f>
        <v>0</v>
      </c>
      <c r="J151" s="199">
        <f>+J152+J153+J154+J155+J156</f>
        <v>0</v>
      </c>
      <c r="K151" s="199">
        <f>SUM(K152:K156)</f>
        <v>0</v>
      </c>
    </row>
    <row r="152" spans="1:11" ht="12" customHeight="1" x14ac:dyDescent="0.25">
      <c r="A152" s="32" t="s">
        <v>115</v>
      </c>
      <c r="B152" s="193" t="s">
        <v>265</v>
      </c>
      <c r="C152" s="185"/>
      <c r="D152" s="186"/>
      <c r="E152" s="182"/>
      <c r="F152" s="182"/>
      <c r="G152" s="182"/>
      <c r="H152" s="194">
        <f>'[1]1.1.sz.mell. '!C153</f>
        <v>0</v>
      </c>
      <c r="I152" s="56"/>
      <c r="J152" s="56"/>
      <c r="K152" s="56"/>
    </row>
    <row r="153" spans="1:11" ht="12" customHeight="1" x14ac:dyDescent="0.25">
      <c r="A153" s="32" t="s">
        <v>117</v>
      </c>
      <c r="B153" s="193" t="s">
        <v>266</v>
      </c>
      <c r="C153" s="187"/>
      <c r="D153" s="188"/>
      <c r="E153" s="182"/>
      <c r="F153" s="182"/>
      <c r="G153" s="182"/>
      <c r="H153" s="194">
        <f>'[1]1.1.sz.mell. '!C154</f>
        <v>0</v>
      </c>
      <c r="I153" s="56"/>
      <c r="J153" s="56"/>
      <c r="K153" s="56"/>
    </row>
    <row r="154" spans="1:11" ht="12" customHeight="1" x14ac:dyDescent="0.25">
      <c r="A154" s="32" t="s">
        <v>119</v>
      </c>
      <c r="B154" s="193" t="s">
        <v>267</v>
      </c>
      <c r="C154" s="187"/>
      <c r="D154" s="188"/>
      <c r="E154" s="182"/>
      <c r="F154" s="182"/>
      <c r="G154" s="182"/>
      <c r="H154" s="194">
        <f>'[1]1.1.sz.mell. '!C155</f>
        <v>0</v>
      </c>
      <c r="I154" s="56"/>
      <c r="J154" s="56"/>
      <c r="K154" s="56"/>
    </row>
    <row r="155" spans="1:11" ht="12" customHeight="1" x14ac:dyDescent="0.25">
      <c r="A155" s="32" t="s">
        <v>121</v>
      </c>
      <c r="B155" s="193" t="s">
        <v>268</v>
      </c>
      <c r="C155" s="187"/>
      <c r="D155" s="188"/>
      <c r="E155" s="182"/>
      <c r="F155" s="182"/>
      <c r="G155" s="182"/>
      <c r="H155" s="194">
        <f>'[1]1.1.sz.mell. '!C156</f>
        <v>0</v>
      </c>
      <c r="I155" s="56"/>
      <c r="J155" s="56"/>
      <c r="K155" s="56"/>
    </row>
    <row r="156" spans="1:11" ht="12" customHeight="1" thickBot="1" x14ac:dyDescent="0.3">
      <c r="A156" s="32" t="s">
        <v>269</v>
      </c>
      <c r="B156" s="193" t="s">
        <v>270</v>
      </c>
      <c r="C156" s="189"/>
      <c r="D156" s="190"/>
      <c r="E156" s="200"/>
      <c r="F156" s="200"/>
      <c r="G156" s="182"/>
      <c r="H156" s="196">
        <f>'[1]1.1.sz.mell. '!C157</f>
        <v>0</v>
      </c>
      <c r="I156" s="99"/>
      <c r="J156" s="99"/>
      <c r="K156" s="56"/>
    </row>
    <row r="157" spans="1:11" ht="12" customHeight="1" thickBot="1" x14ac:dyDescent="0.3">
      <c r="A157" s="25" t="s">
        <v>123</v>
      </c>
      <c r="B157" s="184" t="s">
        <v>271</v>
      </c>
      <c r="C157" s="192"/>
      <c r="D157" s="201"/>
      <c r="E157" s="202"/>
      <c r="F157" s="203"/>
      <c r="G157" s="204"/>
      <c r="H157" s="174">
        <f>'[1]1.1.sz.mell. '!C158</f>
        <v>0</v>
      </c>
      <c r="I157" s="198"/>
      <c r="J157" s="199"/>
      <c r="K157" s="205"/>
    </row>
    <row r="158" spans="1:11" ht="12" customHeight="1" thickBot="1" x14ac:dyDescent="0.3">
      <c r="A158" s="25" t="s">
        <v>272</v>
      </c>
      <c r="B158" s="184" t="s">
        <v>273</v>
      </c>
      <c r="C158" s="192"/>
      <c r="D158" s="201"/>
      <c r="E158" s="202"/>
      <c r="F158" s="203"/>
      <c r="G158" s="204"/>
      <c r="H158" s="174">
        <f>'[1]1.1.sz.mell. '!C159</f>
        <v>0</v>
      </c>
      <c r="I158" s="198"/>
      <c r="J158" s="199"/>
      <c r="K158" s="205"/>
    </row>
    <row r="159" spans="1:11" ht="15" customHeight="1" thickBot="1" x14ac:dyDescent="0.3">
      <c r="A159" s="25" t="s">
        <v>274</v>
      </c>
      <c r="B159" s="184" t="s">
        <v>275</v>
      </c>
      <c r="C159" s="132">
        <f>C135+C139+C146+C151+C157+C158</f>
        <v>58856832</v>
      </c>
      <c r="D159" s="132">
        <f>D135+D139+D146+D151+D157+D158</f>
        <v>892865928</v>
      </c>
      <c r="E159" s="206"/>
      <c r="F159" s="207"/>
      <c r="G159" s="207"/>
      <c r="H159" s="174">
        <f>'[1]1.1.sz.mell. '!C160</f>
        <v>923960497</v>
      </c>
      <c r="I159" s="208">
        <f>+I135+I139+I146+I151+I157+I158</f>
        <v>158856832</v>
      </c>
      <c r="J159" s="209">
        <f>+J135+J139+J146+J151+J157+J158</f>
        <v>0</v>
      </c>
      <c r="K159" s="209">
        <f>+K135+K139+K146+K151+K157+K158</f>
        <v>0</v>
      </c>
    </row>
    <row r="160" spans="1:11" s="31" customFormat="1" ht="12.95" customHeight="1" thickBot="1" x14ac:dyDescent="0.25">
      <c r="A160" s="210" t="s">
        <v>276</v>
      </c>
      <c r="B160" s="211" t="s">
        <v>277</v>
      </c>
      <c r="C160" s="132">
        <f>C159+C134</f>
        <v>2823540880</v>
      </c>
      <c r="D160" s="132">
        <f>D159+D134</f>
        <v>3529116870</v>
      </c>
      <c r="E160" s="206"/>
      <c r="F160" s="207"/>
      <c r="G160" s="207"/>
      <c r="H160" s="174">
        <f>'[1]1.1.sz.mell. '!C161</f>
        <v>4733008687</v>
      </c>
      <c r="I160" s="208">
        <f>+I134+I159</f>
        <v>1293098712</v>
      </c>
      <c r="J160" s="209">
        <f>+J134+J159</f>
        <v>227256857</v>
      </c>
      <c r="K160" s="209">
        <f>+K134+K159</f>
        <v>1626897847</v>
      </c>
    </row>
    <row r="164" spans="3:11" s="3" customFormat="1" ht="16.5" customHeight="1" x14ac:dyDescent="0.25">
      <c r="C164" s="4"/>
      <c r="D164" s="4"/>
      <c r="E164" s="4"/>
      <c r="F164" s="4"/>
      <c r="G164" s="4"/>
      <c r="H164" s="4"/>
      <c r="I164" s="2"/>
      <c r="J164" s="2"/>
      <c r="K164" s="2"/>
    </row>
  </sheetData>
  <mergeCells count="6">
    <mergeCell ref="A1:H1"/>
    <mergeCell ref="A3:H3"/>
    <mergeCell ref="A5:H5"/>
    <mergeCell ref="A6:B6"/>
    <mergeCell ref="A95:H95"/>
    <mergeCell ref="A96:B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/>
  <rowBreaks count="1" manualBreakCount="1">
    <brk id="7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2021-02-16T09:34:16Z</dcterms:created>
  <dcterms:modified xsi:type="dcterms:W3CDTF">2021-02-16T09:34:17Z</dcterms:modified>
</cp:coreProperties>
</file>