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Öttevény\Költségvetés 2020\Kihirdetett 20200706\"/>
    </mc:Choice>
  </mc:AlternateContent>
  <xr:revisionPtr revIDLastSave="0" documentId="13_ncr:1_{4B0DA241-09CB-4773-A087-B172EE19B843}" xr6:coauthVersionLast="45" xr6:coauthVersionMax="45" xr10:uidLastSave="{00000000-0000-0000-0000-000000000000}"/>
  <bookViews>
    <workbookView xWindow="-120" yWindow="-120" windowWidth="38640" windowHeight="15840" firstSheet="4" activeTab="5" xr2:uid="{00000000-000D-0000-FFFF-FFFF00000000}"/>
  </bookViews>
  <sheets>
    <sheet name="Önkormányzat tételes" sheetId="1" state="hidden" r:id="rId1"/>
    <sheet name="Hivatal tételes" sheetId="2" state="hidden" r:id="rId2"/>
    <sheet name="Óvoda tételes" sheetId="3" state="hidden" r:id="rId3"/>
    <sheet name="1.1 Összesítő" sheetId="7" r:id="rId4"/>
    <sheet name="2.1 Működési mérleg" sheetId="8" r:id="rId5"/>
    <sheet name="2.2 Felhalmozási mérleg" sheetId="9" r:id="rId6"/>
    <sheet name="3. Adósság   " sheetId="10" r:id="rId7"/>
    <sheet name="4. Saját bevétel" sheetId="11" r:id="rId8"/>
    <sheet name="5. Beruhzások " sheetId="12" r:id="rId9"/>
    <sheet name="6. Felújítások" sheetId="13" r:id="rId10"/>
    <sheet name="7.1 Önkormányzat" sheetId="4" r:id="rId11"/>
    <sheet name="7.1.1 Önkormányzat (KÖT)" sheetId="26" state="hidden" r:id="rId12"/>
    <sheet name="7.1.2 Önkormányzat (ÁIG)" sheetId="25" state="hidden" r:id="rId13"/>
    <sheet name="7.1.3 Önkormányzat (ÖNK)" sheetId="24" state="hidden" r:id="rId14"/>
    <sheet name="7.2 Hivatal" sheetId="5" r:id="rId15"/>
    <sheet name="7.2.1 Hivatal (ÁIG)" sheetId="22" state="hidden" r:id="rId16"/>
    <sheet name="7.2.2 Hivatal (KÖT)" sheetId="23" state="hidden" r:id="rId17"/>
    <sheet name="7.3 Óvoda" sheetId="6" r:id="rId18"/>
    <sheet name="7.3.1 Óvoda (KÖT)" sheetId="21" state="hidden" r:id="rId19"/>
    <sheet name="8. Tartalék" sheetId="14" r:id="rId20"/>
    <sheet name="9. Tartozás állomány" sheetId="15" state="hidden" r:id="rId21"/>
    <sheet name="10. Felhasználási terv" sheetId="16" state="hidden" r:id="rId22"/>
    <sheet name="1.sz tájékoztató t." sheetId="20" state="hidden" r:id="rId23"/>
    <sheet name="1.(2.) sz. tájékoztató t." sheetId="17" r:id="rId24"/>
    <sheet name="3. sz tájékoztató t" sheetId="18" state="hidden" r:id="rId25"/>
    <sheet name="4. sz tájékoztató t." sheetId="19" state="hidden" r:id="rId26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____________________fgl1" localSheetId="23">[1]flag_1!#REF!</definedName>
    <definedName name="_______________________fgl1" localSheetId="3">[1]flag_1!#REF!</definedName>
    <definedName name="_______________________fgl1" localSheetId="22">[1]flag_1!#REF!</definedName>
    <definedName name="_______________________fgl1" localSheetId="21">[1]flag_1!#REF!</definedName>
    <definedName name="_______________________fgl1" localSheetId="4">[1]flag_1!#REF!</definedName>
    <definedName name="_______________________fgl1" localSheetId="5">[1]flag_1!#REF!</definedName>
    <definedName name="_______________________fgl1" localSheetId="6">[1]flag_1!#REF!</definedName>
    <definedName name="_______________________fgl1" localSheetId="24">[1]flag_1!#REF!</definedName>
    <definedName name="_______________________fgl1" localSheetId="7">[1]flag_1!#REF!</definedName>
    <definedName name="_______________________fgl1" localSheetId="25">[1]flag_1!#REF!</definedName>
    <definedName name="_______________________fgl1" localSheetId="8">[1]flag_1!#REF!</definedName>
    <definedName name="_______________________fgl1" localSheetId="9">[1]flag_1!#REF!</definedName>
    <definedName name="_______________________fgl1" localSheetId="14">[1]flag_1!#REF!</definedName>
    <definedName name="_______________________fgl1" localSheetId="15">[1]flag_1!#REF!</definedName>
    <definedName name="_______________________fgl1" localSheetId="16">[1]flag_1!#REF!</definedName>
    <definedName name="_______________________fgl1" localSheetId="17">[1]flag_1!#REF!</definedName>
    <definedName name="_______________________fgl1" localSheetId="18">[1]flag_1!#REF!</definedName>
    <definedName name="_______________________fgl1" localSheetId="19">[1]flag_1!#REF!</definedName>
    <definedName name="_______________________fgl1" localSheetId="20">[1]flag_1!#REF!</definedName>
    <definedName name="_______________________fgl1">[1]flag_1!#REF!</definedName>
    <definedName name="_______________________KSZ1" localSheetId="23">[1]flag_1!#REF!</definedName>
    <definedName name="_______________________KSZ1" localSheetId="3">[1]flag_1!#REF!</definedName>
    <definedName name="_______________________KSZ1" localSheetId="22">[1]flag_1!#REF!</definedName>
    <definedName name="_______________________KSZ1" localSheetId="21">[1]flag_1!#REF!</definedName>
    <definedName name="_______________________KSZ1" localSheetId="4">[1]flag_1!#REF!</definedName>
    <definedName name="_______________________KSZ1" localSheetId="5">[1]flag_1!#REF!</definedName>
    <definedName name="_______________________KSZ1" localSheetId="6">[1]flag_1!#REF!</definedName>
    <definedName name="_______________________KSZ1" localSheetId="24">[1]flag_1!#REF!</definedName>
    <definedName name="_______________________KSZ1" localSheetId="7">[1]flag_1!#REF!</definedName>
    <definedName name="_______________________KSZ1" localSheetId="25">[1]flag_1!#REF!</definedName>
    <definedName name="_______________________KSZ1" localSheetId="8">[1]flag_1!#REF!</definedName>
    <definedName name="_______________________KSZ1" localSheetId="9">[1]flag_1!#REF!</definedName>
    <definedName name="_______________________KSZ1" localSheetId="14">[1]flag_1!#REF!</definedName>
    <definedName name="_______________________KSZ1" localSheetId="15">[1]flag_1!#REF!</definedName>
    <definedName name="_______________________KSZ1" localSheetId="16">[1]flag_1!#REF!</definedName>
    <definedName name="_______________________KSZ1" localSheetId="17">[1]flag_1!#REF!</definedName>
    <definedName name="_______________________KSZ1" localSheetId="18">[1]flag_1!#REF!</definedName>
    <definedName name="_______________________KSZ1" localSheetId="19">[1]flag_1!#REF!</definedName>
    <definedName name="_______________________KSZ1" localSheetId="20">[1]flag_1!#REF!</definedName>
    <definedName name="_______________________KSZ1">[1]flag_1!#REF!</definedName>
    <definedName name="_______________________ksz11" localSheetId="23">[1]flag_1!#REF!</definedName>
    <definedName name="_______________________ksz11" localSheetId="3">[1]flag_1!#REF!</definedName>
    <definedName name="_______________________ksz11" localSheetId="22">[1]flag_1!#REF!</definedName>
    <definedName name="_______________________ksz11" localSheetId="21">[1]flag_1!#REF!</definedName>
    <definedName name="_______________________ksz11" localSheetId="4">[1]flag_1!#REF!</definedName>
    <definedName name="_______________________ksz11" localSheetId="5">[1]flag_1!#REF!</definedName>
    <definedName name="_______________________ksz11" localSheetId="6">[1]flag_1!#REF!</definedName>
    <definedName name="_______________________ksz11" localSheetId="24">[1]flag_1!#REF!</definedName>
    <definedName name="_______________________ksz11" localSheetId="7">[1]flag_1!#REF!</definedName>
    <definedName name="_______________________ksz11" localSheetId="25">[1]flag_1!#REF!</definedName>
    <definedName name="_______________________ksz11" localSheetId="8">[1]flag_1!#REF!</definedName>
    <definedName name="_______________________ksz11" localSheetId="9">[1]flag_1!#REF!</definedName>
    <definedName name="_______________________ksz11" localSheetId="14">[1]flag_1!#REF!</definedName>
    <definedName name="_______________________ksz11" localSheetId="15">[1]flag_1!#REF!</definedName>
    <definedName name="_______________________ksz11" localSheetId="16">[1]flag_1!#REF!</definedName>
    <definedName name="_______________________ksz11" localSheetId="17">[1]flag_1!#REF!</definedName>
    <definedName name="_______________________ksz11" localSheetId="18">[1]flag_1!#REF!</definedName>
    <definedName name="_______________________ksz11" localSheetId="19">[1]flag_1!#REF!</definedName>
    <definedName name="_______________________ksz11" localSheetId="20">[1]flag_1!#REF!</definedName>
    <definedName name="_______________________ksz11">[1]flag_1!#REF!</definedName>
    <definedName name="______________________fgl1" localSheetId="21">[2]flag_1!#REF!</definedName>
    <definedName name="______________________KSZ1" localSheetId="21">[2]flag_1!#REF!</definedName>
    <definedName name="______________________ksz11" localSheetId="21">[2]flag_1!#REF!</definedName>
    <definedName name="_____________________fgl1" localSheetId="23">[1]flag_1!#REF!</definedName>
    <definedName name="_____________________fgl1" localSheetId="3">[1]flag_1!#REF!</definedName>
    <definedName name="_____________________fgl1" localSheetId="22">[1]flag_1!#REF!</definedName>
    <definedName name="_____________________fgl1" localSheetId="21">[1]flag_1!#REF!</definedName>
    <definedName name="_____________________fgl1" localSheetId="4">[1]flag_1!#REF!</definedName>
    <definedName name="_____________________fgl1" localSheetId="5">[1]flag_1!#REF!</definedName>
    <definedName name="_____________________fgl1" localSheetId="6">[1]flag_1!#REF!</definedName>
    <definedName name="_____________________fgl1" localSheetId="24">[1]flag_1!#REF!</definedName>
    <definedName name="_____________________fgl1" localSheetId="7">[1]flag_1!#REF!</definedName>
    <definedName name="_____________________fgl1" localSheetId="25">[1]flag_1!#REF!</definedName>
    <definedName name="_____________________fgl1" localSheetId="8">[1]flag_1!#REF!</definedName>
    <definedName name="_____________________fgl1" localSheetId="9">[1]flag_1!#REF!</definedName>
    <definedName name="_____________________fgl1" localSheetId="14">[1]flag_1!#REF!</definedName>
    <definedName name="_____________________fgl1" localSheetId="15">[1]flag_1!#REF!</definedName>
    <definedName name="_____________________fgl1" localSheetId="16">[1]flag_1!#REF!</definedName>
    <definedName name="_____________________fgl1" localSheetId="17">[1]flag_1!#REF!</definedName>
    <definedName name="_____________________fgl1" localSheetId="18">[1]flag_1!#REF!</definedName>
    <definedName name="_____________________fgl1" localSheetId="19">[1]flag_1!#REF!</definedName>
    <definedName name="_____________________fgl1" localSheetId="20">[1]flag_1!#REF!</definedName>
    <definedName name="_____________________fgl1">[1]flag_1!#REF!</definedName>
    <definedName name="_____________________KSZ1" localSheetId="23">[1]flag_1!#REF!</definedName>
    <definedName name="_____________________KSZ1" localSheetId="3">[1]flag_1!#REF!</definedName>
    <definedName name="_____________________KSZ1" localSheetId="22">[1]flag_1!#REF!</definedName>
    <definedName name="_____________________KSZ1" localSheetId="21">[1]flag_1!#REF!</definedName>
    <definedName name="_____________________KSZ1" localSheetId="4">[1]flag_1!#REF!</definedName>
    <definedName name="_____________________KSZ1" localSheetId="5">[1]flag_1!#REF!</definedName>
    <definedName name="_____________________KSZ1" localSheetId="6">[1]flag_1!#REF!</definedName>
    <definedName name="_____________________KSZ1" localSheetId="24">[1]flag_1!#REF!</definedName>
    <definedName name="_____________________KSZ1" localSheetId="7">[1]flag_1!#REF!</definedName>
    <definedName name="_____________________KSZ1" localSheetId="25">[1]flag_1!#REF!</definedName>
    <definedName name="_____________________KSZ1" localSheetId="8">[1]flag_1!#REF!</definedName>
    <definedName name="_____________________KSZ1" localSheetId="9">[1]flag_1!#REF!</definedName>
    <definedName name="_____________________KSZ1" localSheetId="14">[1]flag_1!#REF!</definedName>
    <definedName name="_____________________KSZ1" localSheetId="15">[1]flag_1!#REF!</definedName>
    <definedName name="_____________________KSZ1" localSheetId="16">[1]flag_1!#REF!</definedName>
    <definedName name="_____________________KSZ1" localSheetId="17">[1]flag_1!#REF!</definedName>
    <definedName name="_____________________KSZ1" localSheetId="18">[1]flag_1!#REF!</definedName>
    <definedName name="_____________________KSZ1" localSheetId="19">[1]flag_1!#REF!</definedName>
    <definedName name="_____________________KSZ1" localSheetId="20">[1]flag_1!#REF!</definedName>
    <definedName name="_____________________KSZ1">[1]flag_1!#REF!</definedName>
    <definedName name="_____________________ksz11" localSheetId="23">[1]flag_1!#REF!</definedName>
    <definedName name="_____________________ksz11" localSheetId="3">[1]flag_1!#REF!</definedName>
    <definedName name="_____________________ksz11" localSheetId="22">[1]flag_1!#REF!</definedName>
    <definedName name="_____________________ksz11" localSheetId="21">[1]flag_1!#REF!</definedName>
    <definedName name="_____________________ksz11" localSheetId="4">[1]flag_1!#REF!</definedName>
    <definedName name="_____________________ksz11" localSheetId="5">[1]flag_1!#REF!</definedName>
    <definedName name="_____________________ksz11" localSheetId="6">[1]flag_1!#REF!</definedName>
    <definedName name="_____________________ksz11" localSheetId="24">[1]flag_1!#REF!</definedName>
    <definedName name="_____________________ksz11" localSheetId="7">[1]flag_1!#REF!</definedName>
    <definedName name="_____________________ksz11" localSheetId="25">[1]flag_1!#REF!</definedName>
    <definedName name="_____________________ksz11" localSheetId="8">[1]flag_1!#REF!</definedName>
    <definedName name="_____________________ksz11" localSheetId="9">[1]flag_1!#REF!</definedName>
    <definedName name="_____________________ksz11" localSheetId="14">[1]flag_1!#REF!</definedName>
    <definedName name="_____________________ksz11" localSheetId="15">[1]flag_1!#REF!</definedName>
    <definedName name="_____________________ksz11" localSheetId="16">[1]flag_1!#REF!</definedName>
    <definedName name="_____________________ksz11" localSheetId="17">[1]flag_1!#REF!</definedName>
    <definedName name="_____________________ksz11" localSheetId="18">[1]flag_1!#REF!</definedName>
    <definedName name="_____________________ksz11" localSheetId="19">[1]flag_1!#REF!</definedName>
    <definedName name="_____________________ksz11" localSheetId="20">[1]flag_1!#REF!</definedName>
    <definedName name="_____________________ksz11">[1]flag_1!#REF!</definedName>
    <definedName name="____________________fgl1" localSheetId="22">[2]flag_1!#REF!</definedName>
    <definedName name="____________________KSZ1" localSheetId="22">[2]flag_1!#REF!</definedName>
    <definedName name="____________________ksz11" localSheetId="22">[2]flag_1!#REF!</definedName>
    <definedName name="___________________fgl1" localSheetId="23">[1]flag_1!#REF!</definedName>
    <definedName name="___________________fgl1" localSheetId="3">[1]flag_1!#REF!</definedName>
    <definedName name="___________________fgl1" localSheetId="22">[1]flag_1!#REF!</definedName>
    <definedName name="___________________fgl1" localSheetId="21">[1]flag_1!#REF!</definedName>
    <definedName name="___________________fgl1" localSheetId="4">[1]flag_1!#REF!</definedName>
    <definedName name="___________________fgl1" localSheetId="5">[1]flag_1!#REF!</definedName>
    <definedName name="___________________fgl1" localSheetId="6">[1]flag_1!#REF!</definedName>
    <definedName name="___________________fgl1" localSheetId="24">[1]flag_1!#REF!</definedName>
    <definedName name="___________________fgl1" localSheetId="7">[1]flag_1!#REF!</definedName>
    <definedName name="___________________fgl1" localSheetId="25">[1]flag_1!#REF!</definedName>
    <definedName name="___________________fgl1" localSheetId="8">[1]flag_1!#REF!</definedName>
    <definedName name="___________________fgl1" localSheetId="9">[1]flag_1!#REF!</definedName>
    <definedName name="___________________fgl1" localSheetId="14">[1]flag_1!#REF!</definedName>
    <definedName name="___________________fgl1" localSheetId="15">[1]flag_1!#REF!</definedName>
    <definedName name="___________________fgl1" localSheetId="16">[1]flag_1!#REF!</definedName>
    <definedName name="___________________fgl1" localSheetId="17">[1]flag_1!#REF!</definedName>
    <definedName name="___________________fgl1" localSheetId="18">[1]flag_1!#REF!</definedName>
    <definedName name="___________________fgl1" localSheetId="19">[1]flag_1!#REF!</definedName>
    <definedName name="___________________fgl1" localSheetId="20">[1]flag_1!#REF!</definedName>
    <definedName name="___________________fgl1">[1]flag_1!#REF!</definedName>
    <definedName name="___________________KSZ1" localSheetId="23">[1]flag_1!#REF!</definedName>
    <definedName name="___________________KSZ1" localSheetId="3">[1]flag_1!#REF!</definedName>
    <definedName name="___________________KSZ1" localSheetId="22">[1]flag_1!#REF!</definedName>
    <definedName name="___________________KSZ1" localSheetId="21">[1]flag_1!#REF!</definedName>
    <definedName name="___________________KSZ1" localSheetId="4">[1]flag_1!#REF!</definedName>
    <definedName name="___________________KSZ1" localSheetId="5">[1]flag_1!#REF!</definedName>
    <definedName name="___________________KSZ1" localSheetId="6">[1]flag_1!#REF!</definedName>
    <definedName name="___________________KSZ1" localSheetId="24">[1]flag_1!#REF!</definedName>
    <definedName name="___________________KSZ1" localSheetId="7">[1]flag_1!#REF!</definedName>
    <definedName name="___________________KSZ1" localSheetId="25">[1]flag_1!#REF!</definedName>
    <definedName name="___________________KSZ1" localSheetId="8">[1]flag_1!#REF!</definedName>
    <definedName name="___________________KSZ1" localSheetId="9">[1]flag_1!#REF!</definedName>
    <definedName name="___________________KSZ1" localSheetId="14">[1]flag_1!#REF!</definedName>
    <definedName name="___________________KSZ1" localSheetId="15">[1]flag_1!#REF!</definedName>
    <definedName name="___________________KSZ1" localSheetId="16">[1]flag_1!#REF!</definedName>
    <definedName name="___________________KSZ1" localSheetId="17">[1]flag_1!#REF!</definedName>
    <definedName name="___________________KSZ1" localSheetId="18">[1]flag_1!#REF!</definedName>
    <definedName name="___________________KSZ1" localSheetId="19">[1]flag_1!#REF!</definedName>
    <definedName name="___________________KSZ1" localSheetId="20">[1]flag_1!#REF!</definedName>
    <definedName name="___________________KSZ1">[1]flag_1!#REF!</definedName>
    <definedName name="___________________ksz11" localSheetId="23">[1]flag_1!#REF!</definedName>
    <definedName name="___________________ksz11" localSheetId="3">[1]flag_1!#REF!</definedName>
    <definedName name="___________________ksz11" localSheetId="22">[1]flag_1!#REF!</definedName>
    <definedName name="___________________ksz11" localSheetId="21">[1]flag_1!#REF!</definedName>
    <definedName name="___________________ksz11" localSheetId="4">[1]flag_1!#REF!</definedName>
    <definedName name="___________________ksz11" localSheetId="5">[1]flag_1!#REF!</definedName>
    <definedName name="___________________ksz11" localSheetId="6">[1]flag_1!#REF!</definedName>
    <definedName name="___________________ksz11" localSheetId="24">[1]flag_1!#REF!</definedName>
    <definedName name="___________________ksz11" localSheetId="7">[1]flag_1!#REF!</definedName>
    <definedName name="___________________ksz11" localSheetId="25">[1]flag_1!#REF!</definedName>
    <definedName name="___________________ksz11" localSheetId="8">[1]flag_1!#REF!</definedName>
    <definedName name="___________________ksz11" localSheetId="9">[1]flag_1!#REF!</definedName>
    <definedName name="___________________ksz11" localSheetId="14">[1]flag_1!#REF!</definedName>
    <definedName name="___________________ksz11" localSheetId="15">[1]flag_1!#REF!</definedName>
    <definedName name="___________________ksz11" localSheetId="16">[1]flag_1!#REF!</definedName>
    <definedName name="___________________ksz11" localSheetId="17">[1]flag_1!#REF!</definedName>
    <definedName name="___________________ksz11" localSheetId="18">[1]flag_1!#REF!</definedName>
    <definedName name="___________________ksz11" localSheetId="19">[1]flag_1!#REF!</definedName>
    <definedName name="___________________ksz11" localSheetId="20">[1]flag_1!#REF!</definedName>
    <definedName name="___________________ksz11">[1]flag_1!#REF!</definedName>
    <definedName name="__________________fgl1" localSheetId="25">[2]flag_1!#REF!</definedName>
    <definedName name="__________________KSZ1" localSheetId="25">[2]flag_1!#REF!</definedName>
    <definedName name="__________________ksz11" localSheetId="25">[2]flag_1!#REF!</definedName>
    <definedName name="_________________fgl1" localSheetId="23">[1]flag_1!#REF!</definedName>
    <definedName name="_________________fgl1" localSheetId="3">[1]flag_1!#REF!</definedName>
    <definedName name="_________________fgl1" localSheetId="22">[1]flag_1!#REF!</definedName>
    <definedName name="_________________fgl1" localSheetId="21">[1]flag_1!#REF!</definedName>
    <definedName name="_________________fgl1" localSheetId="4">[1]flag_1!#REF!</definedName>
    <definedName name="_________________fgl1" localSheetId="5">[1]flag_1!#REF!</definedName>
    <definedName name="_________________fgl1" localSheetId="6">[1]flag_1!#REF!</definedName>
    <definedName name="_________________fgl1" localSheetId="24">[1]flag_1!#REF!</definedName>
    <definedName name="_________________fgl1" localSheetId="7">[1]flag_1!#REF!</definedName>
    <definedName name="_________________fgl1" localSheetId="25">[1]flag_1!#REF!</definedName>
    <definedName name="_________________fgl1" localSheetId="8">[1]flag_1!#REF!</definedName>
    <definedName name="_________________fgl1" localSheetId="9">[1]flag_1!#REF!</definedName>
    <definedName name="_________________fgl1" localSheetId="14">[1]flag_1!#REF!</definedName>
    <definedName name="_________________fgl1" localSheetId="15">[1]flag_1!#REF!</definedName>
    <definedName name="_________________fgl1" localSheetId="16">[1]flag_1!#REF!</definedName>
    <definedName name="_________________fgl1" localSheetId="17">[1]flag_1!#REF!</definedName>
    <definedName name="_________________fgl1" localSheetId="18">[1]flag_1!#REF!</definedName>
    <definedName name="_________________fgl1" localSheetId="19">[1]flag_1!#REF!</definedName>
    <definedName name="_________________fgl1" localSheetId="20">[1]flag_1!#REF!</definedName>
    <definedName name="_________________fgl1">[1]flag_1!#REF!</definedName>
    <definedName name="_________________KSZ1" localSheetId="23">[1]flag_1!#REF!</definedName>
    <definedName name="_________________KSZ1" localSheetId="3">[1]flag_1!#REF!</definedName>
    <definedName name="_________________KSZ1" localSheetId="22">[1]flag_1!#REF!</definedName>
    <definedName name="_________________KSZ1" localSheetId="21">[1]flag_1!#REF!</definedName>
    <definedName name="_________________KSZ1" localSheetId="4">[1]flag_1!#REF!</definedName>
    <definedName name="_________________KSZ1" localSheetId="5">[1]flag_1!#REF!</definedName>
    <definedName name="_________________KSZ1" localSheetId="6">[1]flag_1!#REF!</definedName>
    <definedName name="_________________KSZ1" localSheetId="24">[1]flag_1!#REF!</definedName>
    <definedName name="_________________KSZ1" localSheetId="7">[1]flag_1!#REF!</definedName>
    <definedName name="_________________KSZ1" localSheetId="25">[1]flag_1!#REF!</definedName>
    <definedName name="_________________KSZ1" localSheetId="8">[1]flag_1!#REF!</definedName>
    <definedName name="_________________KSZ1" localSheetId="9">[1]flag_1!#REF!</definedName>
    <definedName name="_________________KSZ1" localSheetId="14">[1]flag_1!#REF!</definedName>
    <definedName name="_________________KSZ1" localSheetId="15">[1]flag_1!#REF!</definedName>
    <definedName name="_________________KSZ1" localSheetId="16">[1]flag_1!#REF!</definedName>
    <definedName name="_________________KSZ1" localSheetId="17">[1]flag_1!#REF!</definedName>
    <definedName name="_________________KSZ1" localSheetId="18">[1]flag_1!#REF!</definedName>
    <definedName name="_________________KSZ1" localSheetId="19">[1]flag_1!#REF!</definedName>
    <definedName name="_________________KSZ1" localSheetId="20">[1]flag_1!#REF!</definedName>
    <definedName name="_________________KSZ1">[1]flag_1!#REF!</definedName>
    <definedName name="_________________ksz11" localSheetId="23">[1]flag_1!#REF!</definedName>
    <definedName name="_________________ksz11" localSheetId="3">[1]flag_1!#REF!</definedName>
    <definedName name="_________________ksz11" localSheetId="22">[1]flag_1!#REF!</definedName>
    <definedName name="_________________ksz11" localSheetId="21">[1]flag_1!#REF!</definedName>
    <definedName name="_________________ksz11" localSheetId="4">[1]flag_1!#REF!</definedName>
    <definedName name="_________________ksz11" localSheetId="5">[1]flag_1!#REF!</definedName>
    <definedName name="_________________ksz11" localSheetId="6">[1]flag_1!#REF!</definedName>
    <definedName name="_________________ksz11" localSheetId="24">[1]flag_1!#REF!</definedName>
    <definedName name="_________________ksz11" localSheetId="7">[1]flag_1!#REF!</definedName>
    <definedName name="_________________ksz11" localSheetId="25">[1]flag_1!#REF!</definedName>
    <definedName name="_________________ksz11" localSheetId="8">[1]flag_1!#REF!</definedName>
    <definedName name="_________________ksz11" localSheetId="9">[1]flag_1!#REF!</definedName>
    <definedName name="_________________ksz11" localSheetId="14">[1]flag_1!#REF!</definedName>
    <definedName name="_________________ksz11" localSheetId="15">[1]flag_1!#REF!</definedName>
    <definedName name="_________________ksz11" localSheetId="16">[1]flag_1!#REF!</definedName>
    <definedName name="_________________ksz11" localSheetId="17">[1]flag_1!#REF!</definedName>
    <definedName name="_________________ksz11" localSheetId="18">[1]flag_1!#REF!</definedName>
    <definedName name="_________________ksz11" localSheetId="19">[1]flag_1!#REF!</definedName>
    <definedName name="_________________ksz11" localSheetId="20">[1]flag_1!#REF!</definedName>
    <definedName name="_________________ksz11">[1]flag_1!#REF!</definedName>
    <definedName name="________________fgl1" localSheetId="23">[1]flag_1!#REF!</definedName>
    <definedName name="________________fgl1" localSheetId="3">[1]flag_1!#REF!</definedName>
    <definedName name="________________fgl1" localSheetId="22">[1]flag_1!#REF!</definedName>
    <definedName name="________________fgl1" localSheetId="21">[1]flag_1!#REF!</definedName>
    <definedName name="________________fgl1" localSheetId="4">[1]flag_1!#REF!</definedName>
    <definedName name="________________fgl1" localSheetId="5">[1]flag_1!#REF!</definedName>
    <definedName name="________________fgl1" localSheetId="6">[1]flag_1!#REF!</definedName>
    <definedName name="________________fgl1" localSheetId="24">[1]flag_1!#REF!</definedName>
    <definedName name="________________fgl1" localSheetId="7">[1]flag_1!#REF!</definedName>
    <definedName name="________________fgl1" localSheetId="25">[1]flag_1!#REF!</definedName>
    <definedName name="________________fgl1" localSheetId="8">[1]flag_1!#REF!</definedName>
    <definedName name="________________fgl1" localSheetId="9">[1]flag_1!#REF!</definedName>
    <definedName name="________________fgl1" localSheetId="14">[1]flag_1!#REF!</definedName>
    <definedName name="________________fgl1" localSheetId="15">[1]flag_1!#REF!</definedName>
    <definedName name="________________fgl1" localSheetId="16">[1]flag_1!#REF!</definedName>
    <definedName name="________________fgl1" localSheetId="17">[1]flag_1!#REF!</definedName>
    <definedName name="________________fgl1" localSheetId="18">[1]flag_1!#REF!</definedName>
    <definedName name="________________fgl1" localSheetId="19">[1]flag_1!#REF!</definedName>
    <definedName name="________________fgl1" localSheetId="20">[1]flag_1!#REF!</definedName>
    <definedName name="________________fgl1">[1]flag_1!#REF!</definedName>
    <definedName name="________________KSZ1" localSheetId="23">[1]flag_1!#REF!</definedName>
    <definedName name="________________KSZ1" localSheetId="3">[1]flag_1!#REF!</definedName>
    <definedName name="________________KSZ1" localSheetId="22">[1]flag_1!#REF!</definedName>
    <definedName name="________________KSZ1" localSheetId="21">[1]flag_1!#REF!</definedName>
    <definedName name="________________KSZ1" localSheetId="4">[1]flag_1!#REF!</definedName>
    <definedName name="________________KSZ1" localSheetId="5">[1]flag_1!#REF!</definedName>
    <definedName name="________________KSZ1" localSheetId="6">[1]flag_1!#REF!</definedName>
    <definedName name="________________KSZ1" localSheetId="24">[1]flag_1!#REF!</definedName>
    <definedName name="________________KSZ1" localSheetId="7">[1]flag_1!#REF!</definedName>
    <definedName name="________________KSZ1" localSheetId="25">[1]flag_1!#REF!</definedName>
    <definedName name="________________KSZ1" localSheetId="8">[1]flag_1!#REF!</definedName>
    <definedName name="________________KSZ1" localSheetId="9">[1]flag_1!#REF!</definedName>
    <definedName name="________________KSZ1" localSheetId="14">[1]flag_1!#REF!</definedName>
    <definedName name="________________KSZ1" localSheetId="15">[1]flag_1!#REF!</definedName>
    <definedName name="________________KSZ1" localSheetId="16">[1]flag_1!#REF!</definedName>
    <definedName name="________________KSZ1" localSheetId="17">[1]flag_1!#REF!</definedName>
    <definedName name="________________KSZ1" localSheetId="18">[1]flag_1!#REF!</definedName>
    <definedName name="________________KSZ1" localSheetId="19">[1]flag_1!#REF!</definedName>
    <definedName name="________________KSZ1" localSheetId="20">[1]flag_1!#REF!</definedName>
    <definedName name="________________KSZ1">[1]flag_1!#REF!</definedName>
    <definedName name="________________ksz11" localSheetId="23">[1]flag_1!#REF!</definedName>
    <definedName name="________________ksz11" localSheetId="3">[1]flag_1!#REF!</definedName>
    <definedName name="________________ksz11" localSheetId="22">[1]flag_1!#REF!</definedName>
    <definedName name="________________ksz11" localSheetId="21">[1]flag_1!#REF!</definedName>
    <definedName name="________________ksz11" localSheetId="4">[1]flag_1!#REF!</definedName>
    <definedName name="________________ksz11" localSheetId="5">[1]flag_1!#REF!</definedName>
    <definedName name="________________ksz11" localSheetId="6">[1]flag_1!#REF!</definedName>
    <definedName name="________________ksz11" localSheetId="24">[1]flag_1!#REF!</definedName>
    <definedName name="________________ksz11" localSheetId="7">[1]flag_1!#REF!</definedName>
    <definedName name="________________ksz11" localSheetId="25">[1]flag_1!#REF!</definedName>
    <definedName name="________________ksz11" localSheetId="8">[1]flag_1!#REF!</definedName>
    <definedName name="________________ksz11" localSheetId="9">[1]flag_1!#REF!</definedName>
    <definedName name="________________ksz11" localSheetId="14">[1]flag_1!#REF!</definedName>
    <definedName name="________________ksz11" localSheetId="15">[1]flag_1!#REF!</definedName>
    <definedName name="________________ksz11" localSheetId="16">[1]flag_1!#REF!</definedName>
    <definedName name="________________ksz11" localSheetId="17">[1]flag_1!#REF!</definedName>
    <definedName name="________________ksz11" localSheetId="18">[1]flag_1!#REF!</definedName>
    <definedName name="________________ksz11" localSheetId="19">[1]flag_1!#REF!</definedName>
    <definedName name="________________ksz11" localSheetId="20">[1]flag_1!#REF!</definedName>
    <definedName name="________________ksz11">[1]flag_1!#REF!</definedName>
    <definedName name="_______________fgl1" localSheetId="23">[1]flag_1!#REF!</definedName>
    <definedName name="_______________fgl1" localSheetId="3">[1]flag_1!#REF!</definedName>
    <definedName name="_______________fgl1" localSheetId="22">[1]flag_1!#REF!</definedName>
    <definedName name="_______________fgl1" localSheetId="21">[1]flag_1!#REF!</definedName>
    <definedName name="_______________fgl1" localSheetId="4">[1]flag_1!#REF!</definedName>
    <definedName name="_______________fgl1" localSheetId="5">[1]flag_1!#REF!</definedName>
    <definedName name="_______________fgl1" localSheetId="6">[1]flag_1!#REF!</definedName>
    <definedName name="_______________fgl1" localSheetId="24">[1]flag_1!#REF!</definedName>
    <definedName name="_______________fgl1" localSheetId="7">[1]flag_1!#REF!</definedName>
    <definedName name="_______________fgl1" localSheetId="25">[1]flag_1!#REF!</definedName>
    <definedName name="_______________fgl1" localSheetId="8">[1]flag_1!#REF!</definedName>
    <definedName name="_______________fgl1" localSheetId="9">[1]flag_1!#REF!</definedName>
    <definedName name="_______________fgl1" localSheetId="14">[1]flag_1!#REF!</definedName>
    <definedName name="_______________fgl1" localSheetId="15">[1]flag_1!#REF!</definedName>
    <definedName name="_______________fgl1" localSheetId="16">[1]flag_1!#REF!</definedName>
    <definedName name="_______________fgl1" localSheetId="17">[1]flag_1!#REF!</definedName>
    <definedName name="_______________fgl1" localSheetId="18">[1]flag_1!#REF!</definedName>
    <definedName name="_______________fgl1" localSheetId="19">[1]flag_1!#REF!</definedName>
    <definedName name="_______________fgl1" localSheetId="20">[1]flag_1!#REF!</definedName>
    <definedName name="_______________fgl1">[1]flag_1!#REF!</definedName>
    <definedName name="_______________KSZ1" localSheetId="23">[1]flag_1!#REF!</definedName>
    <definedName name="_______________KSZ1" localSheetId="3">[1]flag_1!#REF!</definedName>
    <definedName name="_______________KSZ1" localSheetId="22">[1]flag_1!#REF!</definedName>
    <definedName name="_______________KSZ1" localSheetId="21">[1]flag_1!#REF!</definedName>
    <definedName name="_______________KSZ1" localSheetId="4">[1]flag_1!#REF!</definedName>
    <definedName name="_______________KSZ1" localSheetId="5">[1]flag_1!#REF!</definedName>
    <definedName name="_______________KSZ1" localSheetId="6">[1]flag_1!#REF!</definedName>
    <definedName name="_______________KSZ1" localSheetId="24">[1]flag_1!#REF!</definedName>
    <definedName name="_______________KSZ1" localSheetId="7">[1]flag_1!#REF!</definedName>
    <definedName name="_______________KSZ1" localSheetId="25">[1]flag_1!#REF!</definedName>
    <definedName name="_______________KSZ1" localSheetId="8">[1]flag_1!#REF!</definedName>
    <definedName name="_______________KSZ1" localSheetId="9">[1]flag_1!#REF!</definedName>
    <definedName name="_______________KSZ1" localSheetId="14">[1]flag_1!#REF!</definedName>
    <definedName name="_______________KSZ1" localSheetId="15">[1]flag_1!#REF!</definedName>
    <definedName name="_______________KSZ1" localSheetId="16">[1]flag_1!#REF!</definedName>
    <definedName name="_______________KSZ1" localSheetId="17">[1]flag_1!#REF!</definedName>
    <definedName name="_______________KSZ1" localSheetId="18">[1]flag_1!#REF!</definedName>
    <definedName name="_______________KSZ1" localSheetId="19">[1]flag_1!#REF!</definedName>
    <definedName name="_______________KSZ1" localSheetId="20">[1]flag_1!#REF!</definedName>
    <definedName name="_______________KSZ1">[1]flag_1!#REF!</definedName>
    <definedName name="_______________ksz11" localSheetId="23">[1]flag_1!#REF!</definedName>
    <definedName name="_______________ksz11" localSheetId="3">[1]flag_1!#REF!</definedName>
    <definedName name="_______________ksz11" localSheetId="22">[1]flag_1!#REF!</definedName>
    <definedName name="_______________ksz11" localSheetId="21">[1]flag_1!#REF!</definedName>
    <definedName name="_______________ksz11" localSheetId="4">[1]flag_1!#REF!</definedName>
    <definedName name="_______________ksz11" localSheetId="5">[1]flag_1!#REF!</definedName>
    <definedName name="_______________ksz11" localSheetId="6">[1]flag_1!#REF!</definedName>
    <definedName name="_______________ksz11" localSheetId="24">[1]flag_1!#REF!</definedName>
    <definedName name="_______________ksz11" localSheetId="7">[1]flag_1!#REF!</definedName>
    <definedName name="_______________ksz11" localSheetId="25">[1]flag_1!#REF!</definedName>
    <definedName name="_______________ksz11" localSheetId="8">[1]flag_1!#REF!</definedName>
    <definedName name="_______________ksz11" localSheetId="9">[1]flag_1!#REF!</definedName>
    <definedName name="_______________ksz11" localSheetId="14">[1]flag_1!#REF!</definedName>
    <definedName name="_______________ksz11" localSheetId="15">[1]flag_1!#REF!</definedName>
    <definedName name="_______________ksz11" localSheetId="16">[1]flag_1!#REF!</definedName>
    <definedName name="_______________ksz11" localSheetId="17">[1]flag_1!#REF!</definedName>
    <definedName name="_______________ksz11" localSheetId="18">[1]flag_1!#REF!</definedName>
    <definedName name="_______________ksz11" localSheetId="19">[1]flag_1!#REF!</definedName>
    <definedName name="_______________ksz11" localSheetId="20">[1]flag_1!#REF!</definedName>
    <definedName name="_______________ksz11">[1]flag_1!#REF!</definedName>
    <definedName name="______________fgl1" localSheetId="23">[1]flag_1!#REF!</definedName>
    <definedName name="______________fgl1" localSheetId="3">[1]flag_1!#REF!</definedName>
    <definedName name="______________fgl1" localSheetId="22">[1]flag_1!#REF!</definedName>
    <definedName name="______________fgl1" localSheetId="21">[1]flag_1!#REF!</definedName>
    <definedName name="______________fgl1" localSheetId="4">[1]flag_1!#REF!</definedName>
    <definedName name="______________fgl1" localSheetId="5">[1]flag_1!#REF!</definedName>
    <definedName name="______________fgl1" localSheetId="6">[1]flag_1!#REF!</definedName>
    <definedName name="______________fgl1" localSheetId="24">[1]flag_1!#REF!</definedName>
    <definedName name="______________fgl1" localSheetId="7">[1]flag_1!#REF!</definedName>
    <definedName name="______________fgl1" localSheetId="25">[1]flag_1!#REF!</definedName>
    <definedName name="______________fgl1" localSheetId="8">[1]flag_1!#REF!</definedName>
    <definedName name="______________fgl1" localSheetId="9">[1]flag_1!#REF!</definedName>
    <definedName name="______________fgl1" localSheetId="14">[1]flag_1!#REF!</definedName>
    <definedName name="______________fgl1" localSheetId="15">[1]flag_1!#REF!</definedName>
    <definedName name="______________fgl1" localSheetId="16">[1]flag_1!#REF!</definedName>
    <definedName name="______________fgl1" localSheetId="17">[1]flag_1!#REF!</definedName>
    <definedName name="______________fgl1" localSheetId="18">[1]flag_1!#REF!</definedName>
    <definedName name="______________fgl1" localSheetId="19">[1]flag_1!#REF!</definedName>
    <definedName name="______________fgl1" localSheetId="20">[1]flag_1!#REF!</definedName>
    <definedName name="______________fgl1">[1]flag_1!#REF!</definedName>
    <definedName name="______________KSZ1" localSheetId="23">[1]flag_1!#REF!</definedName>
    <definedName name="______________KSZ1" localSheetId="3">[1]flag_1!#REF!</definedName>
    <definedName name="______________KSZ1" localSheetId="22">[1]flag_1!#REF!</definedName>
    <definedName name="______________KSZ1" localSheetId="21">[1]flag_1!#REF!</definedName>
    <definedName name="______________KSZ1" localSheetId="4">[1]flag_1!#REF!</definedName>
    <definedName name="______________KSZ1" localSheetId="5">[1]flag_1!#REF!</definedName>
    <definedName name="______________KSZ1" localSheetId="6">[1]flag_1!#REF!</definedName>
    <definedName name="______________KSZ1" localSheetId="24">[1]flag_1!#REF!</definedName>
    <definedName name="______________KSZ1" localSheetId="7">[1]flag_1!#REF!</definedName>
    <definedName name="______________KSZ1" localSheetId="25">[1]flag_1!#REF!</definedName>
    <definedName name="______________KSZ1" localSheetId="8">[1]flag_1!#REF!</definedName>
    <definedName name="______________KSZ1" localSheetId="9">[1]flag_1!#REF!</definedName>
    <definedName name="______________KSZ1" localSheetId="14">[1]flag_1!#REF!</definedName>
    <definedName name="______________KSZ1" localSheetId="15">[1]flag_1!#REF!</definedName>
    <definedName name="______________KSZ1" localSheetId="16">[1]flag_1!#REF!</definedName>
    <definedName name="______________KSZ1" localSheetId="17">[1]flag_1!#REF!</definedName>
    <definedName name="______________KSZ1" localSheetId="18">[1]flag_1!#REF!</definedName>
    <definedName name="______________KSZ1" localSheetId="19">[1]flag_1!#REF!</definedName>
    <definedName name="______________KSZ1" localSheetId="20">[1]flag_1!#REF!</definedName>
    <definedName name="______________KSZ1">[1]flag_1!#REF!</definedName>
    <definedName name="______________ksz11" localSheetId="23">[1]flag_1!#REF!</definedName>
    <definedName name="______________ksz11" localSheetId="3">[1]flag_1!#REF!</definedName>
    <definedName name="______________ksz11" localSheetId="22">[1]flag_1!#REF!</definedName>
    <definedName name="______________ksz11" localSheetId="21">[1]flag_1!#REF!</definedName>
    <definedName name="______________ksz11" localSheetId="4">[1]flag_1!#REF!</definedName>
    <definedName name="______________ksz11" localSheetId="5">[1]flag_1!#REF!</definedName>
    <definedName name="______________ksz11" localSheetId="6">[1]flag_1!#REF!</definedName>
    <definedName name="______________ksz11" localSheetId="24">[1]flag_1!#REF!</definedName>
    <definedName name="______________ksz11" localSheetId="7">[1]flag_1!#REF!</definedName>
    <definedName name="______________ksz11" localSheetId="25">[1]flag_1!#REF!</definedName>
    <definedName name="______________ksz11" localSheetId="8">[1]flag_1!#REF!</definedName>
    <definedName name="______________ksz11" localSheetId="9">[1]flag_1!#REF!</definedName>
    <definedName name="______________ksz11" localSheetId="14">[1]flag_1!#REF!</definedName>
    <definedName name="______________ksz11" localSheetId="15">[1]flag_1!#REF!</definedName>
    <definedName name="______________ksz11" localSheetId="16">[1]flag_1!#REF!</definedName>
    <definedName name="______________ksz11" localSheetId="17">[1]flag_1!#REF!</definedName>
    <definedName name="______________ksz11" localSheetId="18">[1]flag_1!#REF!</definedName>
    <definedName name="______________ksz11" localSheetId="19">[1]flag_1!#REF!</definedName>
    <definedName name="______________ksz11" localSheetId="20">[1]flag_1!#REF!</definedName>
    <definedName name="______________ksz11">[1]flag_1!#REF!</definedName>
    <definedName name="_____________fgl1" localSheetId="23">[1]flag_1!#REF!</definedName>
    <definedName name="_____________fgl1" localSheetId="3">[1]flag_1!#REF!</definedName>
    <definedName name="_____________fgl1" localSheetId="22">[1]flag_1!#REF!</definedName>
    <definedName name="_____________fgl1" localSheetId="21">[1]flag_1!#REF!</definedName>
    <definedName name="_____________fgl1" localSheetId="4">[1]flag_1!#REF!</definedName>
    <definedName name="_____________fgl1" localSheetId="5">[1]flag_1!#REF!</definedName>
    <definedName name="_____________fgl1" localSheetId="6">[1]flag_1!#REF!</definedName>
    <definedName name="_____________fgl1" localSheetId="24">[1]flag_1!#REF!</definedName>
    <definedName name="_____________fgl1" localSheetId="7">[1]flag_1!#REF!</definedName>
    <definedName name="_____________fgl1" localSheetId="25">[1]flag_1!#REF!</definedName>
    <definedName name="_____________fgl1" localSheetId="8">[1]flag_1!#REF!</definedName>
    <definedName name="_____________fgl1" localSheetId="9">[1]flag_1!#REF!</definedName>
    <definedName name="_____________fgl1" localSheetId="14">[1]flag_1!#REF!</definedName>
    <definedName name="_____________fgl1" localSheetId="15">[1]flag_1!#REF!</definedName>
    <definedName name="_____________fgl1" localSheetId="16">[1]flag_1!#REF!</definedName>
    <definedName name="_____________fgl1" localSheetId="17">[1]flag_1!#REF!</definedName>
    <definedName name="_____________fgl1" localSheetId="18">[1]flag_1!#REF!</definedName>
    <definedName name="_____________fgl1" localSheetId="19">[1]flag_1!#REF!</definedName>
    <definedName name="_____________fgl1" localSheetId="20">[1]flag_1!#REF!</definedName>
    <definedName name="_____________fgl1">[1]flag_1!#REF!</definedName>
    <definedName name="_____________KSZ1" localSheetId="23">[1]flag_1!#REF!</definedName>
    <definedName name="_____________KSZ1" localSheetId="3">[1]flag_1!#REF!</definedName>
    <definedName name="_____________KSZ1" localSheetId="22">[1]flag_1!#REF!</definedName>
    <definedName name="_____________KSZ1" localSheetId="21">[1]flag_1!#REF!</definedName>
    <definedName name="_____________KSZ1" localSheetId="4">[1]flag_1!#REF!</definedName>
    <definedName name="_____________KSZ1" localSheetId="5">[1]flag_1!#REF!</definedName>
    <definedName name="_____________KSZ1" localSheetId="6">[1]flag_1!#REF!</definedName>
    <definedName name="_____________KSZ1" localSheetId="24">[1]flag_1!#REF!</definedName>
    <definedName name="_____________KSZ1" localSheetId="7">[1]flag_1!#REF!</definedName>
    <definedName name="_____________KSZ1" localSheetId="25">[1]flag_1!#REF!</definedName>
    <definedName name="_____________KSZ1" localSheetId="8">[1]flag_1!#REF!</definedName>
    <definedName name="_____________KSZ1" localSheetId="9">[1]flag_1!#REF!</definedName>
    <definedName name="_____________KSZ1" localSheetId="14">[1]flag_1!#REF!</definedName>
    <definedName name="_____________KSZ1" localSheetId="15">[1]flag_1!#REF!</definedName>
    <definedName name="_____________KSZ1" localSheetId="16">[1]flag_1!#REF!</definedName>
    <definedName name="_____________KSZ1" localSheetId="17">[1]flag_1!#REF!</definedName>
    <definedName name="_____________KSZ1" localSheetId="18">[1]flag_1!#REF!</definedName>
    <definedName name="_____________KSZ1" localSheetId="19">[1]flag_1!#REF!</definedName>
    <definedName name="_____________KSZ1" localSheetId="20">[1]flag_1!#REF!</definedName>
    <definedName name="_____________KSZ1">[1]flag_1!#REF!</definedName>
    <definedName name="_____________ksz11" localSheetId="23">[1]flag_1!#REF!</definedName>
    <definedName name="_____________ksz11" localSheetId="3">[1]flag_1!#REF!</definedName>
    <definedName name="_____________ksz11" localSheetId="22">[1]flag_1!#REF!</definedName>
    <definedName name="_____________ksz11" localSheetId="21">[1]flag_1!#REF!</definedName>
    <definedName name="_____________ksz11" localSheetId="4">[1]flag_1!#REF!</definedName>
    <definedName name="_____________ksz11" localSheetId="5">[1]flag_1!#REF!</definedName>
    <definedName name="_____________ksz11" localSheetId="6">[1]flag_1!#REF!</definedName>
    <definedName name="_____________ksz11" localSheetId="24">[1]flag_1!#REF!</definedName>
    <definedName name="_____________ksz11" localSheetId="7">[1]flag_1!#REF!</definedName>
    <definedName name="_____________ksz11" localSheetId="25">[1]flag_1!#REF!</definedName>
    <definedName name="_____________ksz11" localSheetId="8">[1]flag_1!#REF!</definedName>
    <definedName name="_____________ksz11" localSheetId="9">[1]flag_1!#REF!</definedName>
    <definedName name="_____________ksz11" localSheetId="14">[1]flag_1!#REF!</definedName>
    <definedName name="_____________ksz11" localSheetId="15">[1]flag_1!#REF!</definedName>
    <definedName name="_____________ksz11" localSheetId="16">[1]flag_1!#REF!</definedName>
    <definedName name="_____________ksz11" localSheetId="17">[1]flag_1!#REF!</definedName>
    <definedName name="_____________ksz11" localSheetId="18">[1]flag_1!#REF!</definedName>
    <definedName name="_____________ksz11" localSheetId="19">[1]flag_1!#REF!</definedName>
    <definedName name="_____________ksz11" localSheetId="20">[1]flag_1!#REF!</definedName>
    <definedName name="_____________ksz11">[1]flag_1!#REF!</definedName>
    <definedName name="____________fgl1" localSheetId="23">[1]flag_1!#REF!</definedName>
    <definedName name="____________fgl1" localSheetId="3">[1]flag_1!#REF!</definedName>
    <definedName name="____________fgl1" localSheetId="22">[1]flag_1!#REF!</definedName>
    <definedName name="____________fgl1" localSheetId="21">[1]flag_1!#REF!</definedName>
    <definedName name="____________fgl1" localSheetId="4">[1]flag_1!#REF!</definedName>
    <definedName name="____________fgl1" localSheetId="5">[1]flag_1!#REF!</definedName>
    <definedName name="____________fgl1" localSheetId="6">[1]flag_1!#REF!</definedName>
    <definedName name="____________fgl1" localSheetId="24">[1]flag_1!#REF!</definedName>
    <definedName name="____________fgl1" localSheetId="7">[1]flag_1!#REF!</definedName>
    <definedName name="____________fgl1" localSheetId="25">[1]flag_1!#REF!</definedName>
    <definedName name="____________fgl1" localSheetId="8">[1]flag_1!#REF!</definedName>
    <definedName name="____________fgl1" localSheetId="9">[1]flag_1!#REF!</definedName>
    <definedName name="____________fgl1" localSheetId="14">[1]flag_1!#REF!</definedName>
    <definedName name="____________fgl1" localSheetId="15">[1]flag_1!#REF!</definedName>
    <definedName name="____________fgl1" localSheetId="16">[1]flag_1!#REF!</definedName>
    <definedName name="____________fgl1" localSheetId="17">[1]flag_1!#REF!</definedName>
    <definedName name="____________fgl1" localSheetId="18">[1]flag_1!#REF!</definedName>
    <definedName name="____________fgl1" localSheetId="19">[1]flag_1!#REF!</definedName>
    <definedName name="____________fgl1" localSheetId="20">[1]flag_1!#REF!</definedName>
    <definedName name="____________fgl1">[1]flag_1!#REF!</definedName>
    <definedName name="____________KSZ1" localSheetId="23">[1]flag_1!#REF!</definedName>
    <definedName name="____________KSZ1" localSheetId="3">[1]flag_1!#REF!</definedName>
    <definedName name="____________KSZ1" localSheetId="22">[1]flag_1!#REF!</definedName>
    <definedName name="____________KSZ1" localSheetId="21">[1]flag_1!#REF!</definedName>
    <definedName name="____________KSZ1" localSheetId="4">[1]flag_1!#REF!</definedName>
    <definedName name="____________KSZ1" localSheetId="5">[1]flag_1!#REF!</definedName>
    <definedName name="____________KSZ1" localSheetId="6">[1]flag_1!#REF!</definedName>
    <definedName name="____________KSZ1" localSheetId="24">[1]flag_1!#REF!</definedName>
    <definedName name="____________KSZ1" localSheetId="7">[1]flag_1!#REF!</definedName>
    <definedName name="____________KSZ1" localSheetId="25">[1]flag_1!#REF!</definedName>
    <definedName name="____________KSZ1" localSheetId="8">[1]flag_1!#REF!</definedName>
    <definedName name="____________KSZ1" localSheetId="9">[1]flag_1!#REF!</definedName>
    <definedName name="____________KSZ1" localSheetId="14">[1]flag_1!#REF!</definedName>
    <definedName name="____________KSZ1" localSheetId="15">[1]flag_1!#REF!</definedName>
    <definedName name="____________KSZ1" localSheetId="16">[1]flag_1!#REF!</definedName>
    <definedName name="____________KSZ1" localSheetId="17">[1]flag_1!#REF!</definedName>
    <definedName name="____________KSZ1" localSheetId="18">[1]flag_1!#REF!</definedName>
    <definedName name="____________KSZ1" localSheetId="19">[1]flag_1!#REF!</definedName>
    <definedName name="____________KSZ1" localSheetId="20">[1]flag_1!#REF!</definedName>
    <definedName name="____________KSZ1">[1]flag_1!#REF!</definedName>
    <definedName name="____________ksz11" localSheetId="23">[1]flag_1!#REF!</definedName>
    <definedName name="____________ksz11" localSheetId="3">[1]flag_1!#REF!</definedName>
    <definedName name="____________ksz11" localSheetId="22">[1]flag_1!#REF!</definedName>
    <definedName name="____________ksz11" localSheetId="21">[1]flag_1!#REF!</definedName>
    <definedName name="____________ksz11" localSheetId="4">[1]flag_1!#REF!</definedName>
    <definedName name="____________ksz11" localSheetId="5">[1]flag_1!#REF!</definedName>
    <definedName name="____________ksz11" localSheetId="6">[1]flag_1!#REF!</definedName>
    <definedName name="____________ksz11" localSheetId="24">[1]flag_1!#REF!</definedName>
    <definedName name="____________ksz11" localSheetId="7">[1]flag_1!#REF!</definedName>
    <definedName name="____________ksz11" localSheetId="25">[1]flag_1!#REF!</definedName>
    <definedName name="____________ksz11" localSheetId="8">[1]flag_1!#REF!</definedName>
    <definedName name="____________ksz11" localSheetId="9">[1]flag_1!#REF!</definedName>
    <definedName name="____________ksz11" localSheetId="14">[1]flag_1!#REF!</definedName>
    <definedName name="____________ksz11" localSheetId="15">[1]flag_1!#REF!</definedName>
    <definedName name="____________ksz11" localSheetId="16">[1]flag_1!#REF!</definedName>
    <definedName name="____________ksz11" localSheetId="17">[1]flag_1!#REF!</definedName>
    <definedName name="____________ksz11" localSheetId="18">[1]flag_1!#REF!</definedName>
    <definedName name="____________ksz11" localSheetId="19">[1]flag_1!#REF!</definedName>
    <definedName name="____________ksz11" localSheetId="20">[1]flag_1!#REF!</definedName>
    <definedName name="____________ksz11">[1]flag_1!#REF!</definedName>
    <definedName name="___________fgl1" localSheetId="23">[1]flag_1!#REF!</definedName>
    <definedName name="___________fgl1" localSheetId="3">[1]flag_1!#REF!</definedName>
    <definedName name="___________fgl1" localSheetId="22">[1]flag_1!#REF!</definedName>
    <definedName name="___________fgl1" localSheetId="21">[1]flag_1!#REF!</definedName>
    <definedName name="___________fgl1" localSheetId="4">[1]flag_1!#REF!</definedName>
    <definedName name="___________fgl1" localSheetId="5">[1]flag_1!#REF!</definedName>
    <definedName name="___________fgl1" localSheetId="6">[1]flag_1!#REF!</definedName>
    <definedName name="___________fgl1" localSheetId="24">[1]flag_1!#REF!</definedName>
    <definedName name="___________fgl1" localSheetId="7">[1]flag_1!#REF!</definedName>
    <definedName name="___________fgl1" localSheetId="25">[1]flag_1!#REF!</definedName>
    <definedName name="___________fgl1" localSheetId="8">[1]flag_1!#REF!</definedName>
    <definedName name="___________fgl1" localSheetId="9">[1]flag_1!#REF!</definedName>
    <definedName name="___________fgl1" localSheetId="14">[1]flag_1!#REF!</definedName>
    <definedName name="___________fgl1" localSheetId="15">[1]flag_1!#REF!</definedName>
    <definedName name="___________fgl1" localSheetId="16">[1]flag_1!#REF!</definedName>
    <definedName name="___________fgl1" localSheetId="17">[1]flag_1!#REF!</definedName>
    <definedName name="___________fgl1" localSheetId="18">[1]flag_1!#REF!</definedName>
    <definedName name="___________fgl1" localSheetId="19">[1]flag_1!#REF!</definedName>
    <definedName name="___________fgl1" localSheetId="20">[1]flag_1!#REF!</definedName>
    <definedName name="___________fgl1">[1]flag_1!#REF!</definedName>
    <definedName name="___________KSZ1" localSheetId="23">[1]flag_1!#REF!</definedName>
    <definedName name="___________KSZ1" localSheetId="3">[1]flag_1!#REF!</definedName>
    <definedName name="___________KSZ1" localSheetId="22">[1]flag_1!#REF!</definedName>
    <definedName name="___________KSZ1" localSheetId="21">[1]flag_1!#REF!</definedName>
    <definedName name="___________KSZ1" localSheetId="4">[1]flag_1!#REF!</definedName>
    <definedName name="___________KSZ1" localSheetId="5">[1]flag_1!#REF!</definedName>
    <definedName name="___________KSZ1" localSheetId="6">[1]flag_1!#REF!</definedName>
    <definedName name="___________KSZ1" localSheetId="24">[1]flag_1!#REF!</definedName>
    <definedName name="___________KSZ1" localSheetId="7">[1]flag_1!#REF!</definedName>
    <definedName name="___________KSZ1" localSheetId="25">[1]flag_1!#REF!</definedName>
    <definedName name="___________KSZ1" localSheetId="8">[1]flag_1!#REF!</definedName>
    <definedName name="___________KSZ1" localSheetId="9">[1]flag_1!#REF!</definedName>
    <definedName name="___________KSZ1" localSheetId="14">[1]flag_1!#REF!</definedName>
    <definedName name="___________KSZ1" localSheetId="15">[1]flag_1!#REF!</definedName>
    <definedName name="___________KSZ1" localSheetId="16">[1]flag_1!#REF!</definedName>
    <definedName name="___________KSZ1" localSheetId="17">[1]flag_1!#REF!</definedName>
    <definedName name="___________KSZ1" localSheetId="18">[1]flag_1!#REF!</definedName>
    <definedName name="___________KSZ1" localSheetId="19">[1]flag_1!#REF!</definedName>
    <definedName name="___________KSZ1" localSheetId="20">[1]flag_1!#REF!</definedName>
    <definedName name="___________KSZ1">[1]flag_1!#REF!</definedName>
    <definedName name="___________ksz11" localSheetId="23">[1]flag_1!#REF!</definedName>
    <definedName name="___________ksz11" localSheetId="3">[1]flag_1!#REF!</definedName>
    <definedName name="___________ksz11" localSheetId="22">[1]flag_1!#REF!</definedName>
    <definedName name="___________ksz11" localSheetId="21">[1]flag_1!#REF!</definedName>
    <definedName name="___________ksz11" localSheetId="4">[1]flag_1!#REF!</definedName>
    <definedName name="___________ksz11" localSheetId="5">[1]flag_1!#REF!</definedName>
    <definedName name="___________ksz11" localSheetId="6">[1]flag_1!#REF!</definedName>
    <definedName name="___________ksz11" localSheetId="24">[1]flag_1!#REF!</definedName>
    <definedName name="___________ksz11" localSheetId="7">[1]flag_1!#REF!</definedName>
    <definedName name="___________ksz11" localSheetId="25">[1]flag_1!#REF!</definedName>
    <definedName name="___________ksz11" localSheetId="8">[1]flag_1!#REF!</definedName>
    <definedName name="___________ksz11" localSheetId="9">[1]flag_1!#REF!</definedName>
    <definedName name="___________ksz11" localSheetId="14">[1]flag_1!#REF!</definedName>
    <definedName name="___________ksz11" localSheetId="15">[1]flag_1!#REF!</definedName>
    <definedName name="___________ksz11" localSheetId="16">[1]flag_1!#REF!</definedName>
    <definedName name="___________ksz11" localSheetId="17">[1]flag_1!#REF!</definedName>
    <definedName name="___________ksz11" localSheetId="18">[1]flag_1!#REF!</definedName>
    <definedName name="___________ksz11" localSheetId="19">[1]flag_1!#REF!</definedName>
    <definedName name="___________ksz11" localSheetId="20">[1]flag_1!#REF!</definedName>
    <definedName name="___________ksz11">[1]flag_1!#REF!</definedName>
    <definedName name="__________fgl1" localSheetId="23">[1]flag_1!#REF!</definedName>
    <definedName name="__________fgl1" localSheetId="3">[1]flag_1!#REF!</definedName>
    <definedName name="__________fgl1" localSheetId="22">[1]flag_1!#REF!</definedName>
    <definedName name="__________fgl1" localSheetId="21">[1]flag_1!#REF!</definedName>
    <definedName name="__________fgl1" localSheetId="4">[1]flag_1!#REF!</definedName>
    <definedName name="__________fgl1" localSheetId="5">[1]flag_1!#REF!</definedName>
    <definedName name="__________fgl1" localSheetId="6">[1]flag_1!#REF!</definedName>
    <definedName name="__________fgl1" localSheetId="24">[1]flag_1!#REF!</definedName>
    <definedName name="__________fgl1" localSheetId="7">[1]flag_1!#REF!</definedName>
    <definedName name="__________fgl1" localSheetId="25">[1]flag_1!#REF!</definedName>
    <definedName name="__________fgl1" localSheetId="8">[1]flag_1!#REF!</definedName>
    <definedName name="__________fgl1" localSheetId="9">[1]flag_1!#REF!</definedName>
    <definedName name="__________fgl1" localSheetId="14">[1]flag_1!#REF!</definedName>
    <definedName name="__________fgl1" localSheetId="15">[1]flag_1!#REF!</definedName>
    <definedName name="__________fgl1" localSheetId="16">[1]flag_1!#REF!</definedName>
    <definedName name="__________fgl1" localSheetId="17">[1]flag_1!#REF!</definedName>
    <definedName name="__________fgl1" localSheetId="18">[1]flag_1!#REF!</definedName>
    <definedName name="__________fgl1" localSheetId="19">[1]flag_1!#REF!</definedName>
    <definedName name="__________fgl1" localSheetId="20">[1]flag_1!#REF!</definedName>
    <definedName name="__________fgl1">[1]flag_1!#REF!</definedName>
    <definedName name="__________KSZ1" localSheetId="23">[1]flag_1!#REF!</definedName>
    <definedName name="__________KSZ1" localSheetId="3">[1]flag_1!#REF!</definedName>
    <definedName name="__________KSZ1" localSheetId="22">[1]flag_1!#REF!</definedName>
    <definedName name="__________KSZ1" localSheetId="21">[1]flag_1!#REF!</definedName>
    <definedName name="__________KSZ1" localSheetId="4">[1]flag_1!#REF!</definedName>
    <definedName name="__________KSZ1" localSheetId="5">[1]flag_1!#REF!</definedName>
    <definedName name="__________KSZ1" localSheetId="6">[1]flag_1!#REF!</definedName>
    <definedName name="__________KSZ1" localSheetId="24">[1]flag_1!#REF!</definedName>
    <definedName name="__________KSZ1" localSheetId="7">[1]flag_1!#REF!</definedName>
    <definedName name="__________KSZ1" localSheetId="25">[1]flag_1!#REF!</definedName>
    <definedName name="__________KSZ1" localSheetId="8">[1]flag_1!#REF!</definedName>
    <definedName name="__________KSZ1" localSheetId="9">[1]flag_1!#REF!</definedName>
    <definedName name="__________KSZ1" localSheetId="14">[1]flag_1!#REF!</definedName>
    <definedName name="__________KSZ1" localSheetId="15">[1]flag_1!#REF!</definedName>
    <definedName name="__________KSZ1" localSheetId="16">[1]flag_1!#REF!</definedName>
    <definedName name="__________KSZ1" localSheetId="17">[1]flag_1!#REF!</definedName>
    <definedName name="__________KSZ1" localSheetId="18">[1]flag_1!#REF!</definedName>
    <definedName name="__________KSZ1" localSheetId="19">[1]flag_1!#REF!</definedName>
    <definedName name="__________KSZ1" localSheetId="20">[1]flag_1!#REF!</definedName>
    <definedName name="__________KSZ1">[1]flag_1!#REF!</definedName>
    <definedName name="__________ksz11" localSheetId="23">[1]flag_1!#REF!</definedName>
    <definedName name="__________ksz11" localSheetId="3">[1]flag_1!#REF!</definedName>
    <definedName name="__________ksz11" localSheetId="22">[1]flag_1!#REF!</definedName>
    <definedName name="__________ksz11" localSheetId="21">[1]flag_1!#REF!</definedName>
    <definedName name="__________ksz11" localSheetId="4">[1]flag_1!#REF!</definedName>
    <definedName name="__________ksz11" localSheetId="5">[1]flag_1!#REF!</definedName>
    <definedName name="__________ksz11" localSheetId="6">[1]flag_1!#REF!</definedName>
    <definedName name="__________ksz11" localSheetId="24">[1]flag_1!#REF!</definedName>
    <definedName name="__________ksz11" localSheetId="7">[1]flag_1!#REF!</definedName>
    <definedName name="__________ksz11" localSheetId="25">[1]flag_1!#REF!</definedName>
    <definedName name="__________ksz11" localSheetId="8">[1]flag_1!#REF!</definedName>
    <definedName name="__________ksz11" localSheetId="9">[1]flag_1!#REF!</definedName>
    <definedName name="__________ksz11" localSheetId="14">[1]flag_1!#REF!</definedName>
    <definedName name="__________ksz11" localSheetId="15">[1]flag_1!#REF!</definedName>
    <definedName name="__________ksz11" localSheetId="16">[1]flag_1!#REF!</definedName>
    <definedName name="__________ksz11" localSheetId="17">[1]flag_1!#REF!</definedName>
    <definedName name="__________ksz11" localSheetId="18">[1]flag_1!#REF!</definedName>
    <definedName name="__________ksz11" localSheetId="19">[1]flag_1!#REF!</definedName>
    <definedName name="__________ksz11" localSheetId="20">[1]flag_1!#REF!</definedName>
    <definedName name="__________ksz11">[1]flag_1!#REF!</definedName>
    <definedName name="_________fgl1" localSheetId="23">[1]flag_1!#REF!</definedName>
    <definedName name="_________fgl1" localSheetId="3">[1]flag_1!#REF!</definedName>
    <definedName name="_________fgl1" localSheetId="22">[1]flag_1!#REF!</definedName>
    <definedName name="_________fgl1" localSheetId="21">[1]flag_1!#REF!</definedName>
    <definedName name="_________fgl1" localSheetId="4">[1]flag_1!#REF!</definedName>
    <definedName name="_________fgl1" localSheetId="5">[1]flag_1!#REF!</definedName>
    <definedName name="_________fgl1" localSheetId="6">[1]flag_1!#REF!</definedName>
    <definedName name="_________fgl1" localSheetId="24">[1]flag_1!#REF!</definedName>
    <definedName name="_________fgl1" localSheetId="7">[1]flag_1!#REF!</definedName>
    <definedName name="_________fgl1" localSheetId="25">[1]flag_1!#REF!</definedName>
    <definedName name="_________fgl1" localSheetId="8">[1]flag_1!#REF!</definedName>
    <definedName name="_________fgl1" localSheetId="9">[1]flag_1!#REF!</definedName>
    <definedName name="_________fgl1" localSheetId="14">[1]flag_1!#REF!</definedName>
    <definedName name="_________fgl1" localSheetId="15">[1]flag_1!#REF!</definedName>
    <definedName name="_________fgl1" localSheetId="16">[1]flag_1!#REF!</definedName>
    <definedName name="_________fgl1" localSheetId="17">[1]flag_1!#REF!</definedName>
    <definedName name="_________fgl1" localSheetId="18">[1]flag_1!#REF!</definedName>
    <definedName name="_________fgl1" localSheetId="19">[1]flag_1!#REF!</definedName>
    <definedName name="_________fgl1" localSheetId="20">[1]flag_1!#REF!</definedName>
    <definedName name="_________fgl1">[1]flag_1!#REF!</definedName>
    <definedName name="_________KSZ1" localSheetId="23">[1]flag_1!#REF!</definedName>
    <definedName name="_________KSZ1" localSheetId="3">[1]flag_1!#REF!</definedName>
    <definedName name="_________KSZ1" localSheetId="22">[1]flag_1!#REF!</definedName>
    <definedName name="_________KSZ1" localSheetId="21">[1]flag_1!#REF!</definedName>
    <definedName name="_________KSZ1" localSheetId="4">[1]flag_1!#REF!</definedName>
    <definedName name="_________KSZ1" localSheetId="5">[1]flag_1!#REF!</definedName>
    <definedName name="_________KSZ1" localSheetId="6">[1]flag_1!#REF!</definedName>
    <definedName name="_________KSZ1" localSheetId="24">[1]flag_1!#REF!</definedName>
    <definedName name="_________KSZ1" localSheetId="7">[1]flag_1!#REF!</definedName>
    <definedName name="_________KSZ1" localSheetId="25">[1]flag_1!#REF!</definedName>
    <definedName name="_________KSZ1" localSheetId="8">[1]flag_1!#REF!</definedName>
    <definedName name="_________KSZ1" localSheetId="9">[1]flag_1!#REF!</definedName>
    <definedName name="_________KSZ1" localSheetId="14">[1]flag_1!#REF!</definedName>
    <definedName name="_________KSZ1" localSheetId="15">[1]flag_1!#REF!</definedName>
    <definedName name="_________KSZ1" localSheetId="16">[1]flag_1!#REF!</definedName>
    <definedName name="_________KSZ1" localSheetId="17">[1]flag_1!#REF!</definedName>
    <definedName name="_________KSZ1" localSheetId="18">[1]flag_1!#REF!</definedName>
    <definedName name="_________KSZ1" localSheetId="19">[1]flag_1!#REF!</definedName>
    <definedName name="_________KSZ1" localSheetId="20">[1]flag_1!#REF!</definedName>
    <definedName name="_________KSZ1">[1]flag_1!#REF!</definedName>
    <definedName name="_________ksz11" localSheetId="23">[1]flag_1!#REF!</definedName>
    <definedName name="_________ksz11" localSheetId="3">[1]flag_1!#REF!</definedName>
    <definedName name="_________ksz11" localSheetId="22">[1]flag_1!#REF!</definedName>
    <definedName name="_________ksz11" localSheetId="21">[1]flag_1!#REF!</definedName>
    <definedName name="_________ksz11" localSheetId="4">[1]flag_1!#REF!</definedName>
    <definedName name="_________ksz11" localSheetId="5">[1]flag_1!#REF!</definedName>
    <definedName name="_________ksz11" localSheetId="6">[1]flag_1!#REF!</definedName>
    <definedName name="_________ksz11" localSheetId="24">[1]flag_1!#REF!</definedName>
    <definedName name="_________ksz11" localSheetId="7">[1]flag_1!#REF!</definedName>
    <definedName name="_________ksz11" localSheetId="25">[1]flag_1!#REF!</definedName>
    <definedName name="_________ksz11" localSheetId="8">[1]flag_1!#REF!</definedName>
    <definedName name="_________ksz11" localSheetId="9">[1]flag_1!#REF!</definedName>
    <definedName name="_________ksz11" localSheetId="14">[1]flag_1!#REF!</definedName>
    <definedName name="_________ksz11" localSheetId="15">[1]flag_1!#REF!</definedName>
    <definedName name="_________ksz11" localSheetId="16">[1]flag_1!#REF!</definedName>
    <definedName name="_________ksz11" localSheetId="17">[1]flag_1!#REF!</definedName>
    <definedName name="_________ksz11" localSheetId="18">[1]flag_1!#REF!</definedName>
    <definedName name="_________ksz11" localSheetId="19">[1]flag_1!#REF!</definedName>
    <definedName name="_________ksz11" localSheetId="20">[1]flag_1!#REF!</definedName>
    <definedName name="_________ksz11">[1]flag_1!#REF!</definedName>
    <definedName name="________fgl1" localSheetId="23">[1]flag_1!#REF!</definedName>
    <definedName name="________fgl1" localSheetId="3">[1]flag_1!#REF!</definedName>
    <definedName name="________fgl1" localSheetId="22">[1]flag_1!#REF!</definedName>
    <definedName name="________fgl1" localSheetId="21">[1]flag_1!#REF!</definedName>
    <definedName name="________fgl1" localSheetId="4">[1]flag_1!#REF!</definedName>
    <definedName name="________fgl1" localSheetId="5">[1]flag_1!#REF!</definedName>
    <definedName name="________fgl1" localSheetId="6">[1]flag_1!#REF!</definedName>
    <definedName name="________fgl1" localSheetId="24">[1]flag_1!#REF!</definedName>
    <definedName name="________fgl1" localSheetId="7">[1]flag_1!#REF!</definedName>
    <definedName name="________fgl1" localSheetId="25">[1]flag_1!#REF!</definedName>
    <definedName name="________fgl1" localSheetId="8">[1]flag_1!#REF!</definedName>
    <definedName name="________fgl1" localSheetId="9">[1]flag_1!#REF!</definedName>
    <definedName name="________fgl1" localSheetId="14">[1]flag_1!#REF!</definedName>
    <definedName name="________fgl1" localSheetId="15">[1]flag_1!#REF!</definedName>
    <definedName name="________fgl1" localSheetId="16">[1]flag_1!#REF!</definedName>
    <definedName name="________fgl1" localSheetId="17">[1]flag_1!#REF!</definedName>
    <definedName name="________fgl1" localSheetId="18">[1]flag_1!#REF!</definedName>
    <definedName name="________fgl1" localSheetId="19">[1]flag_1!#REF!</definedName>
    <definedName name="________fgl1" localSheetId="20">[1]flag_1!#REF!</definedName>
    <definedName name="________fgl1">[1]flag_1!#REF!</definedName>
    <definedName name="________KSZ1" localSheetId="23">[1]flag_1!#REF!</definedName>
    <definedName name="________KSZ1" localSheetId="3">[1]flag_1!#REF!</definedName>
    <definedName name="________KSZ1" localSheetId="22">[1]flag_1!#REF!</definedName>
    <definedName name="________KSZ1" localSheetId="21">[1]flag_1!#REF!</definedName>
    <definedName name="________KSZ1" localSheetId="4">[1]flag_1!#REF!</definedName>
    <definedName name="________KSZ1" localSheetId="5">[1]flag_1!#REF!</definedName>
    <definedName name="________KSZ1" localSheetId="6">[1]flag_1!#REF!</definedName>
    <definedName name="________KSZ1" localSheetId="24">[1]flag_1!#REF!</definedName>
    <definedName name="________KSZ1" localSheetId="7">[1]flag_1!#REF!</definedName>
    <definedName name="________KSZ1" localSheetId="25">[1]flag_1!#REF!</definedName>
    <definedName name="________KSZ1" localSheetId="8">[1]flag_1!#REF!</definedName>
    <definedName name="________KSZ1" localSheetId="9">[1]flag_1!#REF!</definedName>
    <definedName name="________KSZ1" localSheetId="14">[1]flag_1!#REF!</definedName>
    <definedName name="________KSZ1" localSheetId="15">[1]flag_1!#REF!</definedName>
    <definedName name="________KSZ1" localSheetId="16">[1]flag_1!#REF!</definedName>
    <definedName name="________KSZ1" localSheetId="17">[1]flag_1!#REF!</definedName>
    <definedName name="________KSZ1" localSheetId="18">[1]flag_1!#REF!</definedName>
    <definedName name="________KSZ1" localSheetId="19">[1]flag_1!#REF!</definedName>
    <definedName name="________KSZ1" localSheetId="20">[1]flag_1!#REF!</definedName>
    <definedName name="________KSZ1">[1]flag_1!#REF!</definedName>
    <definedName name="________ksz11" localSheetId="23">[1]flag_1!#REF!</definedName>
    <definedName name="________ksz11" localSheetId="3">[1]flag_1!#REF!</definedName>
    <definedName name="________ksz11" localSheetId="22">[1]flag_1!#REF!</definedName>
    <definedName name="________ksz11" localSheetId="21">[1]flag_1!#REF!</definedName>
    <definedName name="________ksz11" localSheetId="4">[1]flag_1!#REF!</definedName>
    <definedName name="________ksz11" localSheetId="5">[1]flag_1!#REF!</definedName>
    <definedName name="________ksz11" localSheetId="6">[1]flag_1!#REF!</definedName>
    <definedName name="________ksz11" localSheetId="24">[1]flag_1!#REF!</definedName>
    <definedName name="________ksz11" localSheetId="7">[1]flag_1!#REF!</definedName>
    <definedName name="________ksz11" localSheetId="25">[1]flag_1!#REF!</definedName>
    <definedName name="________ksz11" localSheetId="8">[1]flag_1!#REF!</definedName>
    <definedName name="________ksz11" localSheetId="9">[1]flag_1!#REF!</definedName>
    <definedName name="________ksz11" localSheetId="14">[1]flag_1!#REF!</definedName>
    <definedName name="________ksz11" localSheetId="15">[1]flag_1!#REF!</definedName>
    <definedName name="________ksz11" localSheetId="16">[1]flag_1!#REF!</definedName>
    <definedName name="________ksz11" localSheetId="17">[1]flag_1!#REF!</definedName>
    <definedName name="________ksz11" localSheetId="18">[1]flag_1!#REF!</definedName>
    <definedName name="________ksz11" localSheetId="19">[1]flag_1!#REF!</definedName>
    <definedName name="________ksz11" localSheetId="20">[1]flag_1!#REF!</definedName>
    <definedName name="________ksz11">[1]flag_1!#REF!</definedName>
    <definedName name="_______fgl1" localSheetId="23">[1]flag_1!#REF!</definedName>
    <definedName name="_______fgl1" localSheetId="3">[1]flag_1!#REF!</definedName>
    <definedName name="_______fgl1" localSheetId="22">[1]flag_1!#REF!</definedName>
    <definedName name="_______fgl1" localSheetId="21">[1]flag_1!#REF!</definedName>
    <definedName name="_______fgl1" localSheetId="4">[1]flag_1!#REF!</definedName>
    <definedName name="_______fgl1" localSheetId="5">[1]flag_1!#REF!</definedName>
    <definedName name="_______fgl1" localSheetId="6">[1]flag_1!#REF!</definedName>
    <definedName name="_______fgl1" localSheetId="24">[1]flag_1!#REF!</definedName>
    <definedName name="_______fgl1" localSheetId="7">[1]flag_1!#REF!</definedName>
    <definedName name="_______fgl1" localSheetId="25">[1]flag_1!#REF!</definedName>
    <definedName name="_______fgl1" localSheetId="8">[1]flag_1!#REF!</definedName>
    <definedName name="_______fgl1" localSheetId="9">[1]flag_1!#REF!</definedName>
    <definedName name="_______fgl1" localSheetId="14">[1]flag_1!#REF!</definedName>
    <definedName name="_______fgl1" localSheetId="15">[1]flag_1!#REF!</definedName>
    <definedName name="_______fgl1" localSheetId="16">[1]flag_1!#REF!</definedName>
    <definedName name="_______fgl1" localSheetId="17">[1]flag_1!#REF!</definedName>
    <definedName name="_______fgl1" localSheetId="18">[1]flag_1!#REF!</definedName>
    <definedName name="_______fgl1" localSheetId="19">[1]flag_1!#REF!</definedName>
    <definedName name="_______fgl1" localSheetId="20">[1]flag_1!#REF!</definedName>
    <definedName name="_______fgl1">[1]flag_1!#REF!</definedName>
    <definedName name="_______KSZ1" localSheetId="23">[1]flag_1!#REF!</definedName>
    <definedName name="_______KSZ1" localSheetId="3">[1]flag_1!#REF!</definedName>
    <definedName name="_______KSZ1" localSheetId="22">[1]flag_1!#REF!</definedName>
    <definedName name="_______KSZ1" localSheetId="21">[1]flag_1!#REF!</definedName>
    <definedName name="_______KSZ1" localSheetId="4">[1]flag_1!#REF!</definedName>
    <definedName name="_______KSZ1" localSheetId="5">[1]flag_1!#REF!</definedName>
    <definedName name="_______KSZ1" localSheetId="6">[1]flag_1!#REF!</definedName>
    <definedName name="_______KSZ1" localSheetId="24">[1]flag_1!#REF!</definedName>
    <definedName name="_______KSZ1" localSheetId="7">[1]flag_1!#REF!</definedName>
    <definedName name="_______KSZ1" localSheetId="25">[1]flag_1!#REF!</definedName>
    <definedName name="_______KSZ1" localSheetId="8">[1]flag_1!#REF!</definedName>
    <definedName name="_______KSZ1" localSheetId="9">[1]flag_1!#REF!</definedName>
    <definedName name="_______KSZ1" localSheetId="14">[1]flag_1!#REF!</definedName>
    <definedName name="_______KSZ1" localSheetId="15">[1]flag_1!#REF!</definedName>
    <definedName name="_______KSZ1" localSheetId="16">[1]flag_1!#REF!</definedName>
    <definedName name="_______KSZ1" localSheetId="17">[1]flag_1!#REF!</definedName>
    <definedName name="_______KSZ1" localSheetId="18">[1]flag_1!#REF!</definedName>
    <definedName name="_______KSZ1" localSheetId="19">[1]flag_1!#REF!</definedName>
    <definedName name="_______KSZ1" localSheetId="20">[1]flag_1!#REF!</definedName>
    <definedName name="_______KSZ1">[1]flag_1!#REF!</definedName>
    <definedName name="_______ksz11" localSheetId="23">[1]flag_1!#REF!</definedName>
    <definedName name="_______ksz11" localSheetId="3">[1]flag_1!#REF!</definedName>
    <definedName name="_______ksz11" localSheetId="22">[1]flag_1!#REF!</definedName>
    <definedName name="_______ksz11" localSheetId="21">[1]flag_1!#REF!</definedName>
    <definedName name="_______ksz11" localSheetId="4">[1]flag_1!#REF!</definedName>
    <definedName name="_______ksz11" localSheetId="5">[1]flag_1!#REF!</definedName>
    <definedName name="_______ksz11" localSheetId="6">[1]flag_1!#REF!</definedName>
    <definedName name="_______ksz11" localSheetId="24">[1]flag_1!#REF!</definedName>
    <definedName name="_______ksz11" localSheetId="7">[1]flag_1!#REF!</definedName>
    <definedName name="_______ksz11" localSheetId="25">[1]flag_1!#REF!</definedName>
    <definedName name="_______ksz11" localSheetId="8">[1]flag_1!#REF!</definedName>
    <definedName name="_______ksz11" localSheetId="9">[1]flag_1!#REF!</definedName>
    <definedName name="_______ksz11" localSheetId="14">[1]flag_1!#REF!</definedName>
    <definedName name="_______ksz11" localSheetId="15">[1]flag_1!#REF!</definedName>
    <definedName name="_______ksz11" localSheetId="16">[1]flag_1!#REF!</definedName>
    <definedName name="_______ksz11" localSheetId="17">[1]flag_1!#REF!</definedName>
    <definedName name="_______ksz11" localSheetId="18">[1]flag_1!#REF!</definedName>
    <definedName name="_______ksz11" localSheetId="19">[1]flag_1!#REF!</definedName>
    <definedName name="_______ksz11" localSheetId="20">[1]flag_1!#REF!</definedName>
    <definedName name="_______ksz11">[1]flag_1!#REF!</definedName>
    <definedName name="______fgl1" localSheetId="3">[1]flag_1!#REF!</definedName>
    <definedName name="______KSZ1" localSheetId="3">[1]flag_1!#REF!</definedName>
    <definedName name="______ksz11" localSheetId="3">[1]flag_1!#REF!</definedName>
    <definedName name="_____fgl1" localSheetId="23">[1]flag_1!#REF!</definedName>
    <definedName name="_____fgl1" localSheetId="3">[1]flag_1!#REF!</definedName>
    <definedName name="_____fgl1" localSheetId="22">[1]flag_1!#REF!</definedName>
    <definedName name="_____fgl1" localSheetId="21">[1]flag_1!#REF!</definedName>
    <definedName name="_____fgl1" localSheetId="4">[1]flag_1!#REF!</definedName>
    <definedName name="_____fgl1" localSheetId="5">[1]flag_1!#REF!</definedName>
    <definedName name="_____fgl1" localSheetId="6">[1]flag_1!#REF!</definedName>
    <definedName name="_____fgl1" localSheetId="24">[1]flag_1!#REF!</definedName>
    <definedName name="_____fgl1" localSheetId="7">[1]flag_1!#REF!</definedName>
    <definedName name="_____fgl1" localSheetId="25">[1]flag_1!#REF!</definedName>
    <definedName name="_____fgl1" localSheetId="8">[1]flag_1!#REF!</definedName>
    <definedName name="_____fgl1" localSheetId="9">[1]flag_1!#REF!</definedName>
    <definedName name="_____fgl1" localSheetId="14">[1]flag_1!#REF!</definedName>
    <definedName name="_____fgl1" localSheetId="15">[1]flag_1!#REF!</definedName>
    <definedName name="_____fgl1" localSheetId="16">[1]flag_1!#REF!</definedName>
    <definedName name="_____fgl1" localSheetId="17">[1]flag_1!#REF!</definedName>
    <definedName name="_____fgl1" localSheetId="18">[1]flag_1!#REF!</definedName>
    <definedName name="_____fgl1" localSheetId="19">[1]flag_1!#REF!</definedName>
    <definedName name="_____fgl1" localSheetId="20">[1]flag_1!#REF!</definedName>
    <definedName name="_____fgl1">[1]flag_1!#REF!</definedName>
    <definedName name="_____KSZ1" localSheetId="23">[1]flag_1!#REF!</definedName>
    <definedName name="_____KSZ1" localSheetId="3">[1]flag_1!#REF!</definedName>
    <definedName name="_____KSZ1" localSheetId="22">[1]flag_1!#REF!</definedName>
    <definedName name="_____KSZ1" localSheetId="21">[1]flag_1!#REF!</definedName>
    <definedName name="_____KSZ1" localSheetId="4">[1]flag_1!#REF!</definedName>
    <definedName name="_____KSZ1" localSheetId="5">[1]flag_1!#REF!</definedName>
    <definedName name="_____KSZ1" localSheetId="6">[1]flag_1!#REF!</definedName>
    <definedName name="_____KSZ1" localSheetId="24">[1]flag_1!#REF!</definedName>
    <definedName name="_____KSZ1" localSheetId="7">[1]flag_1!#REF!</definedName>
    <definedName name="_____KSZ1" localSheetId="25">[1]flag_1!#REF!</definedName>
    <definedName name="_____KSZ1" localSheetId="8">[1]flag_1!#REF!</definedName>
    <definedName name="_____KSZ1" localSheetId="9">[1]flag_1!#REF!</definedName>
    <definedName name="_____KSZ1" localSheetId="14">[1]flag_1!#REF!</definedName>
    <definedName name="_____KSZ1" localSheetId="15">[1]flag_1!#REF!</definedName>
    <definedName name="_____KSZ1" localSheetId="16">[1]flag_1!#REF!</definedName>
    <definedName name="_____KSZ1" localSheetId="17">[1]flag_1!#REF!</definedName>
    <definedName name="_____KSZ1" localSheetId="18">[1]flag_1!#REF!</definedName>
    <definedName name="_____KSZ1" localSheetId="19">[1]flag_1!#REF!</definedName>
    <definedName name="_____KSZ1" localSheetId="20">[1]flag_1!#REF!</definedName>
    <definedName name="_____KSZ1">[1]flag_1!#REF!</definedName>
    <definedName name="_____ksz11" localSheetId="23">[1]flag_1!#REF!</definedName>
    <definedName name="_____ksz11" localSheetId="3">[1]flag_1!#REF!</definedName>
    <definedName name="_____ksz11" localSheetId="22">[1]flag_1!#REF!</definedName>
    <definedName name="_____ksz11" localSheetId="21">[1]flag_1!#REF!</definedName>
    <definedName name="_____ksz11" localSheetId="4">[1]flag_1!#REF!</definedName>
    <definedName name="_____ksz11" localSheetId="5">[1]flag_1!#REF!</definedName>
    <definedName name="_____ksz11" localSheetId="6">[1]flag_1!#REF!</definedName>
    <definedName name="_____ksz11" localSheetId="24">[1]flag_1!#REF!</definedName>
    <definedName name="_____ksz11" localSheetId="7">[1]flag_1!#REF!</definedName>
    <definedName name="_____ksz11" localSheetId="25">[1]flag_1!#REF!</definedName>
    <definedName name="_____ksz11" localSheetId="8">[1]flag_1!#REF!</definedName>
    <definedName name="_____ksz11" localSheetId="9">[1]flag_1!#REF!</definedName>
    <definedName name="_____ksz11" localSheetId="14">[1]flag_1!#REF!</definedName>
    <definedName name="_____ksz11" localSheetId="15">[1]flag_1!#REF!</definedName>
    <definedName name="_____ksz11" localSheetId="16">[1]flag_1!#REF!</definedName>
    <definedName name="_____ksz11" localSheetId="17">[1]flag_1!#REF!</definedName>
    <definedName name="_____ksz11" localSheetId="18">[1]flag_1!#REF!</definedName>
    <definedName name="_____ksz11" localSheetId="19">[1]flag_1!#REF!</definedName>
    <definedName name="_____ksz11" localSheetId="20">[1]flag_1!#REF!</definedName>
    <definedName name="_____ksz11">[1]flag_1!#REF!</definedName>
    <definedName name="____fgl1" localSheetId="23">[1]flag_1!#REF!</definedName>
    <definedName name="____fgl1" localSheetId="3">[1]flag_1!#REF!</definedName>
    <definedName name="____fgl1" localSheetId="22">[1]flag_1!#REF!</definedName>
    <definedName name="____fgl1" localSheetId="21">[1]flag_1!#REF!</definedName>
    <definedName name="____fgl1" localSheetId="4">[1]flag_1!#REF!</definedName>
    <definedName name="____fgl1" localSheetId="5">[1]flag_1!#REF!</definedName>
    <definedName name="____fgl1" localSheetId="6">[1]flag_1!#REF!</definedName>
    <definedName name="____fgl1" localSheetId="24">[1]flag_1!#REF!</definedName>
    <definedName name="____fgl1" localSheetId="7">[1]flag_1!#REF!</definedName>
    <definedName name="____fgl1" localSheetId="25">[1]flag_1!#REF!</definedName>
    <definedName name="____fgl1" localSheetId="8">[1]flag_1!#REF!</definedName>
    <definedName name="____fgl1" localSheetId="9">[1]flag_1!#REF!</definedName>
    <definedName name="____fgl1" localSheetId="14">[1]flag_1!#REF!</definedName>
    <definedName name="____fgl1" localSheetId="15">[1]flag_1!#REF!</definedName>
    <definedName name="____fgl1" localSheetId="16">[1]flag_1!#REF!</definedName>
    <definedName name="____fgl1" localSheetId="17">[1]flag_1!#REF!</definedName>
    <definedName name="____fgl1" localSheetId="18">[1]flag_1!#REF!</definedName>
    <definedName name="____fgl1" localSheetId="19">[1]flag_1!#REF!</definedName>
    <definedName name="____fgl1" localSheetId="20">[1]flag_1!#REF!</definedName>
    <definedName name="____fgl1">[1]flag_1!#REF!</definedName>
    <definedName name="____KSZ1" localSheetId="23">[1]flag_1!#REF!</definedName>
    <definedName name="____KSZ1" localSheetId="3">[1]flag_1!#REF!</definedName>
    <definedName name="____KSZ1" localSheetId="22">[1]flag_1!#REF!</definedName>
    <definedName name="____KSZ1" localSheetId="21">[1]flag_1!#REF!</definedName>
    <definedName name="____KSZ1" localSheetId="4">[1]flag_1!#REF!</definedName>
    <definedName name="____KSZ1" localSheetId="5">[1]flag_1!#REF!</definedName>
    <definedName name="____KSZ1" localSheetId="6">[1]flag_1!#REF!</definedName>
    <definedName name="____KSZ1" localSheetId="24">[1]flag_1!#REF!</definedName>
    <definedName name="____KSZ1" localSheetId="7">[1]flag_1!#REF!</definedName>
    <definedName name="____KSZ1" localSheetId="25">[1]flag_1!#REF!</definedName>
    <definedName name="____KSZ1" localSheetId="8">[1]flag_1!#REF!</definedName>
    <definedName name="____KSZ1" localSheetId="9">[1]flag_1!#REF!</definedName>
    <definedName name="____KSZ1" localSheetId="14">[1]flag_1!#REF!</definedName>
    <definedName name="____KSZ1" localSheetId="15">[1]flag_1!#REF!</definedName>
    <definedName name="____KSZ1" localSheetId="16">[1]flag_1!#REF!</definedName>
    <definedName name="____KSZ1" localSheetId="17">[1]flag_1!#REF!</definedName>
    <definedName name="____KSZ1" localSheetId="18">[1]flag_1!#REF!</definedName>
    <definedName name="____KSZ1" localSheetId="19">[1]flag_1!#REF!</definedName>
    <definedName name="____KSZ1" localSheetId="20">[1]flag_1!#REF!</definedName>
    <definedName name="____KSZ1">[1]flag_1!#REF!</definedName>
    <definedName name="____ksz11" localSheetId="23">[1]flag_1!#REF!</definedName>
    <definedName name="____ksz11" localSheetId="3">[1]flag_1!#REF!</definedName>
    <definedName name="____ksz11" localSheetId="22">[1]flag_1!#REF!</definedName>
    <definedName name="____ksz11" localSheetId="21">[1]flag_1!#REF!</definedName>
    <definedName name="____ksz11" localSheetId="4">[1]flag_1!#REF!</definedName>
    <definedName name="____ksz11" localSheetId="5">[1]flag_1!#REF!</definedName>
    <definedName name="____ksz11" localSheetId="6">[1]flag_1!#REF!</definedName>
    <definedName name="____ksz11" localSheetId="24">[1]flag_1!#REF!</definedName>
    <definedName name="____ksz11" localSheetId="7">[1]flag_1!#REF!</definedName>
    <definedName name="____ksz11" localSheetId="25">[1]flag_1!#REF!</definedName>
    <definedName name="____ksz11" localSheetId="8">[1]flag_1!#REF!</definedName>
    <definedName name="____ksz11" localSheetId="9">[1]flag_1!#REF!</definedName>
    <definedName name="____ksz11" localSheetId="14">[1]flag_1!#REF!</definedName>
    <definedName name="____ksz11" localSheetId="15">[1]flag_1!#REF!</definedName>
    <definedName name="____ksz11" localSheetId="16">[1]flag_1!#REF!</definedName>
    <definedName name="____ksz11" localSheetId="17">[1]flag_1!#REF!</definedName>
    <definedName name="____ksz11" localSheetId="18">[1]flag_1!#REF!</definedName>
    <definedName name="____ksz11" localSheetId="19">[1]flag_1!#REF!</definedName>
    <definedName name="____ksz11" localSheetId="20">[1]flag_1!#REF!</definedName>
    <definedName name="____ksz11">[1]flag_1!#REF!</definedName>
    <definedName name="___fgl1" localSheetId="23">[1]flag_1!#REF!</definedName>
    <definedName name="___fgl1" localSheetId="3">[1]flag_1!#REF!</definedName>
    <definedName name="___fgl1" localSheetId="22">[1]flag_1!#REF!</definedName>
    <definedName name="___fgl1" localSheetId="21">[1]flag_1!#REF!</definedName>
    <definedName name="___fgl1" localSheetId="4">[1]flag_1!#REF!</definedName>
    <definedName name="___fgl1" localSheetId="5">[1]flag_1!#REF!</definedName>
    <definedName name="___fgl1" localSheetId="6">[1]flag_1!#REF!</definedName>
    <definedName name="___fgl1" localSheetId="24">[1]flag_1!#REF!</definedName>
    <definedName name="___fgl1" localSheetId="7">[1]flag_1!#REF!</definedName>
    <definedName name="___fgl1" localSheetId="25">[1]flag_1!#REF!</definedName>
    <definedName name="___fgl1" localSheetId="8">[1]flag_1!#REF!</definedName>
    <definedName name="___fgl1" localSheetId="9">[1]flag_1!#REF!</definedName>
    <definedName name="___fgl1" localSheetId="14">[1]flag_1!#REF!</definedName>
    <definedName name="___fgl1" localSheetId="15">[1]flag_1!#REF!</definedName>
    <definedName name="___fgl1" localSheetId="16">[1]flag_1!#REF!</definedName>
    <definedName name="___fgl1" localSheetId="17">[1]flag_1!#REF!</definedName>
    <definedName name="___fgl1" localSheetId="18">[1]flag_1!#REF!</definedName>
    <definedName name="___fgl1" localSheetId="19">[1]flag_1!#REF!</definedName>
    <definedName name="___fgl1" localSheetId="20">[1]flag_1!#REF!</definedName>
    <definedName name="___fgl1">[1]flag_1!#REF!</definedName>
    <definedName name="___KSZ1" localSheetId="23">[1]flag_1!#REF!</definedName>
    <definedName name="___KSZ1" localSheetId="3">[1]flag_1!#REF!</definedName>
    <definedName name="___KSZ1" localSheetId="22">[1]flag_1!#REF!</definedName>
    <definedName name="___KSZ1" localSheetId="21">[1]flag_1!#REF!</definedName>
    <definedName name="___KSZ1" localSheetId="4">[1]flag_1!#REF!</definedName>
    <definedName name="___KSZ1" localSheetId="5">[1]flag_1!#REF!</definedName>
    <definedName name="___KSZ1" localSheetId="6">[1]flag_1!#REF!</definedName>
    <definedName name="___KSZ1" localSheetId="24">[1]flag_1!#REF!</definedName>
    <definedName name="___KSZ1" localSheetId="7">[1]flag_1!#REF!</definedName>
    <definedName name="___KSZ1" localSheetId="25">[1]flag_1!#REF!</definedName>
    <definedName name="___KSZ1" localSheetId="8">[1]flag_1!#REF!</definedName>
    <definedName name="___KSZ1" localSheetId="9">[1]flag_1!#REF!</definedName>
    <definedName name="___KSZ1" localSheetId="14">[1]flag_1!#REF!</definedName>
    <definedName name="___KSZ1" localSheetId="15">[1]flag_1!#REF!</definedName>
    <definedName name="___KSZ1" localSheetId="16">[1]flag_1!#REF!</definedName>
    <definedName name="___KSZ1" localSheetId="17">[1]flag_1!#REF!</definedName>
    <definedName name="___KSZ1" localSheetId="18">[1]flag_1!#REF!</definedName>
    <definedName name="___KSZ1" localSheetId="19">[1]flag_1!#REF!</definedName>
    <definedName name="___KSZ1" localSheetId="20">[1]flag_1!#REF!</definedName>
    <definedName name="___KSZ1">[1]flag_1!#REF!</definedName>
    <definedName name="___ksz11" localSheetId="23">[1]flag_1!#REF!</definedName>
    <definedName name="___ksz11" localSheetId="3">[1]flag_1!#REF!</definedName>
    <definedName name="___ksz11" localSheetId="22">[1]flag_1!#REF!</definedName>
    <definedName name="___ksz11" localSheetId="21">[1]flag_1!#REF!</definedName>
    <definedName name="___ksz11" localSheetId="4">[1]flag_1!#REF!</definedName>
    <definedName name="___ksz11" localSheetId="5">[1]flag_1!#REF!</definedName>
    <definedName name="___ksz11" localSheetId="6">[1]flag_1!#REF!</definedName>
    <definedName name="___ksz11" localSheetId="24">[1]flag_1!#REF!</definedName>
    <definedName name="___ksz11" localSheetId="7">[1]flag_1!#REF!</definedName>
    <definedName name="___ksz11" localSheetId="25">[1]flag_1!#REF!</definedName>
    <definedName name="___ksz11" localSheetId="8">[1]flag_1!#REF!</definedName>
    <definedName name="___ksz11" localSheetId="9">[1]flag_1!#REF!</definedName>
    <definedName name="___ksz11" localSheetId="14">[1]flag_1!#REF!</definedName>
    <definedName name="___ksz11" localSheetId="15">[1]flag_1!#REF!</definedName>
    <definedName name="___ksz11" localSheetId="16">[1]flag_1!#REF!</definedName>
    <definedName name="___ksz11" localSheetId="17">[1]flag_1!#REF!</definedName>
    <definedName name="___ksz11" localSheetId="18">[1]flag_1!#REF!</definedName>
    <definedName name="___ksz11" localSheetId="19">[1]flag_1!#REF!</definedName>
    <definedName name="___ksz11" localSheetId="20">[1]flag_1!#REF!</definedName>
    <definedName name="___ksz11">[1]flag_1!#REF!</definedName>
    <definedName name="__fgl1" localSheetId="23">[1]flag_1!#REF!</definedName>
    <definedName name="__fgl1" localSheetId="3">[1]flag_1!#REF!</definedName>
    <definedName name="__fgl1" localSheetId="22">[1]flag_1!#REF!</definedName>
    <definedName name="__fgl1" localSheetId="21">[1]flag_1!#REF!</definedName>
    <definedName name="__fgl1" localSheetId="4">[1]flag_1!#REF!</definedName>
    <definedName name="__fgl1" localSheetId="5">[1]flag_1!#REF!</definedName>
    <definedName name="__fgl1" localSheetId="6">[1]flag_1!#REF!</definedName>
    <definedName name="__fgl1" localSheetId="24">[1]flag_1!#REF!</definedName>
    <definedName name="__fgl1" localSheetId="7">[1]flag_1!#REF!</definedName>
    <definedName name="__fgl1" localSheetId="25">[1]flag_1!#REF!</definedName>
    <definedName name="__fgl1" localSheetId="8">[1]flag_1!#REF!</definedName>
    <definedName name="__fgl1" localSheetId="9">[1]flag_1!#REF!</definedName>
    <definedName name="__fgl1" localSheetId="14">[1]flag_1!#REF!</definedName>
    <definedName name="__fgl1" localSheetId="15">[1]flag_1!#REF!</definedName>
    <definedName name="__fgl1" localSheetId="16">[1]flag_1!#REF!</definedName>
    <definedName name="__fgl1" localSheetId="17">[1]flag_1!#REF!</definedName>
    <definedName name="__fgl1" localSheetId="18">[1]flag_1!#REF!</definedName>
    <definedName name="__fgl1" localSheetId="19">[1]flag_1!#REF!</definedName>
    <definedName name="__fgl1" localSheetId="20">[1]flag_1!#REF!</definedName>
    <definedName name="__fgl1">[1]flag_1!#REF!</definedName>
    <definedName name="__KSZ1" localSheetId="23">[1]flag_1!#REF!</definedName>
    <definedName name="__KSZ1" localSheetId="3">[1]flag_1!#REF!</definedName>
    <definedName name="__KSZ1" localSheetId="22">[1]flag_1!#REF!</definedName>
    <definedName name="__KSZ1" localSheetId="21">[1]flag_1!#REF!</definedName>
    <definedName name="__KSZ1" localSheetId="4">[1]flag_1!#REF!</definedName>
    <definedName name="__KSZ1" localSheetId="5">[1]flag_1!#REF!</definedName>
    <definedName name="__KSZ1" localSheetId="6">[1]flag_1!#REF!</definedName>
    <definedName name="__KSZ1" localSheetId="24">[1]flag_1!#REF!</definedName>
    <definedName name="__KSZ1" localSheetId="7">[1]flag_1!#REF!</definedName>
    <definedName name="__KSZ1" localSheetId="25">[1]flag_1!#REF!</definedName>
    <definedName name="__KSZ1" localSheetId="8">[1]flag_1!#REF!</definedName>
    <definedName name="__KSZ1" localSheetId="9">[1]flag_1!#REF!</definedName>
    <definedName name="__KSZ1" localSheetId="14">[1]flag_1!#REF!</definedName>
    <definedName name="__KSZ1" localSheetId="15">[1]flag_1!#REF!</definedName>
    <definedName name="__KSZ1" localSheetId="16">[1]flag_1!#REF!</definedName>
    <definedName name="__KSZ1" localSheetId="17">[1]flag_1!#REF!</definedName>
    <definedName name="__KSZ1" localSheetId="18">[1]flag_1!#REF!</definedName>
    <definedName name="__KSZ1" localSheetId="19">[1]flag_1!#REF!</definedName>
    <definedName name="__KSZ1" localSheetId="20">[1]flag_1!#REF!</definedName>
    <definedName name="__KSZ1">[1]flag_1!#REF!</definedName>
    <definedName name="__ksz11" localSheetId="23">[1]flag_1!#REF!</definedName>
    <definedName name="__ksz11" localSheetId="3">[1]flag_1!#REF!</definedName>
    <definedName name="__ksz11" localSheetId="22">[1]flag_1!#REF!</definedName>
    <definedName name="__ksz11" localSheetId="21">[1]flag_1!#REF!</definedName>
    <definedName name="__ksz11" localSheetId="4">[1]flag_1!#REF!</definedName>
    <definedName name="__ksz11" localSheetId="5">[1]flag_1!#REF!</definedName>
    <definedName name="__ksz11" localSheetId="6">[1]flag_1!#REF!</definedName>
    <definedName name="__ksz11" localSheetId="24">[1]flag_1!#REF!</definedName>
    <definedName name="__ksz11" localSheetId="7">[1]flag_1!#REF!</definedName>
    <definedName name="__ksz11" localSheetId="25">[1]flag_1!#REF!</definedName>
    <definedName name="__ksz11" localSheetId="8">[1]flag_1!#REF!</definedName>
    <definedName name="__ksz11" localSheetId="9">[1]flag_1!#REF!</definedName>
    <definedName name="__ksz11" localSheetId="14">[1]flag_1!#REF!</definedName>
    <definedName name="__ksz11" localSheetId="15">[1]flag_1!#REF!</definedName>
    <definedName name="__ksz11" localSheetId="16">[1]flag_1!#REF!</definedName>
    <definedName name="__ksz11" localSheetId="17">[1]flag_1!#REF!</definedName>
    <definedName name="__ksz11" localSheetId="18">[1]flag_1!#REF!</definedName>
    <definedName name="__ksz11" localSheetId="19">[1]flag_1!#REF!</definedName>
    <definedName name="__ksz11" localSheetId="20">[1]flag_1!#REF!</definedName>
    <definedName name="__ksz11">[1]flag_1!#REF!</definedName>
    <definedName name="_fgl1" localSheetId="23">[3]flag_1!#REF!</definedName>
    <definedName name="_fgl1" localSheetId="3">[1]flag_1!#REF!</definedName>
    <definedName name="_fgl1" localSheetId="22">[1]flag_1!#REF!</definedName>
    <definedName name="_fgl1" localSheetId="21">[1]flag_1!#REF!</definedName>
    <definedName name="_fgl1" localSheetId="4">[1]flag_1!#REF!</definedName>
    <definedName name="_fgl1" localSheetId="5">[1]flag_1!#REF!</definedName>
    <definedName name="_fgl1" localSheetId="6">[1]flag_1!#REF!</definedName>
    <definedName name="_fgl1" localSheetId="24">[3]flag_1!#REF!</definedName>
    <definedName name="_fgl1" localSheetId="7">[1]flag_1!#REF!</definedName>
    <definedName name="_fgl1" localSheetId="25">[1]flag_1!#REF!</definedName>
    <definedName name="_fgl1" localSheetId="8">[1]flag_1!#REF!</definedName>
    <definedName name="_fgl1" localSheetId="9">[1]flag_1!#REF!</definedName>
    <definedName name="_fgl1" localSheetId="14">[1]flag_1!#REF!</definedName>
    <definedName name="_fgl1" localSheetId="15">[1]flag_1!#REF!</definedName>
    <definedName name="_fgl1" localSheetId="16">[1]flag_1!#REF!</definedName>
    <definedName name="_fgl1" localSheetId="17">[1]flag_1!#REF!</definedName>
    <definedName name="_fgl1" localSheetId="18">[1]flag_1!#REF!</definedName>
    <definedName name="_fgl1" localSheetId="19">[1]flag_1!#REF!</definedName>
    <definedName name="_fgl1" localSheetId="20">[3]flag_1!#REF!</definedName>
    <definedName name="_fgl1">[1]flag_1!#REF!</definedName>
    <definedName name="_KSZ1" localSheetId="23">[3]flag_1!#REF!</definedName>
    <definedName name="_KSZ1" localSheetId="3">[1]flag_1!#REF!</definedName>
    <definedName name="_KSZ1" localSheetId="22">[1]flag_1!#REF!</definedName>
    <definedName name="_KSZ1" localSheetId="21">[1]flag_1!#REF!</definedName>
    <definedName name="_KSZ1" localSheetId="4">[1]flag_1!#REF!</definedName>
    <definedName name="_KSZ1" localSheetId="5">[1]flag_1!#REF!</definedName>
    <definedName name="_KSZ1" localSheetId="6">[1]flag_1!#REF!</definedName>
    <definedName name="_KSZ1" localSheetId="24">[3]flag_1!#REF!</definedName>
    <definedName name="_KSZ1" localSheetId="7">[1]flag_1!#REF!</definedName>
    <definedName name="_KSZ1" localSheetId="25">[1]flag_1!#REF!</definedName>
    <definedName name="_KSZ1" localSheetId="8">[1]flag_1!#REF!</definedName>
    <definedName name="_KSZ1" localSheetId="9">[1]flag_1!#REF!</definedName>
    <definedName name="_KSZ1" localSheetId="14">[1]flag_1!#REF!</definedName>
    <definedName name="_KSZ1" localSheetId="15">[1]flag_1!#REF!</definedName>
    <definedName name="_KSZ1" localSheetId="16">[1]flag_1!#REF!</definedName>
    <definedName name="_KSZ1" localSheetId="17">[1]flag_1!#REF!</definedName>
    <definedName name="_KSZ1" localSheetId="18">[1]flag_1!#REF!</definedName>
    <definedName name="_KSZ1" localSheetId="19">[1]flag_1!#REF!</definedName>
    <definedName name="_KSZ1" localSheetId="20">[3]flag_1!#REF!</definedName>
    <definedName name="_KSZ1">[1]flag_1!#REF!</definedName>
    <definedName name="_ksz11" localSheetId="23">[3]flag_1!#REF!</definedName>
    <definedName name="_ksz11" localSheetId="3">[1]flag_1!#REF!</definedName>
    <definedName name="_ksz11" localSheetId="22">[1]flag_1!#REF!</definedName>
    <definedName name="_ksz11" localSheetId="21">[1]flag_1!#REF!</definedName>
    <definedName name="_ksz11" localSheetId="4">[1]flag_1!#REF!</definedName>
    <definedName name="_ksz11" localSheetId="5">[1]flag_1!#REF!</definedName>
    <definedName name="_ksz11" localSheetId="6">[1]flag_1!#REF!</definedName>
    <definedName name="_ksz11" localSheetId="24">[3]flag_1!#REF!</definedName>
    <definedName name="_ksz11" localSheetId="7">[1]flag_1!#REF!</definedName>
    <definedName name="_ksz11" localSheetId="25">[1]flag_1!#REF!</definedName>
    <definedName name="_ksz11" localSheetId="8">[1]flag_1!#REF!</definedName>
    <definedName name="_ksz11" localSheetId="9">[1]flag_1!#REF!</definedName>
    <definedName name="_ksz11" localSheetId="14">[1]flag_1!#REF!</definedName>
    <definedName name="_ksz11" localSheetId="15">[1]flag_1!#REF!</definedName>
    <definedName name="_ksz11" localSheetId="16">[1]flag_1!#REF!</definedName>
    <definedName name="_ksz11" localSheetId="17">[1]flag_1!#REF!</definedName>
    <definedName name="_ksz11" localSheetId="18">[1]flag_1!#REF!</definedName>
    <definedName name="_ksz11" localSheetId="19">[1]flag_1!#REF!</definedName>
    <definedName name="_ksz11" localSheetId="20">[3]flag_1!#REF!</definedName>
    <definedName name="_ksz11">[1]flag_1!#REF!</definedName>
    <definedName name="_Toc206922256" localSheetId="0">'Önkormányzat tételes'!#REF!</definedName>
    <definedName name="_xlnm.Database" localSheetId="23">#REF!</definedName>
    <definedName name="_xlnm.Database" localSheetId="3">#REF!</definedName>
    <definedName name="_xlnm.Database" localSheetId="22">#REF!</definedName>
    <definedName name="_xlnm.Database" localSheetId="21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24">#REF!</definedName>
    <definedName name="_xlnm.Database" localSheetId="7">#REF!</definedName>
    <definedName name="_xlnm.Database" localSheetId="25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0">#REF!</definedName>
    <definedName name="_xlnm.Database">#REF!</definedName>
    <definedName name="Adatbázis1" localSheetId="23">#REF!</definedName>
    <definedName name="Adatbázis1" localSheetId="3">#REF!</definedName>
    <definedName name="Adatbázis1" localSheetId="22">#REF!</definedName>
    <definedName name="Adatbázis1" localSheetId="21">#REF!</definedName>
    <definedName name="Adatbázis1" localSheetId="4">#REF!</definedName>
    <definedName name="Adatbázis1" localSheetId="5">#REF!</definedName>
    <definedName name="Adatbázis1" localSheetId="6">#REF!</definedName>
    <definedName name="Adatbázis1" localSheetId="24">#REF!</definedName>
    <definedName name="Adatbázis1" localSheetId="7">#REF!</definedName>
    <definedName name="Adatbázis1" localSheetId="25">#REF!</definedName>
    <definedName name="Adatbázis1" localSheetId="8">#REF!</definedName>
    <definedName name="Adatbázis1" localSheetId="9">#REF!</definedName>
    <definedName name="Adatbázis1" localSheetId="10">#REF!</definedName>
    <definedName name="Adatbázis1" localSheetId="11">#REF!</definedName>
    <definedName name="Adatbázis1" localSheetId="12">#REF!</definedName>
    <definedName name="Adatbázis1" localSheetId="13">#REF!</definedName>
    <definedName name="Adatbázis1" localSheetId="14">#REF!</definedName>
    <definedName name="Adatbázis1" localSheetId="15">#REF!</definedName>
    <definedName name="Adatbázis1" localSheetId="16">#REF!</definedName>
    <definedName name="Adatbázis1" localSheetId="17">#REF!</definedName>
    <definedName name="Adatbázis1" localSheetId="18">#REF!</definedName>
    <definedName name="Adatbázis1" localSheetId="19">#REF!</definedName>
    <definedName name="Adatbázis1" localSheetId="20">#REF!</definedName>
    <definedName name="Adatbázis1">#REF!</definedName>
    <definedName name="anita" localSheetId="23">#REF!</definedName>
    <definedName name="anita" localSheetId="3">#REF!</definedName>
    <definedName name="anita" localSheetId="22">#REF!</definedName>
    <definedName name="anita" localSheetId="21">#REF!</definedName>
    <definedName name="anita" localSheetId="4">#REF!</definedName>
    <definedName name="anita" localSheetId="5">#REF!</definedName>
    <definedName name="anita" localSheetId="6">#REF!</definedName>
    <definedName name="anita" localSheetId="24">#REF!</definedName>
    <definedName name="anita" localSheetId="7">#REF!</definedName>
    <definedName name="anita" localSheetId="25">#REF!</definedName>
    <definedName name="anita" localSheetId="8">#REF!</definedName>
    <definedName name="anita" localSheetId="9">#REF!</definedName>
    <definedName name="anita" localSheetId="10">#REF!</definedName>
    <definedName name="anita" localSheetId="11">#REF!</definedName>
    <definedName name="anita" localSheetId="12">#REF!</definedName>
    <definedName name="anita" localSheetId="13">#REF!</definedName>
    <definedName name="anita" localSheetId="14">#REF!</definedName>
    <definedName name="anita" localSheetId="15">#REF!</definedName>
    <definedName name="anita" localSheetId="16">#REF!</definedName>
    <definedName name="anita" localSheetId="17">#REF!</definedName>
    <definedName name="anita" localSheetId="18">#REF!</definedName>
    <definedName name="anita" localSheetId="19">#REF!</definedName>
    <definedName name="anita" localSheetId="20">#REF!</definedName>
    <definedName name="anita">#REF!</definedName>
    <definedName name="css" localSheetId="23">#REF!</definedName>
    <definedName name="css" localSheetId="3">#REF!</definedName>
    <definedName name="css" localSheetId="22">#REF!</definedName>
    <definedName name="css" localSheetId="21">#REF!</definedName>
    <definedName name="css" localSheetId="4">#REF!</definedName>
    <definedName name="css" localSheetId="5">#REF!</definedName>
    <definedName name="css" localSheetId="6">#REF!</definedName>
    <definedName name="css" localSheetId="24">#REF!</definedName>
    <definedName name="css" localSheetId="7">#REF!</definedName>
    <definedName name="css" localSheetId="25">#REF!</definedName>
    <definedName name="css" localSheetId="8">#REF!</definedName>
    <definedName name="css" localSheetId="9">#REF!</definedName>
    <definedName name="css" localSheetId="10">#REF!</definedName>
    <definedName name="css" localSheetId="11">#REF!</definedName>
    <definedName name="css" localSheetId="12">#REF!</definedName>
    <definedName name="css" localSheetId="13">#REF!</definedName>
    <definedName name="css" localSheetId="14">#REF!</definedName>
    <definedName name="css" localSheetId="15">#REF!</definedName>
    <definedName name="css" localSheetId="16">#REF!</definedName>
    <definedName name="css" localSheetId="17">#REF!</definedName>
    <definedName name="css" localSheetId="18">#REF!</definedName>
    <definedName name="css" localSheetId="19">#REF!</definedName>
    <definedName name="css" localSheetId="20">#REF!</definedName>
    <definedName name="css">#REF!</definedName>
    <definedName name="css_k" localSheetId="23">[4]Családsegítés!$C$27:$C$86</definedName>
    <definedName name="css_k" localSheetId="22">[5]Családsegítés!$C$27:$C$86</definedName>
    <definedName name="css_k" localSheetId="21">[5]Családsegítés!$C$27:$C$86</definedName>
    <definedName name="css_k" localSheetId="24">[4]Családsegítés!$C$27:$C$86</definedName>
    <definedName name="css_k" localSheetId="25">[5]Családsegítés!$C$27:$C$86</definedName>
    <definedName name="css_k" localSheetId="8">[6]Családsegítés!$C$27:$C$86</definedName>
    <definedName name="css_k" localSheetId="20">[4]Családsegítés!$C$27:$C$86</definedName>
    <definedName name="css_k">[6]Családsegítés!$C$27:$C$86</definedName>
    <definedName name="css_k_" localSheetId="23">#REF!</definedName>
    <definedName name="css_k_" localSheetId="3">#REF!</definedName>
    <definedName name="css_k_" localSheetId="22">#REF!</definedName>
    <definedName name="css_k_" localSheetId="21">#REF!</definedName>
    <definedName name="css_k_" localSheetId="4">#REF!</definedName>
    <definedName name="css_k_" localSheetId="5">#REF!</definedName>
    <definedName name="css_k_" localSheetId="6">#REF!</definedName>
    <definedName name="css_k_" localSheetId="24">#REF!</definedName>
    <definedName name="css_k_" localSheetId="7">#REF!</definedName>
    <definedName name="css_k_" localSheetId="25">#REF!</definedName>
    <definedName name="css_k_" localSheetId="8">#REF!</definedName>
    <definedName name="css_k_" localSheetId="9">#REF!</definedName>
    <definedName name="css_k_" localSheetId="10">#REF!</definedName>
    <definedName name="css_k_" localSheetId="11">#REF!</definedName>
    <definedName name="css_k_" localSheetId="12">#REF!</definedName>
    <definedName name="css_k_" localSheetId="13">#REF!</definedName>
    <definedName name="css_k_" localSheetId="14">#REF!</definedName>
    <definedName name="css_k_" localSheetId="15">#REF!</definedName>
    <definedName name="css_k_" localSheetId="16">#REF!</definedName>
    <definedName name="css_k_" localSheetId="17">#REF!</definedName>
    <definedName name="css_k_" localSheetId="18">#REF!</definedName>
    <definedName name="css_k_" localSheetId="19">#REF!</definedName>
    <definedName name="css_k_" localSheetId="20">#REF!</definedName>
    <definedName name="css_k_">#REF!</definedName>
    <definedName name="FEJ" localSheetId="23">#REF!</definedName>
    <definedName name="FEJ" localSheetId="3">#REF!</definedName>
    <definedName name="FEJ" localSheetId="22">#REF!</definedName>
    <definedName name="FEJ" localSheetId="21">#REF!</definedName>
    <definedName name="FEJ" localSheetId="4">#REF!</definedName>
    <definedName name="FEJ" localSheetId="5">#REF!</definedName>
    <definedName name="FEJ" localSheetId="6">#REF!</definedName>
    <definedName name="FEJ" localSheetId="24">#REF!</definedName>
    <definedName name="FEJ" localSheetId="7">#REF!</definedName>
    <definedName name="FEJ" localSheetId="25">#REF!</definedName>
    <definedName name="FEJ" localSheetId="8">#REF!</definedName>
    <definedName name="FEJ" localSheetId="9">#REF!</definedName>
    <definedName name="FEJ" localSheetId="10">#REF!</definedName>
    <definedName name="FEJ" localSheetId="11">#REF!</definedName>
    <definedName name="FEJ" localSheetId="12">#REF!</definedName>
    <definedName name="FEJ" localSheetId="13">#REF!</definedName>
    <definedName name="FEJ" localSheetId="14">#REF!</definedName>
    <definedName name="FEJ" localSheetId="15">#REF!</definedName>
    <definedName name="FEJ" localSheetId="16">#REF!</definedName>
    <definedName name="FEJ" localSheetId="17">#REF!</definedName>
    <definedName name="FEJ" localSheetId="18">#REF!</definedName>
    <definedName name="FEJ" localSheetId="19">#REF!</definedName>
    <definedName name="FEJ" localSheetId="20">#REF!</definedName>
    <definedName name="FEJ">#REF!</definedName>
    <definedName name="FGL" localSheetId="23">[3]flag_1!#REF!</definedName>
    <definedName name="FGL" localSheetId="3">[1]flag_1!#REF!</definedName>
    <definedName name="FGL" localSheetId="22">[2]flag_1!#REF!</definedName>
    <definedName name="FGL" localSheetId="21">[2]flag_1!#REF!</definedName>
    <definedName name="FGL" localSheetId="4">[1]flag_1!#REF!</definedName>
    <definedName name="FGL" localSheetId="5">[1]flag_1!#REF!</definedName>
    <definedName name="FGL" localSheetId="6">[1]flag_1!#REF!</definedName>
    <definedName name="FGL" localSheetId="24">[3]flag_1!#REF!</definedName>
    <definedName name="FGL" localSheetId="7">[1]flag_1!#REF!</definedName>
    <definedName name="FGL" localSheetId="25">[2]flag_1!#REF!</definedName>
    <definedName name="FGL" localSheetId="8">[1]flag_1!#REF!</definedName>
    <definedName name="FGL" localSheetId="9">[1]flag_1!#REF!</definedName>
    <definedName name="FGL" localSheetId="10">[1]flag_1!#REF!</definedName>
    <definedName name="FGL" localSheetId="11">[1]flag_1!#REF!</definedName>
    <definedName name="FGL" localSheetId="12">[1]flag_1!#REF!</definedName>
    <definedName name="FGL" localSheetId="13">[1]flag_1!#REF!</definedName>
    <definedName name="FGL" localSheetId="14">[1]flag_1!#REF!</definedName>
    <definedName name="FGL" localSheetId="15">[1]flag_1!#REF!</definedName>
    <definedName name="FGL" localSheetId="16">[1]flag_1!#REF!</definedName>
    <definedName name="FGL" localSheetId="17">[1]flag_1!#REF!</definedName>
    <definedName name="FGL" localSheetId="18">[1]flag_1!#REF!</definedName>
    <definedName name="FGL" localSheetId="19">[1]flag_1!#REF!</definedName>
    <definedName name="FGL" localSheetId="20">[3]flag_1!#REF!</definedName>
    <definedName name="FGL">[1]flag_1!#REF!</definedName>
    <definedName name="FLAG" localSheetId="23">[3]flag_1!#REF!</definedName>
    <definedName name="FLAG" localSheetId="3">[1]flag_1!#REF!</definedName>
    <definedName name="FLAG" localSheetId="22">[2]flag_1!#REF!</definedName>
    <definedName name="FLAG" localSheetId="21">[2]flag_1!#REF!</definedName>
    <definedName name="FLAG" localSheetId="4">[1]flag_1!#REF!</definedName>
    <definedName name="FLAG" localSheetId="5">[1]flag_1!#REF!</definedName>
    <definedName name="FLAG" localSheetId="6">[1]flag_1!#REF!</definedName>
    <definedName name="FLAG" localSheetId="24">[3]flag_1!#REF!</definedName>
    <definedName name="FLAG" localSheetId="7">[1]flag_1!#REF!</definedName>
    <definedName name="FLAG" localSheetId="25">[2]flag_1!#REF!</definedName>
    <definedName name="FLAG" localSheetId="8">[1]flag_1!#REF!</definedName>
    <definedName name="FLAG" localSheetId="9">[1]flag_1!#REF!</definedName>
    <definedName name="FLAG" localSheetId="10">[1]flag_1!#REF!</definedName>
    <definedName name="FLAG" localSheetId="11">[1]flag_1!#REF!</definedName>
    <definedName name="FLAG" localSheetId="12">[1]flag_1!#REF!</definedName>
    <definedName name="FLAG" localSheetId="13">[1]flag_1!#REF!</definedName>
    <definedName name="FLAG" localSheetId="14">[1]flag_1!#REF!</definedName>
    <definedName name="FLAG" localSheetId="15">[1]flag_1!#REF!</definedName>
    <definedName name="FLAG" localSheetId="16">[1]flag_1!#REF!</definedName>
    <definedName name="FLAG" localSheetId="17">[1]flag_1!#REF!</definedName>
    <definedName name="FLAG" localSheetId="18">[1]flag_1!#REF!</definedName>
    <definedName name="FLAG" localSheetId="19">[1]flag_1!#REF!</definedName>
    <definedName name="FLAG" localSheetId="20">[3]flag_1!#REF!</definedName>
    <definedName name="FLAG">[1]flag_1!#REF!</definedName>
    <definedName name="flag1" localSheetId="23">[3]flag_1!#REF!</definedName>
    <definedName name="flag1" localSheetId="3">[1]flag_1!#REF!</definedName>
    <definedName name="flag1" localSheetId="22">[2]flag_1!#REF!</definedName>
    <definedName name="flag1" localSheetId="21">[2]flag_1!#REF!</definedName>
    <definedName name="flag1" localSheetId="4">[1]flag_1!#REF!</definedName>
    <definedName name="flag1" localSheetId="5">[1]flag_1!#REF!</definedName>
    <definedName name="flag1" localSheetId="6">[1]flag_1!#REF!</definedName>
    <definedName name="flag1" localSheetId="24">[3]flag_1!#REF!</definedName>
    <definedName name="flag1" localSheetId="7">[1]flag_1!#REF!</definedName>
    <definedName name="flag1" localSheetId="25">[2]flag_1!#REF!</definedName>
    <definedName name="flag1" localSheetId="8">[1]flag_1!#REF!</definedName>
    <definedName name="flag1" localSheetId="9">[1]flag_1!#REF!</definedName>
    <definedName name="flag1" localSheetId="10">[1]flag_1!#REF!</definedName>
    <definedName name="flag1" localSheetId="11">[1]flag_1!#REF!</definedName>
    <definedName name="flag1" localSheetId="12">[1]flag_1!#REF!</definedName>
    <definedName name="flag1" localSheetId="13">[1]flag_1!#REF!</definedName>
    <definedName name="flag1" localSheetId="14">[1]flag_1!#REF!</definedName>
    <definedName name="flag1" localSheetId="15">[1]flag_1!#REF!</definedName>
    <definedName name="flag1" localSheetId="16">[1]flag_1!#REF!</definedName>
    <definedName name="flag1" localSheetId="17">[1]flag_1!#REF!</definedName>
    <definedName name="flag1" localSheetId="18">[1]flag_1!#REF!</definedName>
    <definedName name="flag1" localSheetId="19">[1]flag_1!#REF!</definedName>
    <definedName name="flag1" localSheetId="20">[3]flag_1!#REF!</definedName>
    <definedName name="flag1">[1]flag_1!#REF!</definedName>
    <definedName name="gyj" localSheetId="23">#REF!</definedName>
    <definedName name="gyj" localSheetId="3">#REF!</definedName>
    <definedName name="gyj" localSheetId="22">#REF!</definedName>
    <definedName name="gyj" localSheetId="21">#REF!</definedName>
    <definedName name="gyj" localSheetId="4">#REF!</definedName>
    <definedName name="gyj" localSheetId="5">#REF!</definedName>
    <definedName name="gyj" localSheetId="6">#REF!</definedName>
    <definedName name="gyj" localSheetId="24">#REF!</definedName>
    <definedName name="gyj" localSheetId="7">#REF!</definedName>
    <definedName name="gyj" localSheetId="25">#REF!</definedName>
    <definedName name="gyj" localSheetId="8">#REF!</definedName>
    <definedName name="gyj" localSheetId="9">#REF!</definedName>
    <definedName name="gyj" localSheetId="10">#REF!</definedName>
    <definedName name="gyj" localSheetId="11">#REF!</definedName>
    <definedName name="gyj" localSheetId="12">#REF!</definedName>
    <definedName name="gyj" localSheetId="13">#REF!</definedName>
    <definedName name="gyj" localSheetId="14">#REF!</definedName>
    <definedName name="gyj" localSheetId="15">#REF!</definedName>
    <definedName name="gyj" localSheetId="16">#REF!</definedName>
    <definedName name="gyj" localSheetId="17">#REF!</definedName>
    <definedName name="gyj" localSheetId="18">#REF!</definedName>
    <definedName name="gyj" localSheetId="19">#REF!</definedName>
    <definedName name="gyj" localSheetId="20">#REF!</definedName>
    <definedName name="gyj">#REF!</definedName>
    <definedName name="gyj_k" localSheetId="23">[4]Gyermekjóléti!$C$27:$C$86</definedName>
    <definedName name="gyj_k" localSheetId="22">[5]Gyermekjóléti!$C$27:$C$86</definedName>
    <definedName name="gyj_k" localSheetId="21">[5]Gyermekjóléti!$C$27:$C$86</definedName>
    <definedName name="gyj_k" localSheetId="24">[4]Gyermekjóléti!$C$27:$C$86</definedName>
    <definedName name="gyj_k" localSheetId="25">[5]Gyermekjóléti!$C$27:$C$86</definedName>
    <definedName name="gyj_k" localSheetId="8">[6]Gyermekjóléti!$C$27:$C$86</definedName>
    <definedName name="gyj_k" localSheetId="20">[4]Gyermekjóléti!$C$27:$C$86</definedName>
    <definedName name="gyj_k">[6]Gyermekjóléti!$C$27:$C$86</definedName>
    <definedName name="gyj_k_" localSheetId="23">#REF!</definedName>
    <definedName name="gyj_k_" localSheetId="3">#REF!</definedName>
    <definedName name="gyj_k_" localSheetId="22">#REF!</definedName>
    <definedName name="gyj_k_" localSheetId="21">#REF!</definedName>
    <definedName name="gyj_k_" localSheetId="4">#REF!</definedName>
    <definedName name="gyj_k_" localSheetId="5">#REF!</definedName>
    <definedName name="gyj_k_" localSheetId="6">#REF!</definedName>
    <definedName name="gyj_k_" localSheetId="24">#REF!</definedName>
    <definedName name="gyj_k_" localSheetId="7">#REF!</definedName>
    <definedName name="gyj_k_" localSheetId="25">#REF!</definedName>
    <definedName name="gyj_k_" localSheetId="8">#REF!</definedName>
    <definedName name="gyj_k_" localSheetId="9">#REF!</definedName>
    <definedName name="gyj_k_" localSheetId="10">#REF!</definedName>
    <definedName name="gyj_k_" localSheetId="11">#REF!</definedName>
    <definedName name="gyj_k_" localSheetId="12">#REF!</definedName>
    <definedName name="gyj_k_" localSheetId="13">#REF!</definedName>
    <definedName name="gyj_k_" localSheetId="14">#REF!</definedName>
    <definedName name="gyj_k_" localSheetId="15">#REF!</definedName>
    <definedName name="gyj_k_" localSheetId="16">#REF!</definedName>
    <definedName name="gyj_k_" localSheetId="17">#REF!</definedName>
    <definedName name="gyj_k_" localSheetId="18">#REF!</definedName>
    <definedName name="gyj_k_" localSheetId="19">#REF!</definedName>
    <definedName name="gyj_k_" localSheetId="20">#REF!</definedName>
    <definedName name="gyj_k_">#REF!</definedName>
    <definedName name="K_LSZA_BECS_1" localSheetId="23">#REF!</definedName>
    <definedName name="K_LSZA_BECS_1" localSheetId="3">#REF!</definedName>
    <definedName name="K_LSZA_BECS_1" localSheetId="22">#REF!</definedName>
    <definedName name="K_LSZA_BECS_1" localSheetId="21">#REF!</definedName>
    <definedName name="K_LSZA_BECS_1" localSheetId="4">#REF!</definedName>
    <definedName name="K_LSZA_BECS_1" localSheetId="5">#REF!</definedName>
    <definedName name="K_LSZA_BECS_1" localSheetId="6">#REF!</definedName>
    <definedName name="K_LSZA_BECS_1" localSheetId="24">#REF!</definedName>
    <definedName name="K_LSZA_BECS_1" localSheetId="7">#REF!</definedName>
    <definedName name="K_LSZA_BECS_1" localSheetId="25">#REF!</definedName>
    <definedName name="K_LSZA_BECS_1" localSheetId="8">#REF!</definedName>
    <definedName name="K_LSZA_BECS_1" localSheetId="9">#REF!</definedName>
    <definedName name="K_LSZA_BECS_1" localSheetId="10">#REF!</definedName>
    <definedName name="K_LSZA_BECS_1" localSheetId="11">#REF!</definedName>
    <definedName name="K_LSZA_BECS_1" localSheetId="12">#REF!</definedName>
    <definedName name="K_LSZA_BECS_1" localSheetId="13">#REF!</definedName>
    <definedName name="K_LSZA_BECS_1" localSheetId="14">#REF!</definedName>
    <definedName name="K_LSZA_BECS_1" localSheetId="15">#REF!</definedName>
    <definedName name="K_LSZA_BECS_1" localSheetId="16">#REF!</definedName>
    <definedName name="K_LSZA_BECS_1" localSheetId="17">#REF!</definedName>
    <definedName name="K_LSZA_BECS_1" localSheetId="18">#REF!</definedName>
    <definedName name="K_LSZA_BECS_1" localSheetId="19">#REF!</definedName>
    <definedName name="K_LSZA_BECS_1" localSheetId="20">#REF!</definedName>
    <definedName name="K_LSZA_BECS_1">#REF!</definedName>
    <definedName name="kjz" localSheetId="23">#REF!</definedName>
    <definedName name="kjz" localSheetId="3">#REF!</definedName>
    <definedName name="kjz" localSheetId="22">#REF!</definedName>
    <definedName name="kjz" localSheetId="21">#REF!</definedName>
    <definedName name="kjz" localSheetId="4">#REF!</definedName>
    <definedName name="kjz" localSheetId="5">#REF!</definedName>
    <definedName name="kjz" localSheetId="6">#REF!</definedName>
    <definedName name="kjz" localSheetId="24">#REF!</definedName>
    <definedName name="kjz" localSheetId="7">#REF!</definedName>
    <definedName name="kjz" localSheetId="25">#REF!</definedName>
    <definedName name="kjz" localSheetId="8">#REF!</definedName>
    <definedName name="kjz" localSheetId="9">#REF!</definedName>
    <definedName name="kjz" localSheetId="10">#REF!</definedName>
    <definedName name="kjz" localSheetId="11">#REF!</definedName>
    <definedName name="kjz" localSheetId="12">#REF!</definedName>
    <definedName name="kjz" localSheetId="13">#REF!</definedName>
    <definedName name="kjz" localSheetId="14">#REF!</definedName>
    <definedName name="kjz" localSheetId="15">#REF!</definedName>
    <definedName name="kjz" localSheetId="16">#REF!</definedName>
    <definedName name="kjz" localSheetId="17">#REF!</definedName>
    <definedName name="kjz" localSheetId="18">#REF!</definedName>
    <definedName name="kjz" localSheetId="19">#REF!</definedName>
    <definedName name="kjz" localSheetId="20">#REF!</definedName>
    <definedName name="kjz">#REF!</definedName>
    <definedName name="kjz_k" localSheetId="23">[4]körjegyzőség!$C$9:$C$28</definedName>
    <definedName name="kjz_k" localSheetId="22">[5]körjegyzőség!$C$9:$C$28</definedName>
    <definedName name="kjz_k" localSheetId="21">[5]körjegyzőség!$C$9:$C$28</definedName>
    <definedName name="kjz_k" localSheetId="24">[4]körjegyzőség!$C$9:$C$28</definedName>
    <definedName name="kjz_k" localSheetId="25">[5]körjegyzőség!$C$9:$C$28</definedName>
    <definedName name="kjz_k" localSheetId="8">[6]körjegyzőség!$C$9:$C$28</definedName>
    <definedName name="kjz_k" localSheetId="20">[4]körjegyzőség!$C$9:$C$28</definedName>
    <definedName name="kjz_k">[6]körjegyzőség!$C$9:$C$28</definedName>
    <definedName name="kjz_k_" localSheetId="23">#REF!</definedName>
    <definedName name="kjz_k_" localSheetId="3">#REF!</definedName>
    <definedName name="kjz_k_" localSheetId="22">#REF!</definedName>
    <definedName name="kjz_k_" localSheetId="21">#REF!</definedName>
    <definedName name="kjz_k_" localSheetId="4">#REF!</definedName>
    <definedName name="kjz_k_" localSheetId="5">#REF!</definedName>
    <definedName name="kjz_k_" localSheetId="6">#REF!</definedName>
    <definedName name="kjz_k_" localSheetId="24">#REF!</definedName>
    <definedName name="kjz_k_" localSheetId="7">#REF!</definedName>
    <definedName name="kjz_k_" localSheetId="25">#REF!</definedName>
    <definedName name="kjz_k_" localSheetId="8">#REF!</definedName>
    <definedName name="kjz_k_" localSheetId="9">#REF!</definedName>
    <definedName name="kjz_k_" localSheetId="10">#REF!</definedName>
    <definedName name="kjz_k_" localSheetId="11">#REF!</definedName>
    <definedName name="kjz_k_" localSheetId="12">#REF!</definedName>
    <definedName name="kjz_k_" localSheetId="13">#REF!</definedName>
    <definedName name="kjz_k_" localSheetId="14">#REF!</definedName>
    <definedName name="kjz_k_" localSheetId="15">#REF!</definedName>
    <definedName name="kjz_k_" localSheetId="16">#REF!</definedName>
    <definedName name="kjz_k_" localSheetId="17">#REF!</definedName>
    <definedName name="kjz_k_" localSheetId="18">#REF!</definedName>
    <definedName name="kjz_k_" localSheetId="19">#REF!</definedName>
    <definedName name="kjz_k_" localSheetId="20">#REF!</definedName>
    <definedName name="kjz_k_">#REF!</definedName>
    <definedName name="KSH_R" localSheetId="23">#REF!</definedName>
    <definedName name="KSH_R" localSheetId="3">#REF!</definedName>
    <definedName name="KSH_R" localSheetId="22">#REF!</definedName>
    <definedName name="KSH_R" localSheetId="21">#REF!</definedName>
    <definedName name="KSH_R" localSheetId="4">#REF!</definedName>
    <definedName name="KSH_R" localSheetId="5">#REF!</definedName>
    <definedName name="KSH_R" localSheetId="6">#REF!</definedName>
    <definedName name="KSH_R" localSheetId="24">#REF!</definedName>
    <definedName name="KSH_R" localSheetId="7">#REF!</definedName>
    <definedName name="KSH_R" localSheetId="25">#REF!</definedName>
    <definedName name="KSH_R" localSheetId="8">#REF!</definedName>
    <definedName name="KSH_R" localSheetId="9">#REF!</definedName>
    <definedName name="KSH_R" localSheetId="10">#REF!</definedName>
    <definedName name="KSH_R" localSheetId="11">#REF!</definedName>
    <definedName name="KSH_R" localSheetId="12">#REF!</definedName>
    <definedName name="KSH_R" localSheetId="13">#REF!</definedName>
    <definedName name="KSH_R" localSheetId="14">#REF!</definedName>
    <definedName name="KSH_R" localSheetId="15">#REF!</definedName>
    <definedName name="KSH_R" localSheetId="16">#REF!</definedName>
    <definedName name="KSH_R" localSheetId="17">#REF!</definedName>
    <definedName name="KSH_R" localSheetId="18">#REF!</definedName>
    <definedName name="KSH_R" localSheetId="19">#REF!</definedName>
    <definedName name="KSH_R" localSheetId="20">#REF!</definedName>
    <definedName name="KSH_R">#REF!</definedName>
    <definedName name="nev_c" localSheetId="23">#REF!</definedName>
    <definedName name="nev_c" localSheetId="3">#REF!</definedName>
    <definedName name="nev_c" localSheetId="22">#REF!</definedName>
    <definedName name="nev_c" localSheetId="21">#REF!</definedName>
    <definedName name="nev_c" localSheetId="4">#REF!</definedName>
    <definedName name="nev_c" localSheetId="5">#REF!</definedName>
    <definedName name="nev_c" localSheetId="6">#REF!</definedName>
    <definedName name="nev_c" localSheetId="24">#REF!</definedName>
    <definedName name="nev_c" localSheetId="7">#REF!</definedName>
    <definedName name="nev_c" localSheetId="25">#REF!</definedName>
    <definedName name="nev_c" localSheetId="8">#REF!</definedName>
    <definedName name="nev_c" localSheetId="9">#REF!</definedName>
    <definedName name="nev_c" localSheetId="10">#REF!</definedName>
    <definedName name="nev_c" localSheetId="11">#REF!</definedName>
    <definedName name="nev_c" localSheetId="12">#REF!</definedName>
    <definedName name="nev_c" localSheetId="13">#REF!</definedName>
    <definedName name="nev_c" localSheetId="14">#REF!</definedName>
    <definedName name="nev_c" localSheetId="15">#REF!</definedName>
    <definedName name="nev_c" localSheetId="16">#REF!</definedName>
    <definedName name="nev_c" localSheetId="17">#REF!</definedName>
    <definedName name="nev_c" localSheetId="18">#REF!</definedName>
    <definedName name="nev_c" localSheetId="19">#REF!</definedName>
    <definedName name="nev_c" localSheetId="20">#REF!</definedName>
    <definedName name="nev_c">#REF!</definedName>
    <definedName name="nev_g" localSheetId="23">#REF!</definedName>
    <definedName name="nev_g" localSheetId="3">#REF!</definedName>
    <definedName name="nev_g" localSheetId="22">#REF!</definedName>
    <definedName name="nev_g" localSheetId="21">#REF!</definedName>
    <definedName name="nev_g" localSheetId="4">#REF!</definedName>
    <definedName name="nev_g" localSheetId="5">#REF!</definedName>
    <definedName name="nev_g" localSheetId="6">#REF!</definedName>
    <definedName name="nev_g" localSheetId="24">#REF!</definedName>
    <definedName name="nev_g" localSheetId="7">#REF!</definedName>
    <definedName name="nev_g" localSheetId="25">#REF!</definedName>
    <definedName name="nev_g" localSheetId="8">#REF!</definedName>
    <definedName name="nev_g" localSheetId="9">#REF!</definedName>
    <definedName name="nev_g" localSheetId="10">#REF!</definedName>
    <definedName name="nev_g" localSheetId="11">#REF!</definedName>
    <definedName name="nev_g" localSheetId="12">#REF!</definedName>
    <definedName name="nev_g" localSheetId="13">#REF!</definedName>
    <definedName name="nev_g" localSheetId="14">#REF!</definedName>
    <definedName name="nev_g" localSheetId="15">#REF!</definedName>
    <definedName name="nev_g" localSheetId="16">#REF!</definedName>
    <definedName name="nev_g" localSheetId="17">#REF!</definedName>
    <definedName name="nev_g" localSheetId="18">#REF!</definedName>
    <definedName name="nev_g" localSheetId="19">#REF!</definedName>
    <definedName name="nev_g" localSheetId="20">#REF!</definedName>
    <definedName name="nev_g">#REF!</definedName>
    <definedName name="nev_k" localSheetId="23">#REF!</definedName>
    <definedName name="nev_k" localSheetId="3">#REF!</definedName>
    <definedName name="nev_k" localSheetId="22">#REF!</definedName>
    <definedName name="nev_k" localSheetId="21">#REF!</definedName>
    <definedName name="nev_k" localSheetId="4">#REF!</definedName>
    <definedName name="nev_k" localSheetId="5">#REF!</definedName>
    <definedName name="nev_k" localSheetId="6">#REF!</definedName>
    <definedName name="nev_k" localSheetId="24">#REF!</definedName>
    <definedName name="nev_k" localSheetId="7">#REF!</definedName>
    <definedName name="nev_k" localSheetId="25">#REF!</definedName>
    <definedName name="nev_k" localSheetId="8">#REF!</definedName>
    <definedName name="nev_k" localSheetId="9">#REF!</definedName>
    <definedName name="nev_k" localSheetId="10">#REF!</definedName>
    <definedName name="nev_k" localSheetId="11">#REF!</definedName>
    <definedName name="nev_k" localSheetId="12">#REF!</definedName>
    <definedName name="nev_k" localSheetId="13">#REF!</definedName>
    <definedName name="nev_k" localSheetId="14">#REF!</definedName>
    <definedName name="nev_k" localSheetId="15">#REF!</definedName>
    <definedName name="nev_k" localSheetId="16">#REF!</definedName>
    <definedName name="nev_k" localSheetId="17">#REF!</definedName>
    <definedName name="nev_k" localSheetId="18">#REF!</definedName>
    <definedName name="nev_k" localSheetId="19">#REF!</definedName>
    <definedName name="nev_k" localSheetId="20">#REF!</definedName>
    <definedName name="nev_k">#REF!</definedName>
    <definedName name="_xlnm.Print_Titles" localSheetId="0">'Önkormányzat tételes'!$2:$3</definedName>
    <definedName name="_xlnm.Print_Area" localSheetId="23">'1.(2.) sz. tájékoztató t.'!$A$1:$E$27</definedName>
    <definedName name="_xlnm.Print_Area" localSheetId="3">'1.1 Összesítő'!$A$1:$D$151</definedName>
    <definedName name="_xlnm.Print_Area" localSheetId="21">'10. Felhasználási terv'!$A$1:$O$27</definedName>
    <definedName name="_xlnm.Print_Area" localSheetId="4">'2.1 Működési mérleg'!$A$1:$G$31</definedName>
    <definedName name="_xlnm.Print_Area" localSheetId="5">'2.2 Felhalmozási mérleg'!$A$1:$G$34</definedName>
    <definedName name="_xlnm.Print_Area" localSheetId="6">'3. Adósság   '!$A$1:$F$12</definedName>
    <definedName name="_xlnm.Print_Area" localSheetId="7">'4. Saját bevétel'!$A$1:$D$12</definedName>
    <definedName name="_xlnm.Print_Area" localSheetId="8">'5. Beruhzások '!$A$1:$F$30</definedName>
    <definedName name="_xlnm.Print_Area" localSheetId="10">'7.1 Önkormányzat'!$A$1:$D$150</definedName>
    <definedName name="_xlnm.Print_Area" localSheetId="11">'7.1.1 Önkormányzat (KÖT)'!$A$1:$D$150</definedName>
    <definedName name="_xlnm.Print_Area" localSheetId="12">'7.1.2 Önkormányzat (ÁIG)'!$A$1:$D$150</definedName>
    <definedName name="_xlnm.Print_Area" localSheetId="13">'7.1.3 Önkormányzat (ÖNK)'!$A$1:$D$150</definedName>
    <definedName name="_xlnm.Print_Area" localSheetId="14">'7.2 Hivatal'!$A$1:$D$59</definedName>
    <definedName name="_xlnm.Print_Area" localSheetId="15">'7.2.1 Hivatal (ÁIG)'!$A$1:$D$59</definedName>
    <definedName name="_xlnm.Print_Area" localSheetId="16">'7.2.2 Hivatal (KÖT)'!$A$1:$D$59</definedName>
    <definedName name="_xlnm.Print_Area" localSheetId="17">'7.3 Óvoda'!$A$1:$D$59</definedName>
    <definedName name="_xlnm.Print_Area" localSheetId="18">'7.3.1 Óvoda (KÖT)'!$A$1:$D$59</definedName>
    <definedName name="_xlnm.Print_Area" localSheetId="19">'8. Tartalék'!$A$1:$D$33</definedName>
    <definedName name="_xlnm.Print_Area" localSheetId="1">'Hivatal tételes'!$A$1:$AH$186</definedName>
    <definedName name="_xlnm.Print_Area" localSheetId="2">'Óvoda tételes'!$A$1:$AN$198</definedName>
    <definedName name="_xlnm.Print_Area" localSheetId="0">'Önkormányzat tételes'!$A$1:$F$523</definedName>
    <definedName name="PUK" localSheetId="23">#REF!</definedName>
    <definedName name="PUK" localSheetId="3">#REF!</definedName>
    <definedName name="PUK" localSheetId="22">#REF!</definedName>
    <definedName name="PUK" localSheetId="21">#REF!</definedName>
    <definedName name="PUK" localSheetId="4">#REF!</definedName>
    <definedName name="PUK" localSheetId="5">#REF!</definedName>
    <definedName name="PUK" localSheetId="6">#REF!</definedName>
    <definedName name="PUK" localSheetId="24">#REF!</definedName>
    <definedName name="PUK" localSheetId="7">#REF!</definedName>
    <definedName name="PUK" localSheetId="25">#REF!</definedName>
    <definedName name="PUK" localSheetId="8">#REF!</definedName>
    <definedName name="PUK" localSheetId="9">#REF!</definedName>
    <definedName name="PUK" localSheetId="10">#REF!</definedName>
    <definedName name="PUK" localSheetId="11">#REF!</definedName>
    <definedName name="PUK" localSheetId="12">#REF!</definedName>
    <definedName name="PUK" localSheetId="13">#REF!</definedName>
    <definedName name="PUK" localSheetId="14">#REF!</definedName>
    <definedName name="PUK" localSheetId="15">#REF!</definedName>
    <definedName name="PUK" localSheetId="16">#REF!</definedName>
    <definedName name="PUK" localSheetId="17">#REF!</definedName>
    <definedName name="PUK" localSheetId="18">#REF!</definedName>
    <definedName name="PUK" localSheetId="19">#REF!</definedName>
    <definedName name="PUK" localSheetId="20">#REF!</definedName>
    <definedName name="PUK">#REF!</definedName>
    <definedName name="státusz" localSheetId="23">#REF!</definedName>
    <definedName name="státusz" localSheetId="3">#REF!</definedName>
    <definedName name="státusz" localSheetId="22">#REF!</definedName>
    <definedName name="státusz" localSheetId="21">#REF!</definedName>
    <definedName name="státusz" localSheetId="4">#REF!</definedName>
    <definedName name="státusz" localSheetId="5">#REF!</definedName>
    <definedName name="státusz" localSheetId="6">#REF!</definedName>
    <definedName name="státusz" localSheetId="24">#REF!</definedName>
    <definedName name="státusz" localSheetId="7">#REF!</definedName>
    <definedName name="státusz" localSheetId="25">#REF!</definedName>
    <definedName name="státusz" localSheetId="8">#REF!</definedName>
    <definedName name="státusz" localSheetId="9">#REF!</definedName>
    <definedName name="státusz" localSheetId="10">#REF!</definedName>
    <definedName name="státusz" localSheetId="11">#REF!</definedName>
    <definedName name="státusz" localSheetId="12">#REF!</definedName>
    <definedName name="státusz" localSheetId="13">#REF!</definedName>
    <definedName name="státusz" localSheetId="14">#REF!</definedName>
    <definedName name="státusz" localSheetId="15">#REF!</definedName>
    <definedName name="státusz" localSheetId="16">#REF!</definedName>
    <definedName name="státusz" localSheetId="17">#REF!</definedName>
    <definedName name="státusz" localSheetId="18">#REF!</definedName>
    <definedName name="státusz" localSheetId="19">#REF!</definedName>
    <definedName name="státusz" localSheetId="20">#REF!</definedName>
    <definedName name="státusz">#REF!</definedName>
    <definedName name="TAM_jogc_feldkod" localSheetId="23">[7]NATUR_select!$C$16:$D$287</definedName>
    <definedName name="TAM_jogc_feldkod" localSheetId="22">[8]NATUR_select!$C$16:$D$287</definedName>
    <definedName name="TAM_jogc_feldkod" localSheetId="21">[8]NATUR_select!$C$16:$D$287</definedName>
    <definedName name="TAM_jogc_feldkod" localSheetId="24">[7]NATUR_select!$C$16:$D$287</definedName>
    <definedName name="TAM_jogc_feldkod" localSheetId="25">[8]NATUR_select!$C$16:$D$287</definedName>
    <definedName name="TAM_jogc_feldkod" localSheetId="8">[9]NATUR_select!$C$16:$D$287</definedName>
    <definedName name="TAM_jogc_feldkod" localSheetId="20">[7]NATUR_select!$C$16:$D$287</definedName>
    <definedName name="TAM_jogc_feldkod">[9]NATUR_select!$C$16:$D$287</definedName>
    <definedName name="URSZ" localSheetId="23">#REF!</definedName>
    <definedName name="URSZ" localSheetId="3">#REF!</definedName>
    <definedName name="URSZ" localSheetId="22">#REF!</definedName>
    <definedName name="URSZ" localSheetId="21">#REF!</definedName>
    <definedName name="URSZ" localSheetId="4">#REF!</definedName>
    <definedName name="URSZ" localSheetId="5">#REF!</definedName>
    <definedName name="URSZ" localSheetId="6">#REF!</definedName>
    <definedName name="URSZ" localSheetId="24">#REF!</definedName>
    <definedName name="URSZ" localSheetId="7">#REF!</definedName>
    <definedName name="URSZ" localSheetId="25">#REF!</definedName>
    <definedName name="URSZ" localSheetId="8">#REF!</definedName>
    <definedName name="URSZ" localSheetId="9">#REF!</definedName>
    <definedName name="URSZ" localSheetId="10">#REF!</definedName>
    <definedName name="URSZ" localSheetId="11">#REF!</definedName>
    <definedName name="URSZ" localSheetId="12">#REF!</definedName>
    <definedName name="URSZ" localSheetId="13">#REF!</definedName>
    <definedName name="URSZ" localSheetId="14">#REF!</definedName>
    <definedName name="URSZ" localSheetId="15">#REF!</definedName>
    <definedName name="URSZ" localSheetId="16">#REF!</definedName>
    <definedName name="URSZ" localSheetId="17">#REF!</definedName>
    <definedName name="URSZ" localSheetId="18">#REF!</definedName>
    <definedName name="URSZ" localSheetId="19">#REF!</definedName>
    <definedName name="URSZ" localSheetId="20">#REF!</definedName>
    <definedName name="URSZ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4" l="1"/>
  <c r="D15" i="14"/>
  <c r="C54" i="21"/>
  <c r="D54" i="21" s="1"/>
  <c r="C53" i="21"/>
  <c r="D53" i="21" s="1"/>
  <c r="C52" i="21"/>
  <c r="D52" i="21" s="1"/>
  <c r="C51" i="21"/>
  <c r="D51" i="21" s="1"/>
  <c r="C49" i="21"/>
  <c r="D49" i="21" s="1"/>
  <c r="C48" i="21"/>
  <c r="D48" i="21" s="1"/>
  <c r="C46" i="21"/>
  <c r="D46" i="21" s="1"/>
  <c r="C45" i="21"/>
  <c r="D45" i="21" s="1"/>
  <c r="C39" i="21"/>
  <c r="D39" i="21" s="1"/>
  <c r="C38" i="21"/>
  <c r="D38" i="21" s="1"/>
  <c r="C37" i="21"/>
  <c r="C36" i="21" s="1"/>
  <c r="C32" i="21"/>
  <c r="D32" i="21" s="1"/>
  <c r="C31" i="21"/>
  <c r="D31" i="21" s="1"/>
  <c r="C30" i="21"/>
  <c r="D30" i="21" s="1"/>
  <c r="C28" i="21"/>
  <c r="D28" i="21" s="1"/>
  <c r="C27" i="21"/>
  <c r="C26" i="21"/>
  <c r="D26" i="21" s="1"/>
  <c r="C23" i="21"/>
  <c r="D23" i="21" s="1"/>
  <c r="C22" i="21"/>
  <c r="D22" i="21" s="1"/>
  <c r="C21" i="21"/>
  <c r="D21" i="21" s="1"/>
  <c r="C20" i="21"/>
  <c r="C18" i="21"/>
  <c r="D18" i="21" s="1"/>
  <c r="C17" i="21"/>
  <c r="D17" i="21" s="1"/>
  <c r="C16" i="21"/>
  <c r="D16" i="21" s="1"/>
  <c r="C15" i="21"/>
  <c r="D15" i="21" s="1"/>
  <c r="C14" i="21"/>
  <c r="D14" i="21" s="1"/>
  <c r="C13" i="21"/>
  <c r="D13" i="21" s="1"/>
  <c r="C12" i="21"/>
  <c r="D12" i="21" s="1"/>
  <c r="C11" i="21"/>
  <c r="D11" i="21" s="1"/>
  <c r="C10" i="21"/>
  <c r="D10" i="21" s="1"/>
  <c r="C9" i="21"/>
  <c r="D9" i="21" l="1"/>
  <c r="C8" i="21"/>
  <c r="D27" i="21"/>
  <c r="D25" i="21" s="1"/>
  <c r="C25" i="21"/>
  <c r="C35" i="21" s="1"/>
  <c r="C40" i="21" s="1"/>
  <c r="C19" i="21"/>
  <c r="D29" i="21"/>
  <c r="D50" i="21"/>
  <c r="C50" i="21"/>
  <c r="D8" i="21"/>
  <c r="C29" i="21"/>
  <c r="D20" i="21"/>
  <c r="D19" i="21" s="1"/>
  <c r="D37" i="21"/>
  <c r="D36" i="21" s="1"/>
  <c r="K146" i="26"/>
  <c r="J146" i="26"/>
  <c r="I146" i="26"/>
  <c r="H146" i="26"/>
  <c r="G146" i="26"/>
  <c r="F146" i="26"/>
  <c r="E146" i="26"/>
  <c r="K88" i="26"/>
  <c r="J88" i="26"/>
  <c r="I88" i="26"/>
  <c r="H88" i="26"/>
  <c r="G88" i="26"/>
  <c r="F88" i="26"/>
  <c r="E88" i="26"/>
  <c r="AS146" i="26"/>
  <c r="AR146" i="26"/>
  <c r="AQ146" i="26"/>
  <c r="AP146" i="26"/>
  <c r="AO146" i="26"/>
  <c r="AN146" i="26"/>
  <c r="AM146" i="26"/>
  <c r="AL146" i="26"/>
  <c r="AK146" i="26"/>
  <c r="AJ146" i="26"/>
  <c r="AI146" i="26"/>
  <c r="AH146" i="26"/>
  <c r="AG146" i="26"/>
  <c r="AF146" i="26"/>
  <c r="AE146" i="26"/>
  <c r="AD146" i="26"/>
  <c r="AC146" i="26"/>
  <c r="AB146" i="26"/>
  <c r="AA146" i="26"/>
  <c r="Z146" i="26"/>
  <c r="Y146" i="26"/>
  <c r="X146" i="26"/>
  <c r="W146" i="26"/>
  <c r="V146" i="26"/>
  <c r="U146" i="26"/>
  <c r="T146" i="26"/>
  <c r="S146" i="26"/>
  <c r="R146" i="26"/>
  <c r="Q146" i="26"/>
  <c r="P146" i="26"/>
  <c r="O146" i="26"/>
  <c r="AS148" i="26" s="1"/>
  <c r="N146" i="26"/>
  <c r="M146" i="26"/>
  <c r="L146" i="26"/>
  <c r="AS88" i="26"/>
  <c r="AR88" i="26"/>
  <c r="AQ88" i="26"/>
  <c r="AP88" i="26"/>
  <c r="AO88" i="26"/>
  <c r="AN88" i="26"/>
  <c r="AM88" i="26"/>
  <c r="AL88" i="26"/>
  <c r="AK88" i="26"/>
  <c r="AJ88" i="26"/>
  <c r="AI88" i="26"/>
  <c r="AH88" i="26"/>
  <c r="AG88" i="26"/>
  <c r="AF88" i="26"/>
  <c r="AE88" i="26"/>
  <c r="AD88" i="26"/>
  <c r="AC88" i="26"/>
  <c r="AB88" i="26"/>
  <c r="AA88" i="26"/>
  <c r="Z88" i="26"/>
  <c r="Y88" i="26"/>
  <c r="X88" i="26"/>
  <c r="W88" i="26"/>
  <c r="V88" i="26"/>
  <c r="U88" i="26"/>
  <c r="T88" i="26"/>
  <c r="S88" i="26"/>
  <c r="R88" i="26"/>
  <c r="Q88" i="26"/>
  <c r="P88" i="26"/>
  <c r="O88" i="26"/>
  <c r="N88" i="26"/>
  <c r="M88" i="26"/>
  <c r="L88" i="26"/>
  <c r="AC42" i="2"/>
  <c r="M42" i="2"/>
  <c r="D35" i="21" l="1"/>
  <c r="D40" i="21" s="1"/>
  <c r="AS90" i="26"/>
  <c r="H55" i="23"/>
  <c r="G55" i="23"/>
  <c r="F55" i="23"/>
  <c r="H40" i="23"/>
  <c r="G40" i="23"/>
  <c r="F40" i="23"/>
  <c r="H55" i="22"/>
  <c r="G55" i="22"/>
  <c r="F55" i="22"/>
  <c r="E55" i="22"/>
  <c r="H40" i="22"/>
  <c r="G40" i="22"/>
  <c r="F40" i="22"/>
  <c r="E40" i="22"/>
  <c r="K55" i="21" l="1"/>
  <c r="J55" i="21"/>
  <c r="I55" i="21"/>
  <c r="H55" i="21"/>
  <c r="G55" i="21"/>
  <c r="E55" i="21"/>
  <c r="F47" i="21"/>
  <c r="C47" i="21" s="1"/>
  <c r="K40" i="21"/>
  <c r="J40" i="21"/>
  <c r="I40" i="21"/>
  <c r="H40" i="21"/>
  <c r="G40" i="21"/>
  <c r="F40" i="21"/>
  <c r="E40" i="21"/>
  <c r="D47" i="21" l="1"/>
  <c r="D44" i="21" s="1"/>
  <c r="D55" i="21" s="1"/>
  <c r="C44" i="21"/>
  <c r="C55" i="21" s="1"/>
  <c r="F55" i="21"/>
  <c r="AC173" i="2"/>
  <c r="AD172" i="2"/>
  <c r="AC160" i="2"/>
  <c r="AC165" i="2" s="1"/>
  <c r="AC33" i="2" l="1"/>
  <c r="U19" i="3" l="1"/>
  <c r="C94" i="26" l="1"/>
  <c r="C93" i="26"/>
  <c r="C144" i="26"/>
  <c r="C143" i="26"/>
  <c r="C142" i="26"/>
  <c r="C141" i="26"/>
  <c r="D140" i="26"/>
  <c r="C139" i="26"/>
  <c r="C138" i="26"/>
  <c r="C137" i="26"/>
  <c r="D135" i="26"/>
  <c r="C134" i="26"/>
  <c r="C133" i="26"/>
  <c r="C132" i="26"/>
  <c r="C131" i="26"/>
  <c r="D130" i="26"/>
  <c r="C129" i="26"/>
  <c r="C128" i="26"/>
  <c r="C127" i="26"/>
  <c r="D126" i="26"/>
  <c r="C124" i="26"/>
  <c r="C123" i="26"/>
  <c r="D122" i="26"/>
  <c r="C121" i="26"/>
  <c r="C120" i="26"/>
  <c r="C119" i="26"/>
  <c r="C118" i="26"/>
  <c r="C117" i="26"/>
  <c r="C116" i="26"/>
  <c r="C115" i="26"/>
  <c r="C114" i="26"/>
  <c r="D113" i="26"/>
  <c r="D108" i="26" s="1"/>
  <c r="C112" i="26"/>
  <c r="C111" i="26"/>
  <c r="C110" i="26"/>
  <c r="C109" i="26"/>
  <c r="C106" i="26"/>
  <c r="C105" i="26"/>
  <c r="C104" i="26"/>
  <c r="C103" i="26"/>
  <c r="C102" i="26"/>
  <c r="C101" i="26"/>
  <c r="C100" i="26"/>
  <c r="C99" i="26"/>
  <c r="C98" i="26"/>
  <c r="D97" i="26"/>
  <c r="D92" i="26" s="1"/>
  <c r="D125" i="26" s="1"/>
  <c r="C96" i="26"/>
  <c r="C85" i="26"/>
  <c r="C84" i="26"/>
  <c r="C83" i="26"/>
  <c r="C82" i="26"/>
  <c r="D81" i="26"/>
  <c r="C80" i="26"/>
  <c r="C79" i="26"/>
  <c r="C78" i="26"/>
  <c r="D77" i="26"/>
  <c r="C76" i="26"/>
  <c r="C75" i="26"/>
  <c r="D74" i="26"/>
  <c r="C73" i="26"/>
  <c r="C72" i="26"/>
  <c r="C71" i="26"/>
  <c r="C70" i="26"/>
  <c r="D69" i="26"/>
  <c r="C68" i="26"/>
  <c r="C67" i="26"/>
  <c r="C66" i="26"/>
  <c r="D65" i="26"/>
  <c r="D87" i="26" s="1"/>
  <c r="C63" i="26"/>
  <c r="C62" i="26"/>
  <c r="C61" i="26"/>
  <c r="C60" i="26"/>
  <c r="D59" i="26"/>
  <c r="C58" i="26"/>
  <c r="C57" i="26"/>
  <c r="C56" i="26"/>
  <c r="C55" i="26"/>
  <c r="D54" i="26"/>
  <c r="C53" i="26"/>
  <c r="C52" i="26"/>
  <c r="C51" i="26"/>
  <c r="C50" i="26"/>
  <c r="C49" i="26"/>
  <c r="D48" i="26"/>
  <c r="C47" i="26"/>
  <c r="C46" i="26"/>
  <c r="C45" i="26"/>
  <c r="C44" i="26"/>
  <c r="C42" i="26"/>
  <c r="C41" i="26"/>
  <c r="C40" i="26"/>
  <c r="C39" i="26"/>
  <c r="D37" i="26"/>
  <c r="C36" i="26"/>
  <c r="C35" i="26"/>
  <c r="C34" i="26"/>
  <c r="C32" i="26"/>
  <c r="C31" i="26"/>
  <c r="D30" i="26"/>
  <c r="D29" i="26" s="1"/>
  <c r="C28" i="26"/>
  <c r="C27" i="26"/>
  <c r="C26" i="26"/>
  <c r="C25" i="26"/>
  <c r="C24" i="26"/>
  <c r="C23" i="26"/>
  <c r="D22" i="26"/>
  <c r="C21" i="26"/>
  <c r="C19" i="26"/>
  <c r="C18" i="26"/>
  <c r="C17" i="26"/>
  <c r="C16" i="26"/>
  <c r="D15" i="26"/>
  <c r="C14" i="26"/>
  <c r="C13" i="26"/>
  <c r="C12" i="26"/>
  <c r="C11" i="26"/>
  <c r="C10" i="26"/>
  <c r="D8" i="26"/>
  <c r="F146" i="25"/>
  <c r="E146" i="25"/>
  <c r="C144" i="25"/>
  <c r="C143" i="25"/>
  <c r="C142" i="25"/>
  <c r="C141" i="25"/>
  <c r="D140" i="25"/>
  <c r="C139" i="25"/>
  <c r="C138" i="25"/>
  <c r="C137" i="25"/>
  <c r="C136" i="25"/>
  <c r="C136" i="26" s="1"/>
  <c r="D135" i="25"/>
  <c r="D145" i="25" s="1"/>
  <c r="C134" i="25"/>
  <c r="C133" i="25"/>
  <c r="C132" i="25"/>
  <c r="C131" i="25"/>
  <c r="D130" i="25"/>
  <c r="C129" i="25"/>
  <c r="C128" i="25"/>
  <c r="C127" i="25"/>
  <c r="C126" i="25" s="1"/>
  <c r="D126" i="25"/>
  <c r="C124" i="25"/>
  <c r="C123" i="25"/>
  <c r="C122" i="25" s="1"/>
  <c r="D122" i="25"/>
  <c r="C121" i="25"/>
  <c r="C120" i="25"/>
  <c r="C119" i="25"/>
  <c r="C118" i="25"/>
  <c r="C117" i="25"/>
  <c r="C116" i="25"/>
  <c r="C115" i="25"/>
  <c r="C114" i="25"/>
  <c r="C113" i="25" s="1"/>
  <c r="D113" i="25"/>
  <c r="D108" i="25" s="1"/>
  <c r="C112" i="25"/>
  <c r="C111" i="25"/>
  <c r="C110" i="25"/>
  <c r="C109" i="25"/>
  <c r="C107" i="25"/>
  <c r="C106" i="25"/>
  <c r="C105" i="25"/>
  <c r="C104" i="25"/>
  <c r="C103" i="25"/>
  <c r="C102" i="25"/>
  <c r="C101" i="25"/>
  <c r="C100" i="25"/>
  <c r="C99" i="25"/>
  <c r="C98" i="25"/>
  <c r="D97" i="25"/>
  <c r="D92" i="25" s="1"/>
  <c r="C96" i="25"/>
  <c r="C95" i="25"/>
  <c r="C94" i="25"/>
  <c r="C93" i="25"/>
  <c r="F88" i="25"/>
  <c r="E88" i="25"/>
  <c r="C85" i="25"/>
  <c r="C84" i="25"/>
  <c r="C83" i="25"/>
  <c r="C82" i="25"/>
  <c r="D81" i="25"/>
  <c r="C80" i="25"/>
  <c r="C79" i="25"/>
  <c r="C78" i="25"/>
  <c r="C77" i="25" s="1"/>
  <c r="D77" i="25"/>
  <c r="C76" i="25"/>
  <c r="C75" i="25"/>
  <c r="C74" i="25" s="1"/>
  <c r="D74" i="25"/>
  <c r="C73" i="25"/>
  <c r="C72" i="25"/>
  <c r="C71" i="25"/>
  <c r="C70" i="25"/>
  <c r="D69" i="25"/>
  <c r="C68" i="25"/>
  <c r="C67" i="25"/>
  <c r="C66" i="25"/>
  <c r="D65" i="25"/>
  <c r="C63" i="25"/>
  <c r="C62" i="25"/>
  <c r="C61" i="25"/>
  <c r="C60" i="25"/>
  <c r="D59" i="25"/>
  <c r="C58" i="25"/>
  <c r="C57" i="25"/>
  <c r="C56" i="25"/>
  <c r="C55" i="25"/>
  <c r="D54" i="25"/>
  <c r="C53" i="25"/>
  <c r="C52" i="25"/>
  <c r="C51" i="25"/>
  <c r="C50" i="25"/>
  <c r="C49" i="25"/>
  <c r="D48" i="25"/>
  <c r="C47" i="25"/>
  <c r="C46" i="25"/>
  <c r="C45" i="25"/>
  <c r="C44" i="25"/>
  <c r="C43" i="25"/>
  <c r="C42" i="25"/>
  <c r="C41" i="25"/>
  <c r="C40" i="25"/>
  <c r="C39" i="25"/>
  <c r="C38" i="25"/>
  <c r="C37" i="25" s="1"/>
  <c r="D37" i="25"/>
  <c r="C36" i="25"/>
  <c r="C35" i="25"/>
  <c r="C34" i="25"/>
  <c r="C33" i="25"/>
  <c r="C32" i="25"/>
  <c r="C31" i="25"/>
  <c r="D30" i="25"/>
  <c r="D29" i="25" s="1"/>
  <c r="C28" i="25"/>
  <c r="C27" i="25"/>
  <c r="C26" i="25"/>
  <c r="C25" i="25"/>
  <c r="C24" i="25"/>
  <c r="C23" i="25"/>
  <c r="D22" i="25"/>
  <c r="C21" i="25"/>
  <c r="C20" i="25"/>
  <c r="C20" i="26" s="1"/>
  <c r="C19" i="25"/>
  <c r="C18" i="25"/>
  <c r="C17" i="25"/>
  <c r="C16" i="25"/>
  <c r="D15" i="25"/>
  <c r="C14" i="25"/>
  <c r="C13" i="25"/>
  <c r="C12" i="25"/>
  <c r="C11" i="25"/>
  <c r="C10" i="25"/>
  <c r="C9" i="25"/>
  <c r="C9" i="26" s="1"/>
  <c r="D8" i="25"/>
  <c r="C33" i="24"/>
  <c r="J146" i="24"/>
  <c r="I146" i="24"/>
  <c r="H146" i="24"/>
  <c r="G146" i="24"/>
  <c r="F146" i="24"/>
  <c r="E146" i="24"/>
  <c r="C144" i="24"/>
  <c r="C143" i="24"/>
  <c r="C142" i="24"/>
  <c r="C141" i="24"/>
  <c r="D140" i="24"/>
  <c r="C139" i="24"/>
  <c r="C138" i="24"/>
  <c r="C137" i="24"/>
  <c r="C136" i="24"/>
  <c r="D135" i="24"/>
  <c r="C134" i="24"/>
  <c r="C133" i="24"/>
  <c r="C132" i="24"/>
  <c r="C131" i="24"/>
  <c r="D130" i="24"/>
  <c r="C129" i="24"/>
  <c r="C128" i="24"/>
  <c r="C127" i="24"/>
  <c r="D126" i="24"/>
  <c r="C124" i="24"/>
  <c r="C123" i="24"/>
  <c r="D122" i="24"/>
  <c r="C121" i="24"/>
  <c r="C120" i="24"/>
  <c r="C119" i="24"/>
  <c r="C118" i="24"/>
  <c r="C117" i="24"/>
  <c r="C116" i="24"/>
  <c r="C115" i="24"/>
  <c r="C114" i="24"/>
  <c r="D113" i="24"/>
  <c r="D108" i="24" s="1"/>
  <c r="C112" i="24"/>
  <c r="C111" i="24"/>
  <c r="C110" i="24"/>
  <c r="C109" i="24"/>
  <c r="C107" i="24"/>
  <c r="C107" i="26" s="1"/>
  <c r="C106" i="24"/>
  <c r="C105" i="24"/>
  <c r="C104" i="24"/>
  <c r="C103" i="24"/>
  <c r="C102" i="24"/>
  <c r="C101" i="24"/>
  <c r="C100" i="24"/>
  <c r="C99" i="24"/>
  <c r="C98" i="24"/>
  <c r="D97" i="24"/>
  <c r="D92" i="24" s="1"/>
  <c r="C96" i="24"/>
  <c r="C95" i="24"/>
  <c r="C95" i="26" s="1"/>
  <c r="C94" i="24"/>
  <c r="C93" i="24"/>
  <c r="J88" i="24"/>
  <c r="I88" i="24"/>
  <c r="H88" i="24"/>
  <c r="G88" i="24"/>
  <c r="F88" i="24"/>
  <c r="E88" i="24"/>
  <c r="C85" i="24"/>
  <c r="C84" i="24"/>
  <c r="C83" i="24"/>
  <c r="C82" i="24"/>
  <c r="D81" i="24"/>
  <c r="C80" i="24"/>
  <c r="C79" i="24"/>
  <c r="C78" i="24"/>
  <c r="D77" i="24"/>
  <c r="C76" i="24"/>
  <c r="C75" i="24"/>
  <c r="D74" i="24"/>
  <c r="C73" i="24"/>
  <c r="C72" i="24"/>
  <c r="C71" i="24"/>
  <c r="C70" i="24"/>
  <c r="D69" i="24"/>
  <c r="C68" i="24"/>
  <c r="C67" i="24"/>
  <c r="C66" i="24"/>
  <c r="D65" i="24"/>
  <c r="C63" i="24"/>
  <c r="C62" i="24"/>
  <c r="C61" i="24"/>
  <c r="C60" i="24"/>
  <c r="D59" i="24"/>
  <c r="C58" i="24"/>
  <c r="C57" i="24"/>
  <c r="C56" i="24"/>
  <c r="C55" i="24"/>
  <c r="D54" i="24"/>
  <c r="C53" i="24"/>
  <c r="C52" i="24"/>
  <c r="C51" i="24"/>
  <c r="C50" i="24"/>
  <c r="C49" i="24"/>
  <c r="D48" i="24"/>
  <c r="C47" i="24"/>
  <c r="C46" i="24"/>
  <c r="C45" i="24"/>
  <c r="C44" i="24"/>
  <c r="C43" i="24"/>
  <c r="C43" i="26" s="1"/>
  <c r="C42" i="24"/>
  <c r="C41" i="24"/>
  <c r="C40" i="24"/>
  <c r="C39" i="24"/>
  <c r="C38" i="24"/>
  <c r="C38" i="26" s="1"/>
  <c r="D37" i="24"/>
  <c r="C36" i="24"/>
  <c r="C35" i="24"/>
  <c r="C34" i="24"/>
  <c r="C32" i="24"/>
  <c r="C31" i="24"/>
  <c r="D30" i="24"/>
  <c r="D29" i="24" s="1"/>
  <c r="C28" i="24"/>
  <c r="C27" i="24"/>
  <c r="C26" i="24"/>
  <c r="C25" i="24"/>
  <c r="C24" i="24"/>
  <c r="C23" i="24"/>
  <c r="D22" i="24"/>
  <c r="C21" i="24"/>
  <c r="C20" i="24"/>
  <c r="C19" i="24"/>
  <c r="C18" i="24"/>
  <c r="C17" i="24"/>
  <c r="C16" i="24"/>
  <c r="D15" i="24"/>
  <c r="C14" i="24"/>
  <c r="C13" i="24"/>
  <c r="C12" i="24"/>
  <c r="C11" i="24"/>
  <c r="C10" i="24"/>
  <c r="C9" i="24"/>
  <c r="D8" i="24"/>
  <c r="E55" i="23"/>
  <c r="C54" i="23"/>
  <c r="C53" i="23"/>
  <c r="C52" i="23"/>
  <c r="C51" i="23"/>
  <c r="D50" i="23"/>
  <c r="C49" i="23"/>
  <c r="C48" i="23"/>
  <c r="C47" i="23"/>
  <c r="C46" i="23"/>
  <c r="C45" i="23"/>
  <c r="D44" i="23"/>
  <c r="D55" i="23" s="1"/>
  <c r="E40" i="23"/>
  <c r="C39" i="23"/>
  <c r="C38" i="23"/>
  <c r="C37" i="23"/>
  <c r="D36" i="23"/>
  <c r="C32" i="23"/>
  <c r="C31" i="23"/>
  <c r="C30" i="23"/>
  <c r="D29" i="23"/>
  <c r="C28" i="23"/>
  <c r="C27" i="23"/>
  <c r="C26" i="23"/>
  <c r="C25" i="23" s="1"/>
  <c r="D25" i="23"/>
  <c r="C23" i="23"/>
  <c r="C22" i="23"/>
  <c r="C21" i="23"/>
  <c r="C20" i="23"/>
  <c r="D19" i="23"/>
  <c r="C18" i="23"/>
  <c r="C17" i="23"/>
  <c r="C16" i="23"/>
  <c r="C15" i="23"/>
  <c r="C14" i="23"/>
  <c r="C13" i="23"/>
  <c r="C12" i="23"/>
  <c r="C11" i="23"/>
  <c r="C10" i="23"/>
  <c r="C9" i="23"/>
  <c r="D8" i="23"/>
  <c r="C39" i="22"/>
  <c r="C54" i="22"/>
  <c r="C53" i="22"/>
  <c r="C52" i="22"/>
  <c r="C51" i="22"/>
  <c r="D50" i="22"/>
  <c r="C49" i="22"/>
  <c r="C48" i="22"/>
  <c r="C47" i="22"/>
  <c r="C46" i="22"/>
  <c r="C45" i="22"/>
  <c r="D44" i="22"/>
  <c r="C38" i="22"/>
  <c r="C37" i="22"/>
  <c r="D36" i="22"/>
  <c r="C32" i="22"/>
  <c r="C31" i="22"/>
  <c r="C30" i="22"/>
  <c r="D29" i="22"/>
  <c r="C28" i="22"/>
  <c r="C27" i="22"/>
  <c r="C26" i="22"/>
  <c r="D25" i="22"/>
  <c r="C23" i="22"/>
  <c r="C22" i="22"/>
  <c r="C21" i="22"/>
  <c r="C20" i="22"/>
  <c r="D19" i="22"/>
  <c r="C18" i="22"/>
  <c r="C17" i="22"/>
  <c r="C16" i="22"/>
  <c r="C15" i="22"/>
  <c r="C14" i="22"/>
  <c r="C13" i="22"/>
  <c r="C12" i="22"/>
  <c r="C11" i="22"/>
  <c r="C10" i="22"/>
  <c r="C9" i="22"/>
  <c r="D8" i="22"/>
  <c r="D35" i="22" s="1"/>
  <c r="D40" i="22" s="1"/>
  <c r="M27" i="20"/>
  <c r="L27" i="20"/>
  <c r="K27" i="20"/>
  <c r="J27" i="20"/>
  <c r="I27" i="20"/>
  <c r="H27" i="20"/>
  <c r="G27" i="20"/>
  <c r="F27" i="20"/>
  <c r="E27" i="20"/>
  <c r="D27" i="20"/>
  <c r="C27" i="20"/>
  <c r="O26" i="20"/>
  <c r="O25" i="20"/>
  <c r="O24" i="20"/>
  <c r="O23" i="20"/>
  <c r="O22" i="20"/>
  <c r="O21" i="20"/>
  <c r="O20" i="20"/>
  <c r="O19" i="20"/>
  <c r="O18" i="20"/>
  <c r="N27" i="20"/>
  <c r="C16" i="20"/>
  <c r="O15" i="20"/>
  <c r="O14" i="20"/>
  <c r="O13" i="20"/>
  <c r="O12" i="20"/>
  <c r="O11" i="20"/>
  <c r="O10" i="20"/>
  <c r="O9" i="20"/>
  <c r="O8" i="20"/>
  <c r="O7" i="20"/>
  <c r="C5" i="19"/>
  <c r="D30" i="19"/>
  <c r="I12" i="18"/>
  <c r="I17" i="18"/>
  <c r="H16" i="18"/>
  <c r="G16" i="18"/>
  <c r="F16" i="18"/>
  <c r="E16" i="18"/>
  <c r="D16" i="18"/>
  <c r="I15" i="18"/>
  <c r="H14" i="18"/>
  <c r="G14" i="18"/>
  <c r="F14" i="18"/>
  <c r="I14" i="18" s="1"/>
  <c r="I13" i="18"/>
  <c r="H12" i="18"/>
  <c r="G12" i="18"/>
  <c r="I11" i="18"/>
  <c r="I10" i="18"/>
  <c r="H9" i="18"/>
  <c r="G9" i="18"/>
  <c r="F9" i="18"/>
  <c r="E9" i="18"/>
  <c r="D9" i="18"/>
  <c r="I8" i="18"/>
  <c r="H6" i="18"/>
  <c r="H18" i="18" s="1"/>
  <c r="G6" i="18"/>
  <c r="G18" i="18" s="1"/>
  <c r="F6" i="18"/>
  <c r="D6" i="18"/>
  <c r="L26" i="16"/>
  <c r="H26" i="16"/>
  <c r="D26" i="16"/>
  <c r="O25" i="16"/>
  <c r="O24" i="16"/>
  <c r="O23" i="16"/>
  <c r="O22" i="16"/>
  <c r="O21" i="16"/>
  <c r="O20" i="16"/>
  <c r="O19" i="16"/>
  <c r="O18" i="16"/>
  <c r="N26" i="16"/>
  <c r="M26" i="16"/>
  <c r="K26" i="16"/>
  <c r="I26" i="16"/>
  <c r="G26" i="16"/>
  <c r="E26" i="16"/>
  <c r="C26" i="16"/>
  <c r="O13" i="16"/>
  <c r="O12" i="16"/>
  <c r="O11" i="16"/>
  <c r="O10" i="16"/>
  <c r="O8" i="16"/>
  <c r="O7" i="16"/>
  <c r="G61" i="15"/>
  <c r="G38" i="15"/>
  <c r="F62" i="15"/>
  <c r="E62" i="15"/>
  <c r="D62" i="15"/>
  <c r="C62" i="15"/>
  <c r="G60" i="15"/>
  <c r="G59" i="15"/>
  <c r="G58" i="15"/>
  <c r="G57" i="15"/>
  <c r="G56" i="15"/>
  <c r="F39" i="15"/>
  <c r="E39" i="15"/>
  <c r="D39" i="15"/>
  <c r="C39" i="15"/>
  <c r="G37" i="15"/>
  <c r="G36" i="15"/>
  <c r="G35" i="15"/>
  <c r="G34" i="15"/>
  <c r="G33" i="15"/>
  <c r="F15" i="15"/>
  <c r="E15" i="15"/>
  <c r="D15" i="15"/>
  <c r="C15" i="15"/>
  <c r="G15" i="15" s="1"/>
  <c r="G14" i="15"/>
  <c r="G13" i="15"/>
  <c r="G12" i="15"/>
  <c r="G11" i="15"/>
  <c r="G10" i="15"/>
  <c r="G9" i="15"/>
  <c r="D32" i="14"/>
  <c r="C32" i="14"/>
  <c r="B32" i="14"/>
  <c r="E6" i="13"/>
  <c r="E7" i="13"/>
  <c r="E8" i="13"/>
  <c r="E9" i="13"/>
  <c r="E10" i="13"/>
  <c r="E11" i="13"/>
  <c r="E5" i="13"/>
  <c r="D24" i="13"/>
  <c r="B24" i="13"/>
  <c r="F23" i="13"/>
  <c r="F22" i="13"/>
  <c r="F21" i="13"/>
  <c r="F20" i="13"/>
  <c r="F19" i="13"/>
  <c r="F18" i="13"/>
  <c r="F17" i="13"/>
  <c r="F16" i="13"/>
  <c r="F15" i="13"/>
  <c r="E12" i="12"/>
  <c r="E13" i="12"/>
  <c r="E14" i="12"/>
  <c r="F29" i="12"/>
  <c r="D29" i="12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1" i="12"/>
  <c r="E10" i="12"/>
  <c r="E8" i="12"/>
  <c r="E6" i="12"/>
  <c r="D11" i="10"/>
  <c r="C11" i="10"/>
  <c r="F10" i="10"/>
  <c r="F9" i="10"/>
  <c r="F8" i="10"/>
  <c r="F7" i="10"/>
  <c r="D18" i="9"/>
  <c r="D30" i="9" s="1"/>
  <c r="C18" i="9"/>
  <c r="C30" i="9" s="1"/>
  <c r="C24" i="9"/>
  <c r="D24" i="9"/>
  <c r="F30" i="9"/>
  <c r="G30" i="9"/>
  <c r="E151" i="7"/>
  <c r="E150" i="7"/>
  <c r="F47" i="6"/>
  <c r="F55" i="6" s="1"/>
  <c r="X59" i="3"/>
  <c r="Z15" i="3"/>
  <c r="W15" i="3"/>
  <c r="AA15" i="3" s="1"/>
  <c r="K55" i="6"/>
  <c r="J55" i="6"/>
  <c r="I55" i="6"/>
  <c r="H55" i="6"/>
  <c r="G55" i="6"/>
  <c r="E55" i="6"/>
  <c r="C54" i="6"/>
  <c r="D54" i="6" s="1"/>
  <c r="C53" i="6"/>
  <c r="D53" i="6" s="1"/>
  <c r="C52" i="6"/>
  <c r="D52" i="6" s="1"/>
  <c r="C51" i="6"/>
  <c r="D51" i="6" s="1"/>
  <c r="D50" i="6" s="1"/>
  <c r="C49" i="6"/>
  <c r="D49" i="6" s="1"/>
  <c r="C48" i="6"/>
  <c r="D48" i="6" s="1"/>
  <c r="C47" i="6"/>
  <c r="D47" i="6" s="1"/>
  <c r="C46" i="6"/>
  <c r="C45" i="6"/>
  <c r="D45" i="6" s="1"/>
  <c r="K40" i="6"/>
  <c r="J40" i="6"/>
  <c r="I40" i="6"/>
  <c r="H40" i="6"/>
  <c r="G40" i="6"/>
  <c r="F40" i="6"/>
  <c r="E40" i="6"/>
  <c r="C39" i="6"/>
  <c r="D39" i="6" s="1"/>
  <c r="C38" i="6"/>
  <c r="D38" i="6" s="1"/>
  <c r="C37" i="6"/>
  <c r="D37" i="6" s="1"/>
  <c r="D36" i="6" s="1"/>
  <c r="C32" i="6"/>
  <c r="D32" i="6" s="1"/>
  <c r="C31" i="6"/>
  <c r="D31" i="6" s="1"/>
  <c r="C30" i="6"/>
  <c r="D30" i="6" s="1"/>
  <c r="D29" i="6" s="1"/>
  <c r="C28" i="6"/>
  <c r="D28" i="6" s="1"/>
  <c r="C27" i="6"/>
  <c r="D27" i="6" s="1"/>
  <c r="C26" i="6"/>
  <c r="C23" i="6"/>
  <c r="D23" i="6" s="1"/>
  <c r="C22" i="6"/>
  <c r="D22" i="6" s="1"/>
  <c r="D19" i="6" s="1"/>
  <c r="C21" i="6"/>
  <c r="D21" i="6" s="1"/>
  <c r="C20" i="6"/>
  <c r="D20" i="6" s="1"/>
  <c r="C18" i="6"/>
  <c r="D18" i="6" s="1"/>
  <c r="C17" i="6"/>
  <c r="D17" i="6" s="1"/>
  <c r="C16" i="6"/>
  <c r="D16" i="6" s="1"/>
  <c r="C15" i="6"/>
  <c r="D15" i="6" s="1"/>
  <c r="C14" i="6"/>
  <c r="D14" i="6" s="1"/>
  <c r="C13" i="6"/>
  <c r="D13" i="6" s="1"/>
  <c r="C12" i="6"/>
  <c r="D12" i="6" s="1"/>
  <c r="C11" i="6"/>
  <c r="D11" i="6" s="1"/>
  <c r="C10" i="6"/>
  <c r="D10" i="6" s="1"/>
  <c r="C9" i="6"/>
  <c r="D9" i="6" s="1"/>
  <c r="D8" i="6" s="1"/>
  <c r="K55" i="5"/>
  <c r="J55" i="5"/>
  <c r="I55" i="5"/>
  <c r="H55" i="5"/>
  <c r="G55" i="5"/>
  <c r="F55" i="5"/>
  <c r="E55" i="5"/>
  <c r="C54" i="5"/>
  <c r="D54" i="5" s="1"/>
  <c r="C53" i="5"/>
  <c r="D53" i="5" s="1"/>
  <c r="C52" i="5"/>
  <c r="D52" i="5" s="1"/>
  <c r="C51" i="5"/>
  <c r="D51" i="5" s="1"/>
  <c r="D50" i="5" s="1"/>
  <c r="C49" i="5"/>
  <c r="D49" i="5" s="1"/>
  <c r="C48" i="5"/>
  <c r="D48" i="5" s="1"/>
  <c r="C47" i="5"/>
  <c r="C46" i="5"/>
  <c r="D46" i="5" s="1"/>
  <c r="C45" i="5"/>
  <c r="D45" i="5" s="1"/>
  <c r="K40" i="5"/>
  <c r="J40" i="5"/>
  <c r="I40" i="5"/>
  <c r="H40" i="5"/>
  <c r="G40" i="5"/>
  <c r="F40" i="5"/>
  <c r="E40" i="5"/>
  <c r="C39" i="5"/>
  <c r="D39" i="5" s="1"/>
  <c r="D36" i="5" s="1"/>
  <c r="C38" i="5"/>
  <c r="D38" i="5" s="1"/>
  <c r="C37" i="5"/>
  <c r="D37" i="5" s="1"/>
  <c r="C32" i="5"/>
  <c r="D32" i="5" s="1"/>
  <c r="D29" i="5" s="1"/>
  <c r="C31" i="5"/>
  <c r="D31" i="5" s="1"/>
  <c r="C30" i="5"/>
  <c r="D30" i="5" s="1"/>
  <c r="C28" i="5"/>
  <c r="D28" i="5" s="1"/>
  <c r="C27" i="5"/>
  <c r="D27" i="5" s="1"/>
  <c r="C26" i="5"/>
  <c r="C23" i="5"/>
  <c r="D23" i="5" s="1"/>
  <c r="C22" i="5"/>
  <c r="D22" i="5" s="1"/>
  <c r="C21" i="5"/>
  <c r="D21" i="5" s="1"/>
  <c r="C20" i="5"/>
  <c r="C18" i="5"/>
  <c r="D18" i="5" s="1"/>
  <c r="C17" i="5"/>
  <c r="D17" i="5" s="1"/>
  <c r="C16" i="5"/>
  <c r="D16" i="5" s="1"/>
  <c r="C15" i="5"/>
  <c r="D15" i="5" s="1"/>
  <c r="C14" i="5"/>
  <c r="D14" i="5" s="1"/>
  <c r="C13" i="5"/>
  <c r="D13" i="5" s="1"/>
  <c r="C12" i="5"/>
  <c r="D12" i="5" s="1"/>
  <c r="C11" i="5"/>
  <c r="D11" i="5" s="1"/>
  <c r="C10" i="5"/>
  <c r="C9" i="5"/>
  <c r="D9" i="5" s="1"/>
  <c r="F24" i="13" l="1"/>
  <c r="G39" i="15"/>
  <c r="C25" i="5"/>
  <c r="D26" i="5"/>
  <c r="D25" i="5" s="1"/>
  <c r="G62" i="15"/>
  <c r="C22" i="25"/>
  <c r="D87" i="25"/>
  <c r="C19" i="5"/>
  <c r="D20" i="5"/>
  <c r="D19" i="5" s="1"/>
  <c r="C140" i="26"/>
  <c r="D10" i="5"/>
  <c r="D8" i="5" s="1"/>
  <c r="D47" i="5"/>
  <c r="D44" i="5" s="1"/>
  <c r="D55" i="5" s="1"/>
  <c r="C25" i="6"/>
  <c r="D26" i="6"/>
  <c r="D25" i="6" s="1"/>
  <c r="D46" i="6"/>
  <c r="D44" i="6" s="1"/>
  <c r="D55" i="6" s="1"/>
  <c r="I9" i="18"/>
  <c r="D55" i="22"/>
  <c r="C33" i="26"/>
  <c r="C30" i="26" s="1"/>
  <c r="C29" i="26" s="1"/>
  <c r="C48" i="25"/>
  <c r="C59" i="25"/>
  <c r="C69" i="25"/>
  <c r="D145" i="26"/>
  <c r="D35" i="5"/>
  <c r="D40" i="5" s="1"/>
  <c r="D35" i="6"/>
  <c r="D40" i="6" s="1"/>
  <c r="C22" i="26"/>
  <c r="C59" i="26"/>
  <c r="C130" i="26"/>
  <c r="C145" i="26" s="1"/>
  <c r="C81" i="26"/>
  <c r="C97" i="26"/>
  <c r="C65" i="26"/>
  <c r="C69" i="26"/>
  <c r="C87" i="26" s="1"/>
  <c r="C74" i="26"/>
  <c r="C126" i="26"/>
  <c r="C113" i="26"/>
  <c r="C108" i="26" s="1"/>
  <c r="C8" i="26"/>
  <c r="C48" i="26"/>
  <c r="C135" i="26"/>
  <c r="C54" i="26"/>
  <c r="C77" i="26"/>
  <c r="C122" i="26"/>
  <c r="C44" i="22"/>
  <c r="E24" i="13"/>
  <c r="C36" i="23"/>
  <c r="C8" i="23"/>
  <c r="C25" i="22"/>
  <c r="C8" i="5"/>
  <c r="C92" i="26"/>
  <c r="C37" i="26"/>
  <c r="C15" i="26"/>
  <c r="D64" i="26"/>
  <c r="C30" i="25"/>
  <c r="C29" i="25" s="1"/>
  <c r="C15" i="25"/>
  <c r="C65" i="25"/>
  <c r="C108" i="25"/>
  <c r="C130" i="25"/>
  <c r="C135" i="25"/>
  <c r="C145" i="25" s="1"/>
  <c r="C8" i="25"/>
  <c r="C54" i="25"/>
  <c r="D64" i="25"/>
  <c r="C81" i="25"/>
  <c r="C87" i="25" s="1"/>
  <c r="C97" i="25"/>
  <c r="C92" i="25" s="1"/>
  <c r="C140" i="25"/>
  <c r="D125" i="25"/>
  <c r="C74" i="24"/>
  <c r="D87" i="24"/>
  <c r="D125" i="24"/>
  <c r="C113" i="24"/>
  <c r="C108" i="24" s="1"/>
  <c r="C126" i="24"/>
  <c r="C30" i="24"/>
  <c r="C29" i="24" s="1"/>
  <c r="C37" i="24"/>
  <c r="C59" i="24"/>
  <c r="C69" i="24"/>
  <c r="C122" i="24"/>
  <c r="C140" i="24"/>
  <c r="C130" i="24"/>
  <c r="C81" i="24"/>
  <c r="C54" i="24"/>
  <c r="C65" i="24"/>
  <c r="C8" i="24"/>
  <c r="C97" i="24"/>
  <c r="C92" i="24" s="1"/>
  <c r="C135" i="24"/>
  <c r="C15" i="24"/>
  <c r="C22" i="24"/>
  <c r="C48" i="24"/>
  <c r="C77" i="24"/>
  <c r="D145" i="24"/>
  <c r="D64" i="24"/>
  <c r="C50" i="23"/>
  <c r="C29" i="23"/>
  <c r="C44" i="23"/>
  <c r="D35" i="23"/>
  <c r="D40" i="23" s="1"/>
  <c r="C19" i="23"/>
  <c r="C8" i="22"/>
  <c r="C50" i="22"/>
  <c r="C55" i="22" s="1"/>
  <c r="C29" i="22"/>
  <c r="C35" i="22" s="1"/>
  <c r="C19" i="22"/>
  <c r="C36" i="22"/>
  <c r="O27" i="20"/>
  <c r="C28" i="20"/>
  <c r="D6" i="20"/>
  <c r="D16" i="20" s="1"/>
  <c r="D28" i="20" s="1"/>
  <c r="O16" i="20"/>
  <c r="I16" i="18"/>
  <c r="F18" i="18"/>
  <c r="D18" i="18"/>
  <c r="O16" i="16"/>
  <c r="E14" i="16"/>
  <c r="E27" i="16" s="1"/>
  <c r="M14" i="16"/>
  <c r="M27" i="16" s="1"/>
  <c r="O9" i="16"/>
  <c r="F26" i="16"/>
  <c r="J26" i="16"/>
  <c r="J14" i="16"/>
  <c r="N14" i="16"/>
  <c r="L14" i="16"/>
  <c r="L27" i="16" s="1"/>
  <c r="K14" i="16"/>
  <c r="K27" i="16" s="1"/>
  <c r="D14" i="16"/>
  <c r="D27" i="16" s="1"/>
  <c r="H14" i="16"/>
  <c r="H27" i="16" s="1"/>
  <c r="E29" i="12"/>
  <c r="C44" i="6"/>
  <c r="C36" i="6"/>
  <c r="C50" i="6"/>
  <c r="C19" i="6"/>
  <c r="C8" i="6"/>
  <c r="C29" i="6"/>
  <c r="C29" i="5"/>
  <c r="C44" i="5"/>
  <c r="C36" i="5"/>
  <c r="C50" i="5"/>
  <c r="C55" i="5" l="1"/>
  <c r="C30" i="15" s="1"/>
  <c r="C125" i="25"/>
  <c r="C125" i="26"/>
  <c r="C146" i="26" s="1"/>
  <c r="C64" i="26"/>
  <c r="C88" i="26" s="1"/>
  <c r="C35" i="23"/>
  <c r="C40" i="23" s="1"/>
  <c r="C55" i="23"/>
  <c r="C40" i="22"/>
  <c r="C35" i="5"/>
  <c r="C40" i="5" s="1"/>
  <c r="C55" i="6"/>
  <c r="C53" i="15" s="1"/>
  <c r="C64" i="25"/>
  <c r="C88" i="25" s="1"/>
  <c r="C146" i="25"/>
  <c r="C145" i="24"/>
  <c r="C125" i="24"/>
  <c r="C87" i="24"/>
  <c r="C64" i="24"/>
  <c r="E6" i="20"/>
  <c r="E16" i="20" s="1"/>
  <c r="F6" i="20" s="1"/>
  <c r="F16" i="20" s="1"/>
  <c r="O26" i="16"/>
  <c r="J27" i="16"/>
  <c r="O5" i="16"/>
  <c r="C14" i="16"/>
  <c r="O6" i="16"/>
  <c r="O17" i="16"/>
  <c r="F14" i="16"/>
  <c r="F27" i="16" s="1"/>
  <c r="G14" i="16"/>
  <c r="G27" i="16" s="1"/>
  <c r="I14" i="16"/>
  <c r="I27" i="16" s="1"/>
  <c r="C35" i="6"/>
  <c r="C40" i="6" s="1"/>
  <c r="C153" i="26" l="1"/>
  <c r="C153" i="25"/>
  <c r="C146" i="24"/>
  <c r="C88" i="24"/>
  <c r="E28" i="20"/>
  <c r="G6" i="20"/>
  <c r="G16" i="20" s="1"/>
  <c r="F28" i="20"/>
  <c r="O14" i="16"/>
  <c r="O27" i="16" s="1"/>
  <c r="C27" i="16"/>
  <c r="C153" i="24" l="1"/>
  <c r="H6" i="20"/>
  <c r="H16" i="20" s="1"/>
  <c r="G28" i="20"/>
  <c r="H28" i="20" l="1"/>
  <c r="I6" i="20"/>
  <c r="I16" i="20" s="1"/>
  <c r="I28" i="20" l="1"/>
  <c r="J6" i="20"/>
  <c r="J16" i="20" s="1"/>
  <c r="K6" i="20" l="1"/>
  <c r="K16" i="20" s="1"/>
  <c r="J28" i="20"/>
  <c r="L6" i="20" l="1"/>
  <c r="L16" i="20" s="1"/>
  <c r="K28" i="20"/>
  <c r="L28" i="20" l="1"/>
  <c r="M6" i="20"/>
  <c r="M16" i="20" s="1"/>
  <c r="M28" i="20" l="1"/>
  <c r="N6" i="20"/>
  <c r="N16" i="20" s="1"/>
  <c r="N28" i="20" s="1"/>
  <c r="AC60" i="2" l="1"/>
  <c r="AB12" i="2"/>
  <c r="AA12" i="2"/>
  <c r="Z4" i="2"/>
  <c r="E88" i="4" l="1"/>
  <c r="AS146" i="4"/>
  <c r="AR146" i="4"/>
  <c r="AQ146" i="4"/>
  <c r="AP146" i="4"/>
  <c r="AO146" i="4"/>
  <c r="AN146" i="4"/>
  <c r="AM146" i="4"/>
  <c r="AL146" i="4"/>
  <c r="AK146" i="4"/>
  <c r="AJ146" i="4"/>
  <c r="AI146" i="4"/>
  <c r="AH146" i="4"/>
  <c r="AG146" i="4"/>
  <c r="AF146" i="4"/>
  <c r="AE146" i="4"/>
  <c r="AD146" i="4"/>
  <c r="AC146" i="4"/>
  <c r="AB146" i="4"/>
  <c r="AA146" i="4"/>
  <c r="Z146" i="4"/>
  <c r="Y146" i="4"/>
  <c r="X146" i="4"/>
  <c r="W146" i="4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E146" i="4"/>
  <c r="C144" i="4"/>
  <c r="C143" i="4"/>
  <c r="C142" i="4"/>
  <c r="C141" i="4"/>
  <c r="C139" i="4"/>
  <c r="C138" i="4"/>
  <c r="C137" i="4"/>
  <c r="C136" i="4"/>
  <c r="D136" i="4" s="1"/>
  <c r="C134" i="4"/>
  <c r="C133" i="4"/>
  <c r="C132" i="4"/>
  <c r="C131" i="4"/>
  <c r="C129" i="4"/>
  <c r="C128" i="4"/>
  <c r="C127" i="4"/>
  <c r="C124" i="4"/>
  <c r="C123" i="4"/>
  <c r="C121" i="4"/>
  <c r="C120" i="4"/>
  <c r="C119" i="4"/>
  <c r="C118" i="4"/>
  <c r="C117" i="4"/>
  <c r="C116" i="4"/>
  <c r="C115" i="4"/>
  <c r="C114" i="4"/>
  <c r="C112" i="4"/>
  <c r="C111" i="4"/>
  <c r="C110" i="4"/>
  <c r="C109" i="4"/>
  <c r="C107" i="4"/>
  <c r="C106" i="4"/>
  <c r="C105" i="4"/>
  <c r="C104" i="4"/>
  <c r="C103" i="4"/>
  <c r="C102" i="4"/>
  <c r="C101" i="4"/>
  <c r="C100" i="4"/>
  <c r="C99" i="4"/>
  <c r="C98" i="4"/>
  <c r="C96" i="4"/>
  <c r="C95" i="4"/>
  <c r="C94" i="4"/>
  <c r="C93" i="4"/>
  <c r="AS88" i="4"/>
  <c r="AR88" i="4"/>
  <c r="AQ88" i="4"/>
  <c r="AP88" i="4"/>
  <c r="AO88" i="4"/>
  <c r="AN88" i="4"/>
  <c r="AM88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C85" i="4"/>
  <c r="C84" i="4"/>
  <c r="C83" i="4"/>
  <c r="C82" i="4"/>
  <c r="C80" i="4"/>
  <c r="C79" i="4"/>
  <c r="C78" i="4"/>
  <c r="C76" i="4"/>
  <c r="C75" i="4"/>
  <c r="C73" i="4"/>
  <c r="C72" i="4"/>
  <c r="C71" i="4"/>
  <c r="C70" i="4"/>
  <c r="C68" i="4"/>
  <c r="C67" i="4"/>
  <c r="C66" i="4"/>
  <c r="C63" i="4"/>
  <c r="C62" i="4"/>
  <c r="C61" i="4"/>
  <c r="C60" i="4"/>
  <c r="C58" i="4"/>
  <c r="C57" i="4"/>
  <c r="C56" i="4"/>
  <c r="C55" i="4"/>
  <c r="C53" i="4"/>
  <c r="C52" i="4"/>
  <c r="C51" i="4"/>
  <c r="C50" i="4"/>
  <c r="C49" i="4"/>
  <c r="C47" i="4"/>
  <c r="C46" i="4"/>
  <c r="C45" i="4"/>
  <c r="C44" i="4"/>
  <c r="C43" i="4"/>
  <c r="C42" i="4"/>
  <c r="C41" i="4"/>
  <c r="C40" i="4"/>
  <c r="C39" i="4"/>
  <c r="C38" i="4"/>
  <c r="C36" i="4"/>
  <c r="C35" i="4"/>
  <c r="C34" i="4"/>
  <c r="C33" i="4"/>
  <c r="C32" i="4"/>
  <c r="C31" i="4"/>
  <c r="C28" i="4"/>
  <c r="C27" i="4"/>
  <c r="C26" i="4"/>
  <c r="C25" i="4"/>
  <c r="C24" i="4"/>
  <c r="C23" i="4"/>
  <c r="C21" i="4"/>
  <c r="C20" i="4"/>
  <c r="C19" i="4"/>
  <c r="C18" i="4"/>
  <c r="C17" i="4"/>
  <c r="C16" i="4"/>
  <c r="C14" i="4"/>
  <c r="C13" i="4"/>
  <c r="C12" i="4"/>
  <c r="C11" i="4"/>
  <c r="C10" i="4"/>
  <c r="C9" i="4"/>
  <c r="D10" i="4" l="1"/>
  <c r="D10" i="7" s="1"/>
  <c r="C10" i="7"/>
  <c r="D18" i="4"/>
  <c r="D18" i="7" s="1"/>
  <c r="C18" i="7"/>
  <c r="D32" i="4"/>
  <c r="D32" i="7" s="1"/>
  <c r="C12" i="19"/>
  <c r="C32" i="7"/>
  <c r="D40" i="4"/>
  <c r="D40" i="7" s="1"/>
  <c r="C40" i="7"/>
  <c r="D55" i="4"/>
  <c r="C55" i="7"/>
  <c r="D63" i="4"/>
  <c r="D63" i="7" s="1"/>
  <c r="C63" i="7"/>
  <c r="D68" i="4"/>
  <c r="D68" i="7" s="1"/>
  <c r="C68" i="7"/>
  <c r="D80" i="4"/>
  <c r="D80" i="7" s="1"/>
  <c r="C80" i="7"/>
  <c r="D94" i="4"/>
  <c r="D94" i="7" s="1"/>
  <c r="G7" i="8" s="1"/>
  <c r="C94" i="7"/>
  <c r="F7" i="8" s="1"/>
  <c r="D98" i="4"/>
  <c r="C98" i="7"/>
  <c r="D106" i="4"/>
  <c r="D106" i="7" s="1"/>
  <c r="C106" i="7"/>
  <c r="D114" i="4"/>
  <c r="C114" i="7"/>
  <c r="C126" i="4"/>
  <c r="D127" i="4"/>
  <c r="C127" i="7"/>
  <c r="D11" i="4"/>
  <c r="D11" i="7" s="1"/>
  <c r="C11" i="7"/>
  <c r="D19" i="4"/>
  <c r="D19" i="7" s="1"/>
  <c r="C19" i="7"/>
  <c r="D27" i="4"/>
  <c r="D27" i="7" s="1"/>
  <c r="C27" i="7"/>
  <c r="D45" i="4"/>
  <c r="D45" i="7" s="1"/>
  <c r="C45" i="7"/>
  <c r="D53" i="4"/>
  <c r="D53" i="7" s="1"/>
  <c r="C53" i="7"/>
  <c r="D60" i="4"/>
  <c r="C60" i="7"/>
  <c r="D73" i="4"/>
  <c r="D73" i="7" s="1"/>
  <c r="C73" i="7"/>
  <c r="D85" i="4"/>
  <c r="D85" i="7" s="1"/>
  <c r="C85" i="7"/>
  <c r="D99" i="4"/>
  <c r="D99" i="7" s="1"/>
  <c r="C99" i="7"/>
  <c r="D103" i="4"/>
  <c r="D103" i="7" s="1"/>
  <c r="C103" i="7"/>
  <c r="D112" i="4"/>
  <c r="D112" i="7" s="1"/>
  <c r="C112" i="7"/>
  <c r="D115" i="4"/>
  <c r="D115" i="7" s="1"/>
  <c r="C115" i="7"/>
  <c r="C123" i="7"/>
  <c r="F11" i="8" s="1"/>
  <c r="D123" i="4"/>
  <c r="D128" i="4"/>
  <c r="D128" i="7" s="1"/>
  <c r="C128" i="7"/>
  <c r="C130" i="4"/>
  <c r="D132" i="4"/>
  <c r="D132" i="7" s="1"/>
  <c r="C132" i="7"/>
  <c r="D144" i="4"/>
  <c r="D144" i="7" s="1"/>
  <c r="C144" i="7"/>
  <c r="D12" i="4"/>
  <c r="D12" i="7" s="1"/>
  <c r="C12" i="7"/>
  <c r="D16" i="4"/>
  <c r="C16" i="7"/>
  <c r="C20" i="7"/>
  <c r="D20" i="4"/>
  <c r="D20" i="7" s="1"/>
  <c r="D24" i="4"/>
  <c r="D24" i="7" s="1"/>
  <c r="C24" i="7"/>
  <c r="D28" i="4"/>
  <c r="D28" i="7" s="1"/>
  <c r="C28" i="7"/>
  <c r="D34" i="4"/>
  <c r="D34" i="7" s="1"/>
  <c r="C34" i="7"/>
  <c r="C16" i="19"/>
  <c r="D38" i="4"/>
  <c r="C38" i="7"/>
  <c r="D42" i="4"/>
  <c r="D42" i="7" s="1"/>
  <c r="C42" i="7"/>
  <c r="D46" i="4"/>
  <c r="D46" i="7" s="1"/>
  <c r="C46" i="7"/>
  <c r="C48" i="4"/>
  <c r="D50" i="4"/>
  <c r="D50" i="7" s="1"/>
  <c r="C50" i="7"/>
  <c r="C54" i="4"/>
  <c r="D57" i="4"/>
  <c r="D57" i="7" s="1"/>
  <c r="C57" i="7"/>
  <c r="D61" i="4"/>
  <c r="D61" i="7" s="1"/>
  <c r="C61" i="7"/>
  <c r="C65" i="4"/>
  <c r="D66" i="4"/>
  <c r="C66" i="7"/>
  <c r="C69" i="4"/>
  <c r="D70" i="4"/>
  <c r="C70" i="7"/>
  <c r="D78" i="4"/>
  <c r="C78" i="7"/>
  <c r="C81" i="4"/>
  <c r="D82" i="4"/>
  <c r="C82" i="7"/>
  <c r="D96" i="4"/>
  <c r="D96" i="7" s="1"/>
  <c r="G9" i="8" s="1"/>
  <c r="C96" i="7"/>
  <c r="F9" i="8" s="1"/>
  <c r="D100" i="4"/>
  <c r="D100" i="7" s="1"/>
  <c r="C100" i="7"/>
  <c r="D104" i="4"/>
  <c r="D104" i="7" s="1"/>
  <c r="C104" i="7"/>
  <c r="C109" i="7"/>
  <c r="D109" i="4"/>
  <c r="D109" i="7" s="1"/>
  <c r="C113" i="4"/>
  <c r="C113" i="7" s="1"/>
  <c r="C108" i="7" s="1"/>
  <c r="D116" i="4"/>
  <c r="D116" i="7" s="1"/>
  <c r="C116" i="7"/>
  <c r="D120" i="4"/>
  <c r="D120" i="7" s="1"/>
  <c r="C120" i="7"/>
  <c r="C124" i="7"/>
  <c r="F16" i="9" s="1"/>
  <c r="D124" i="4"/>
  <c r="D124" i="7" s="1"/>
  <c r="G16" i="9" s="1"/>
  <c r="D129" i="4"/>
  <c r="D129" i="7" s="1"/>
  <c r="C129" i="7"/>
  <c r="D133" i="4"/>
  <c r="D133" i="7" s="1"/>
  <c r="C133" i="7"/>
  <c r="D137" i="4"/>
  <c r="E7" i="18"/>
  <c r="C137" i="7"/>
  <c r="D141" i="4"/>
  <c r="C141" i="7"/>
  <c r="D14" i="4"/>
  <c r="D14" i="7" s="1"/>
  <c r="C14" i="7"/>
  <c r="D26" i="4"/>
  <c r="D26" i="7" s="1"/>
  <c r="C26" i="7"/>
  <c r="D36" i="4"/>
  <c r="D36" i="7" s="1"/>
  <c r="D9" i="11" s="1"/>
  <c r="C18" i="19"/>
  <c r="C36" i="7"/>
  <c r="C9" i="11" s="1"/>
  <c r="D44" i="4"/>
  <c r="D44" i="7" s="1"/>
  <c r="C44" i="7"/>
  <c r="D52" i="4"/>
  <c r="D52" i="7" s="1"/>
  <c r="C52" i="7"/>
  <c r="D72" i="4"/>
  <c r="D72" i="7" s="1"/>
  <c r="C72" i="7"/>
  <c r="D76" i="4"/>
  <c r="D76" i="7" s="1"/>
  <c r="C76" i="7"/>
  <c r="D84" i="4"/>
  <c r="D84" i="7" s="1"/>
  <c r="C84" i="7"/>
  <c r="D102" i="4"/>
  <c r="D102" i="7" s="1"/>
  <c r="C102" i="7"/>
  <c r="C111" i="7"/>
  <c r="F8" i="9" s="1"/>
  <c r="D111" i="4"/>
  <c r="D111" i="7" s="1"/>
  <c r="G8" i="9" s="1"/>
  <c r="D118" i="4"/>
  <c r="D118" i="7" s="1"/>
  <c r="C118" i="7"/>
  <c r="D131" i="4"/>
  <c r="C131" i="7"/>
  <c r="C130" i="7" s="1"/>
  <c r="D139" i="4"/>
  <c r="D139" i="7" s="1"/>
  <c r="C139" i="7"/>
  <c r="D143" i="4"/>
  <c r="D143" i="7" s="1"/>
  <c r="C143" i="7"/>
  <c r="D23" i="4"/>
  <c r="C23" i="7"/>
  <c r="D33" i="4"/>
  <c r="D33" i="7" s="1"/>
  <c r="C15" i="19"/>
  <c r="C33" i="7"/>
  <c r="D41" i="4"/>
  <c r="D41" i="7" s="1"/>
  <c r="C41" i="7"/>
  <c r="D49" i="4"/>
  <c r="C49" i="7"/>
  <c r="D56" i="4"/>
  <c r="D56" i="7" s="1"/>
  <c r="C56" i="7"/>
  <c r="D95" i="4"/>
  <c r="D95" i="7" s="1"/>
  <c r="G8" i="8" s="1"/>
  <c r="C95" i="7"/>
  <c r="F8" i="8" s="1"/>
  <c r="D107" i="4"/>
  <c r="D2" i="17"/>
  <c r="D26" i="17" s="1"/>
  <c r="C107" i="7"/>
  <c r="D119" i="4"/>
  <c r="D119" i="7" s="1"/>
  <c r="C119" i="7"/>
  <c r="C9" i="7"/>
  <c r="C8" i="7" s="1"/>
  <c r="D9" i="4"/>
  <c r="D13" i="4"/>
  <c r="D13" i="7" s="1"/>
  <c r="C13" i="7"/>
  <c r="D17" i="4"/>
  <c r="D17" i="7" s="1"/>
  <c r="C17" i="7"/>
  <c r="D21" i="4"/>
  <c r="D21" i="7" s="1"/>
  <c r="C21" i="7"/>
  <c r="D25" i="4"/>
  <c r="D25" i="7" s="1"/>
  <c r="C25" i="7"/>
  <c r="D31" i="4"/>
  <c r="C31" i="7"/>
  <c r="C11" i="19"/>
  <c r="D35" i="4"/>
  <c r="D35" i="7" s="1"/>
  <c r="C35" i="7"/>
  <c r="C17" i="19"/>
  <c r="D39" i="4"/>
  <c r="D39" i="7" s="1"/>
  <c r="C39" i="7"/>
  <c r="D43" i="4"/>
  <c r="D43" i="7" s="1"/>
  <c r="C43" i="7"/>
  <c r="D47" i="4"/>
  <c r="D47" i="7" s="1"/>
  <c r="C47" i="7"/>
  <c r="D51" i="4"/>
  <c r="D51" i="7" s="1"/>
  <c r="C51" i="7"/>
  <c r="D58" i="4"/>
  <c r="D58" i="7" s="1"/>
  <c r="C58" i="7"/>
  <c r="D62" i="4"/>
  <c r="D62" i="7" s="1"/>
  <c r="C62" i="7"/>
  <c r="D67" i="4"/>
  <c r="D67" i="7" s="1"/>
  <c r="C67" i="7"/>
  <c r="D71" i="4"/>
  <c r="D71" i="7" s="1"/>
  <c r="C71" i="7"/>
  <c r="D75" i="4"/>
  <c r="C75" i="7"/>
  <c r="C20" i="8" s="1"/>
  <c r="C19" i="8" s="1"/>
  <c r="C27" i="8" s="1"/>
  <c r="D79" i="4"/>
  <c r="D79" i="7" s="1"/>
  <c r="C79" i="7"/>
  <c r="D83" i="4"/>
  <c r="D83" i="7" s="1"/>
  <c r="C83" i="7"/>
  <c r="D93" i="4"/>
  <c r="C93" i="7"/>
  <c r="D101" i="4"/>
  <c r="D101" i="7" s="1"/>
  <c r="C101" i="7"/>
  <c r="D105" i="4"/>
  <c r="D105" i="7" s="1"/>
  <c r="C105" i="7"/>
  <c r="D110" i="4"/>
  <c r="D110" i="7" s="1"/>
  <c r="C110" i="7"/>
  <c r="D117" i="4"/>
  <c r="D117" i="7" s="1"/>
  <c r="C117" i="7"/>
  <c r="D121" i="4"/>
  <c r="D121" i="7" s="1"/>
  <c r="C121" i="7"/>
  <c r="D134" i="4"/>
  <c r="D134" i="7" s="1"/>
  <c r="C134" i="7"/>
  <c r="D138" i="4"/>
  <c r="D138" i="7" s="1"/>
  <c r="C138" i="7"/>
  <c r="D142" i="4"/>
  <c r="D142" i="7" s="1"/>
  <c r="C142" i="7"/>
  <c r="C6" i="8"/>
  <c r="F6" i="9"/>
  <c r="C122" i="7"/>
  <c r="C22" i="4"/>
  <c r="C77" i="4"/>
  <c r="AS90" i="4"/>
  <c r="C140" i="4"/>
  <c r="C59" i="4"/>
  <c r="C30" i="4"/>
  <c r="C135" i="4"/>
  <c r="C97" i="4"/>
  <c r="C74" i="4"/>
  <c r="C15" i="4"/>
  <c r="C8" i="4"/>
  <c r="AS148" i="4"/>
  <c r="C37" i="4"/>
  <c r="C122" i="4"/>
  <c r="C92" i="4" l="1"/>
  <c r="C97" i="7"/>
  <c r="F10" i="8" s="1"/>
  <c r="D98" i="7"/>
  <c r="D97" i="4"/>
  <c r="D97" i="7" s="1"/>
  <c r="G10" i="8" s="1"/>
  <c r="D75" i="7"/>
  <c r="D74" i="4"/>
  <c r="C9" i="19"/>
  <c r="C30" i="19" s="1"/>
  <c r="D131" i="7"/>
  <c r="D130" i="4"/>
  <c r="C140" i="7"/>
  <c r="C65" i="7"/>
  <c r="D127" i="7"/>
  <c r="D126" i="7" s="1"/>
  <c r="D126" i="4"/>
  <c r="C54" i="7"/>
  <c r="C29" i="4"/>
  <c r="C30" i="7"/>
  <c r="F17" i="9"/>
  <c r="F31" i="9" s="1"/>
  <c r="F33" i="9" s="1"/>
  <c r="F6" i="8"/>
  <c r="C92" i="7"/>
  <c r="C125" i="7" s="1"/>
  <c r="C77" i="7"/>
  <c r="C37" i="7"/>
  <c r="C10" i="8" s="1"/>
  <c r="E2" i="17"/>
  <c r="E26" i="17" s="1"/>
  <c r="D107" i="7"/>
  <c r="C22" i="7"/>
  <c r="C74" i="7"/>
  <c r="D141" i="7"/>
  <c r="D140" i="7" s="1"/>
  <c r="D140" i="4"/>
  <c r="D82" i="7"/>
  <c r="D81" i="7" s="1"/>
  <c r="D81" i="4"/>
  <c r="C69" i="7"/>
  <c r="D66" i="7"/>
  <c r="D65" i="7" s="1"/>
  <c r="D65" i="4"/>
  <c r="C15" i="7"/>
  <c r="C7" i="8" s="1"/>
  <c r="D123" i="7"/>
  <c r="D122" i="4"/>
  <c r="D55" i="7"/>
  <c r="D54" i="7" s="1"/>
  <c r="D11" i="8" s="1"/>
  <c r="D54" i="4"/>
  <c r="D9" i="7"/>
  <c r="D8" i="7" s="1"/>
  <c r="D8" i="4"/>
  <c r="D49" i="7"/>
  <c r="D48" i="7" s="1"/>
  <c r="D11" i="9" s="1"/>
  <c r="D17" i="9" s="1"/>
  <c r="D48" i="4"/>
  <c r="I7" i="18"/>
  <c r="E6" i="18"/>
  <c r="D16" i="7"/>
  <c r="D15" i="7" s="1"/>
  <c r="D7" i="8" s="1"/>
  <c r="D15" i="4"/>
  <c r="C59" i="7"/>
  <c r="C126" i="7"/>
  <c r="D114" i="7"/>
  <c r="D113" i="4"/>
  <c r="C145" i="4"/>
  <c r="D137" i="7"/>
  <c r="D135" i="4"/>
  <c r="G6" i="9"/>
  <c r="C81" i="7"/>
  <c r="D78" i="7"/>
  <c r="D77" i="7" s="1"/>
  <c r="D77" i="4"/>
  <c r="D38" i="7"/>
  <c r="D37" i="7" s="1"/>
  <c r="D10" i="8" s="1"/>
  <c r="D37" i="4"/>
  <c r="D60" i="7"/>
  <c r="D59" i="7" s="1"/>
  <c r="D59" i="4"/>
  <c r="C108" i="4"/>
  <c r="D93" i="7"/>
  <c r="D92" i="4"/>
  <c r="D30" i="4"/>
  <c r="D31" i="7"/>
  <c r="C48" i="7"/>
  <c r="C11" i="9" s="1"/>
  <c r="C17" i="9" s="1"/>
  <c r="C31" i="9" s="1"/>
  <c r="D23" i="7"/>
  <c r="D22" i="7" s="1"/>
  <c r="D22" i="4"/>
  <c r="F26" i="8"/>
  <c r="F27" i="8" s="1"/>
  <c r="C135" i="7"/>
  <c r="E6" i="10"/>
  <c r="D130" i="7"/>
  <c r="D70" i="7"/>
  <c r="D69" i="7" s="1"/>
  <c r="D69" i="4"/>
  <c r="C87" i="4"/>
  <c r="C64" i="4"/>
  <c r="C125" i="4"/>
  <c r="C146" i="4" s="1"/>
  <c r="C6" i="15" s="1"/>
  <c r="D31" i="9" l="1"/>
  <c r="D145" i="7"/>
  <c r="D6" i="8"/>
  <c r="C32" i="9"/>
  <c r="D92" i="7"/>
  <c r="G6" i="8"/>
  <c r="G18" i="8" s="1"/>
  <c r="G28" i="8" s="1"/>
  <c r="D135" i="7"/>
  <c r="G26" i="8"/>
  <c r="G27" i="8" s="1"/>
  <c r="C145" i="7"/>
  <c r="C146" i="7" s="1"/>
  <c r="E18" i="18"/>
  <c r="I6" i="18"/>
  <c r="I18" i="18" s="1"/>
  <c r="D87" i="4"/>
  <c r="C5" i="11"/>
  <c r="C11" i="11" s="1"/>
  <c r="C29" i="7"/>
  <c r="C9" i="8" s="1"/>
  <c r="C18" i="8" s="1"/>
  <c r="D145" i="4"/>
  <c r="F32" i="9"/>
  <c r="D29" i="4"/>
  <c r="D64" i="4" s="1"/>
  <c r="D88" i="4" s="1"/>
  <c r="D30" i="7"/>
  <c r="G11" i="8"/>
  <c r="D122" i="7"/>
  <c r="D20" i="8"/>
  <c r="D19" i="8" s="1"/>
  <c r="D27" i="8" s="1"/>
  <c r="D74" i="7"/>
  <c r="D87" i="7" s="1"/>
  <c r="D151" i="7" s="1"/>
  <c r="F6" i="10"/>
  <c r="F11" i="10" s="1"/>
  <c r="E11" i="10"/>
  <c r="D108" i="4"/>
  <c r="D125" i="4" s="1"/>
  <c r="D146" i="4" s="1"/>
  <c r="D113" i="7"/>
  <c r="F18" i="8"/>
  <c r="F28" i="8" s="1"/>
  <c r="C87" i="7"/>
  <c r="C64" i="7"/>
  <c r="C88" i="7" s="1"/>
  <c r="C33" i="9"/>
  <c r="C150" i="7"/>
  <c r="C88" i="4"/>
  <c r="C153" i="4" s="1"/>
  <c r="C269" i="1"/>
  <c r="E266" i="1"/>
  <c r="C210" i="1"/>
  <c r="C113" i="1"/>
  <c r="F113" i="1" s="1"/>
  <c r="E112" i="1"/>
  <c r="E111" i="1"/>
  <c r="C90" i="1"/>
  <c r="C94" i="1"/>
  <c r="C335" i="1"/>
  <c r="E335" i="1" s="1"/>
  <c r="C331" i="1"/>
  <c r="C332" i="1" s="1"/>
  <c r="F332" i="1" s="1"/>
  <c r="C88" i="1"/>
  <c r="G10" i="9" l="1"/>
  <c r="G17" i="9" s="1"/>
  <c r="D108" i="7"/>
  <c r="D125" i="7"/>
  <c r="D146" i="7" s="1"/>
  <c r="C151" i="7"/>
  <c r="D29" i="7"/>
  <c r="D5" i="11"/>
  <c r="D11" i="11" s="1"/>
  <c r="F30" i="8"/>
  <c r="C29" i="8"/>
  <c r="F29" i="8"/>
  <c r="C30" i="8"/>
  <c r="C28" i="8"/>
  <c r="C336" i="1"/>
  <c r="F336" i="1" s="1"/>
  <c r="E331" i="1"/>
  <c r="AJ107" i="3"/>
  <c r="AJ108" i="3" s="1"/>
  <c r="AK106" i="3"/>
  <c r="AJ112" i="3"/>
  <c r="AB55" i="3"/>
  <c r="AK188" i="3"/>
  <c r="V194" i="3"/>
  <c r="D9" i="8" l="1"/>
  <c r="D18" i="8" s="1"/>
  <c r="D64" i="7"/>
  <c r="G31" i="9"/>
  <c r="D32" i="9"/>
  <c r="G32" i="9"/>
  <c r="AK107" i="3"/>
  <c r="AA20" i="3"/>
  <c r="AA21" i="3"/>
  <c r="AA22" i="3"/>
  <c r="AA23" i="3"/>
  <c r="AA24" i="3"/>
  <c r="AA25" i="3"/>
  <c r="Y59" i="3"/>
  <c r="AH15" i="3"/>
  <c r="AH19" i="3" s="1"/>
  <c r="T8" i="3"/>
  <c r="T25" i="3" s="1"/>
  <c r="T4" i="3"/>
  <c r="T19" i="3" s="1"/>
  <c r="C8" i="3"/>
  <c r="C25" i="3" s="1"/>
  <c r="G4" i="3"/>
  <c r="G19" i="3" s="1"/>
  <c r="X19" i="3"/>
  <c r="Y19" i="3"/>
  <c r="Z19" i="3"/>
  <c r="W19" i="3"/>
  <c r="AI4" i="3"/>
  <c r="AI19" i="3" s="1"/>
  <c r="H4" i="3"/>
  <c r="H19" i="3" s="1"/>
  <c r="P4" i="3"/>
  <c r="P19" i="3" s="1"/>
  <c r="O78" i="3"/>
  <c r="O72" i="3"/>
  <c r="O66" i="3"/>
  <c r="O68" i="3" s="1"/>
  <c r="O61" i="3"/>
  <c r="O58" i="3"/>
  <c r="O52" i="3"/>
  <c r="O45" i="3"/>
  <c r="O47" i="3" s="1"/>
  <c r="O39" i="3"/>
  <c r="O32" i="3"/>
  <c r="O40" i="3" s="1"/>
  <c r="O25" i="3"/>
  <c r="O4" i="3"/>
  <c r="O19" i="3" s="1"/>
  <c r="AE4" i="3"/>
  <c r="AE19" i="3" s="1"/>
  <c r="S4" i="3"/>
  <c r="S19" i="3" s="1"/>
  <c r="AF4" i="3"/>
  <c r="AF19" i="3" s="1"/>
  <c r="I4" i="3"/>
  <c r="I19" i="3" s="1"/>
  <c r="H78" i="3"/>
  <c r="H72" i="3"/>
  <c r="H79" i="3" s="1"/>
  <c r="H66" i="3"/>
  <c r="H68" i="3" s="1"/>
  <c r="H61" i="3"/>
  <c r="H58" i="3"/>
  <c r="H52" i="3"/>
  <c r="H45" i="3"/>
  <c r="H47" i="3" s="1"/>
  <c r="H39" i="3"/>
  <c r="H32" i="3"/>
  <c r="H25" i="3"/>
  <c r="N4" i="3"/>
  <c r="N13" i="3" s="1"/>
  <c r="N18" i="3" s="1"/>
  <c r="D4" i="3"/>
  <c r="D19" i="3" s="1"/>
  <c r="B4" i="3"/>
  <c r="B19" i="3" s="1"/>
  <c r="Q4" i="3"/>
  <c r="Q19" i="3" s="1"/>
  <c r="M4" i="3"/>
  <c r="M19" i="3" s="1"/>
  <c r="J4" i="3"/>
  <c r="J19" i="3" s="1"/>
  <c r="R4" i="3"/>
  <c r="R19" i="3" s="1"/>
  <c r="F4" i="3"/>
  <c r="F19" i="3" s="1"/>
  <c r="E4" i="3"/>
  <c r="E19" i="3" s="1"/>
  <c r="L4" i="3"/>
  <c r="L19" i="3" s="1"/>
  <c r="AG4" i="3"/>
  <c r="AG19" i="3" s="1"/>
  <c r="K4" i="3"/>
  <c r="K19" i="3" s="1"/>
  <c r="AD4" i="3"/>
  <c r="AD19" i="3" s="1"/>
  <c r="C4" i="3"/>
  <c r="C19" i="3" s="1"/>
  <c r="N78" i="3"/>
  <c r="N72" i="3"/>
  <c r="N66" i="3"/>
  <c r="N68" i="3" s="1"/>
  <c r="N61" i="3"/>
  <c r="N58" i="3"/>
  <c r="N52" i="3"/>
  <c r="N45" i="3"/>
  <c r="N47" i="3" s="1"/>
  <c r="N39" i="3"/>
  <c r="N32" i="3"/>
  <c r="N25" i="3"/>
  <c r="S10" i="3"/>
  <c r="Q184" i="3"/>
  <c r="Q185" i="3" s="1"/>
  <c r="Q181" i="3"/>
  <c r="Q179" i="3"/>
  <c r="Q177" i="3"/>
  <c r="Q175" i="3"/>
  <c r="Q173" i="3"/>
  <c r="Q169" i="3"/>
  <c r="Q163" i="3"/>
  <c r="Q170" i="3" s="1"/>
  <c r="Q158" i="3"/>
  <c r="Q151" i="3"/>
  <c r="Q149" i="3"/>
  <c r="Q146" i="3"/>
  <c r="Q152" i="3" s="1"/>
  <c r="Q143" i="3"/>
  <c r="Q138" i="3"/>
  <c r="Q140" i="3" s="1"/>
  <c r="Q132" i="3"/>
  <c r="Q130" i="3"/>
  <c r="Q118" i="3"/>
  <c r="Q121" i="3" s="1"/>
  <c r="Q122" i="3" s="1"/>
  <c r="Q116" i="3"/>
  <c r="Q113" i="3"/>
  <c r="Q108" i="3"/>
  <c r="Q99" i="3"/>
  <c r="Q103" i="3" s="1"/>
  <c r="Q94" i="3"/>
  <c r="Q90" i="3"/>
  <c r="Q88" i="3"/>
  <c r="Q86" i="3"/>
  <c r="Q84" i="3"/>
  <c r="Q82" i="3"/>
  <c r="Q78" i="3"/>
  <c r="Q72" i="3"/>
  <c r="Q66" i="3"/>
  <c r="Q68" i="3" s="1"/>
  <c r="Q61" i="3"/>
  <c r="Q58" i="3"/>
  <c r="Q52" i="3"/>
  <c r="Q45" i="3"/>
  <c r="Q47" i="3" s="1"/>
  <c r="Q39" i="3"/>
  <c r="Q32" i="3"/>
  <c r="Q25" i="3"/>
  <c r="Q17" i="3"/>
  <c r="Q10" i="3"/>
  <c r="Q13" i="3" s="1"/>
  <c r="Q18" i="3" s="1"/>
  <c r="R181" i="3"/>
  <c r="R179" i="3"/>
  <c r="R177" i="3"/>
  <c r="R175" i="3"/>
  <c r="R173" i="3"/>
  <c r="R169" i="3"/>
  <c r="R163" i="3"/>
  <c r="R158" i="3"/>
  <c r="R151" i="3"/>
  <c r="R149" i="3"/>
  <c r="R146" i="3"/>
  <c r="R143" i="3"/>
  <c r="R138" i="3"/>
  <c r="R140" i="3" s="1"/>
  <c r="R132" i="3"/>
  <c r="R130" i="3"/>
  <c r="R118" i="3"/>
  <c r="R121" i="3" s="1"/>
  <c r="R122" i="3" s="1"/>
  <c r="R116" i="3"/>
  <c r="R113" i="3"/>
  <c r="R108" i="3"/>
  <c r="R99" i="3"/>
  <c r="R103" i="3" s="1"/>
  <c r="R94" i="3"/>
  <c r="R90" i="3"/>
  <c r="R88" i="3"/>
  <c r="R86" i="3"/>
  <c r="R84" i="3"/>
  <c r="R82" i="3"/>
  <c r="R78" i="3"/>
  <c r="R72" i="3"/>
  <c r="R66" i="3"/>
  <c r="R68" i="3" s="1"/>
  <c r="R61" i="3"/>
  <c r="R58" i="3"/>
  <c r="R52" i="3"/>
  <c r="R45" i="3"/>
  <c r="R47" i="3" s="1"/>
  <c r="R39" i="3"/>
  <c r="R32" i="3"/>
  <c r="R25" i="3"/>
  <c r="R17" i="3"/>
  <c r="R13" i="3"/>
  <c r="D10" i="3"/>
  <c r="B10" i="3"/>
  <c r="M25" i="3"/>
  <c r="P25" i="3"/>
  <c r="S25" i="3"/>
  <c r="G10" i="3"/>
  <c r="E10" i="3"/>
  <c r="AE25" i="3"/>
  <c r="AF25" i="3"/>
  <c r="AG25" i="3"/>
  <c r="AH25" i="3"/>
  <c r="AI25" i="3"/>
  <c r="AD25" i="3"/>
  <c r="D25" i="3"/>
  <c r="E25" i="3"/>
  <c r="F25" i="3"/>
  <c r="G25" i="3"/>
  <c r="I25" i="3"/>
  <c r="J25" i="3"/>
  <c r="K25" i="3"/>
  <c r="L25" i="3"/>
  <c r="B25" i="3"/>
  <c r="R152" i="3" l="1"/>
  <c r="D33" i="9"/>
  <c r="G33" i="9"/>
  <c r="D88" i="7"/>
  <c r="D150" i="7"/>
  <c r="R134" i="3"/>
  <c r="D28" i="8"/>
  <c r="D30" i="8"/>
  <c r="G30" i="8"/>
  <c r="D29" i="8"/>
  <c r="G29" i="8"/>
  <c r="Q26" i="3"/>
  <c r="R159" i="3"/>
  <c r="R26" i="3"/>
  <c r="R184" i="3"/>
  <c r="R185" i="3" s="1"/>
  <c r="N40" i="3"/>
  <c r="N79" i="3"/>
  <c r="R18" i="3"/>
  <c r="O26" i="3"/>
  <c r="R63" i="3"/>
  <c r="O79" i="3"/>
  <c r="Q63" i="3"/>
  <c r="Q79" i="3"/>
  <c r="H63" i="3"/>
  <c r="R40" i="3"/>
  <c r="H40" i="3"/>
  <c r="H26" i="3"/>
  <c r="Q159" i="3"/>
  <c r="N63" i="3"/>
  <c r="N19" i="3"/>
  <c r="N26" i="3" s="1"/>
  <c r="R79" i="3"/>
  <c r="H13" i="3"/>
  <c r="H18" i="3" s="1"/>
  <c r="O13" i="3"/>
  <c r="O18" i="3" s="1"/>
  <c r="O63" i="3"/>
  <c r="R95" i="3"/>
  <c r="Q40" i="3"/>
  <c r="Q80" i="3" s="1"/>
  <c r="Q123" i="3" s="1"/>
  <c r="Q134" i="3"/>
  <c r="R170" i="3"/>
  <c r="Q95" i="3"/>
  <c r="R186" i="3"/>
  <c r="N189" i="2"/>
  <c r="AE187" i="2" s="1"/>
  <c r="AB186" i="2"/>
  <c r="AA186" i="2"/>
  <c r="Z186" i="2"/>
  <c r="Y186" i="2"/>
  <c r="X186" i="2"/>
  <c r="U186" i="2"/>
  <c r="S186" i="2"/>
  <c r="R186" i="2"/>
  <c r="Q186" i="2"/>
  <c r="P186" i="2"/>
  <c r="O186" i="2"/>
  <c r="N183" i="2"/>
  <c r="AH183" i="2" s="1"/>
  <c r="N182" i="2"/>
  <c r="AH182" i="2" s="1"/>
  <c r="AG181" i="2"/>
  <c r="AF181" i="2"/>
  <c r="AE181" i="2"/>
  <c r="AD181" i="2"/>
  <c r="W181" i="2"/>
  <c r="V181" i="2"/>
  <c r="T181" i="2"/>
  <c r="M181" i="2"/>
  <c r="L181" i="2"/>
  <c r="K181" i="2"/>
  <c r="J181" i="2"/>
  <c r="I181" i="2"/>
  <c r="H181" i="2"/>
  <c r="G181" i="2"/>
  <c r="F181" i="2"/>
  <c r="E181" i="2"/>
  <c r="D181" i="2"/>
  <c r="C181" i="2"/>
  <c r="B181" i="2"/>
  <c r="N180" i="2"/>
  <c r="N181" i="2" s="1"/>
  <c r="AG179" i="2"/>
  <c r="AF179" i="2"/>
  <c r="AE179" i="2"/>
  <c r="AE184" i="2" s="1"/>
  <c r="AE185" i="2" s="1"/>
  <c r="AD179" i="2"/>
  <c r="W179" i="2"/>
  <c r="V179" i="2"/>
  <c r="T179" i="2"/>
  <c r="T184" i="2" s="1"/>
  <c r="T185" i="2" s="1"/>
  <c r="M179" i="2"/>
  <c r="L179" i="2"/>
  <c r="K179" i="2"/>
  <c r="J179" i="2"/>
  <c r="J184" i="2" s="1"/>
  <c r="J185" i="2" s="1"/>
  <c r="I179" i="2"/>
  <c r="H179" i="2"/>
  <c r="H184" i="2" s="1"/>
  <c r="H185" i="2" s="1"/>
  <c r="G179" i="2"/>
  <c r="F179" i="2"/>
  <c r="F184" i="2" s="1"/>
  <c r="F185" i="2" s="1"/>
  <c r="E179" i="2"/>
  <c r="D179" i="2"/>
  <c r="C179" i="2"/>
  <c r="B179" i="2"/>
  <c r="B184" i="2" s="1"/>
  <c r="B185" i="2" s="1"/>
  <c r="N178" i="2"/>
  <c r="AG177" i="2"/>
  <c r="AF177" i="2"/>
  <c r="AE177" i="2"/>
  <c r="AD177" i="2"/>
  <c r="W177" i="2"/>
  <c r="V177" i="2"/>
  <c r="T177" i="2"/>
  <c r="N177" i="2"/>
  <c r="M177" i="2"/>
  <c r="L177" i="2"/>
  <c r="K177" i="2"/>
  <c r="J177" i="2"/>
  <c r="I177" i="2"/>
  <c r="H177" i="2"/>
  <c r="G177" i="2"/>
  <c r="F177" i="2"/>
  <c r="E177" i="2"/>
  <c r="D177" i="2"/>
  <c r="C177" i="2"/>
  <c r="B177" i="2"/>
  <c r="AH176" i="2"/>
  <c r="AG175" i="2"/>
  <c r="AF175" i="2"/>
  <c r="AE175" i="2"/>
  <c r="AD175" i="2"/>
  <c r="W175" i="2"/>
  <c r="V175" i="2"/>
  <c r="T175" i="2"/>
  <c r="M175" i="2"/>
  <c r="L175" i="2"/>
  <c r="K175" i="2"/>
  <c r="J175" i="2"/>
  <c r="I175" i="2"/>
  <c r="H175" i="2"/>
  <c r="G175" i="2"/>
  <c r="F175" i="2"/>
  <c r="E175" i="2"/>
  <c r="D175" i="2"/>
  <c r="C175" i="2"/>
  <c r="B175" i="2"/>
  <c r="N174" i="2"/>
  <c r="N175" i="2" s="1"/>
  <c r="AG173" i="2"/>
  <c r="AF173" i="2"/>
  <c r="AE173" i="2"/>
  <c r="AD173" i="2"/>
  <c r="W173" i="2"/>
  <c r="V173" i="2"/>
  <c r="T173" i="2"/>
  <c r="M173" i="2"/>
  <c r="L173" i="2"/>
  <c r="K173" i="2"/>
  <c r="J173" i="2"/>
  <c r="I173" i="2"/>
  <c r="H173" i="2"/>
  <c r="G173" i="2"/>
  <c r="F173" i="2"/>
  <c r="E173" i="2"/>
  <c r="D173" i="2"/>
  <c r="C173" i="2"/>
  <c r="B173" i="2"/>
  <c r="N172" i="2"/>
  <c r="AH172" i="2" s="1"/>
  <c r="N171" i="2"/>
  <c r="AH171" i="2" s="1"/>
  <c r="AG169" i="2"/>
  <c r="AF169" i="2"/>
  <c r="AE169" i="2"/>
  <c r="AD169" i="2"/>
  <c r="W169" i="2"/>
  <c r="V169" i="2"/>
  <c r="T169" i="2"/>
  <c r="M169" i="2"/>
  <c r="L169" i="2"/>
  <c r="K169" i="2"/>
  <c r="J169" i="2"/>
  <c r="I169" i="2"/>
  <c r="H169" i="2"/>
  <c r="G169" i="2"/>
  <c r="F169" i="2"/>
  <c r="E169" i="2"/>
  <c r="D169" i="2"/>
  <c r="C169" i="2"/>
  <c r="B169" i="2"/>
  <c r="N168" i="2"/>
  <c r="N167" i="2"/>
  <c r="AH167" i="2" s="1"/>
  <c r="AD166" i="2"/>
  <c r="N166" i="2"/>
  <c r="AC170" i="2"/>
  <c r="AC186" i="2" s="1"/>
  <c r="M165" i="2"/>
  <c r="AD164" i="2"/>
  <c r="N164" i="2"/>
  <c r="AG163" i="2"/>
  <c r="AF163" i="2"/>
  <c r="AF170" i="2" s="1"/>
  <c r="AE163" i="2"/>
  <c r="AE170" i="2" s="1"/>
  <c r="AD163" i="2"/>
  <c r="W163" i="2"/>
  <c r="V163" i="2"/>
  <c r="V170" i="2" s="1"/>
  <c r="T163" i="2"/>
  <c r="T170" i="2" s="1"/>
  <c r="M163" i="2"/>
  <c r="L163" i="2"/>
  <c r="K163" i="2"/>
  <c r="K170" i="2" s="1"/>
  <c r="J163" i="2"/>
  <c r="J170" i="2" s="1"/>
  <c r="I163" i="2"/>
  <c r="H163" i="2"/>
  <c r="G163" i="2"/>
  <c r="G170" i="2" s="1"/>
  <c r="F163" i="2"/>
  <c r="F170" i="2" s="1"/>
  <c r="E163" i="2"/>
  <c r="E170" i="2" s="1"/>
  <c r="D163" i="2"/>
  <c r="C163" i="2"/>
  <c r="C170" i="2" s="1"/>
  <c r="B163" i="2"/>
  <c r="B170" i="2" s="1"/>
  <c r="N162" i="2"/>
  <c r="AH162" i="2" s="1"/>
  <c r="N161" i="2"/>
  <c r="AH161" i="2" s="1"/>
  <c r="AD160" i="2"/>
  <c r="N160" i="2"/>
  <c r="AG158" i="2"/>
  <c r="AF158" i="2"/>
  <c r="AE158" i="2"/>
  <c r="AD158" i="2"/>
  <c r="W158" i="2"/>
  <c r="V158" i="2"/>
  <c r="T158" i="2"/>
  <c r="M158" i="2"/>
  <c r="L158" i="2"/>
  <c r="K158" i="2"/>
  <c r="J158" i="2"/>
  <c r="I158" i="2"/>
  <c r="H158" i="2"/>
  <c r="G158" i="2"/>
  <c r="F158" i="2"/>
  <c r="E158" i="2"/>
  <c r="D158" i="2"/>
  <c r="C158" i="2"/>
  <c r="B158" i="2"/>
  <c r="N157" i="2"/>
  <c r="AH157" i="2" s="1"/>
  <c r="N156" i="2"/>
  <c r="AH156" i="2" s="1"/>
  <c r="N155" i="2"/>
  <c r="AH155" i="2" s="1"/>
  <c r="N154" i="2"/>
  <c r="AH154" i="2" s="1"/>
  <c r="N153" i="2"/>
  <c r="AG151" i="2"/>
  <c r="AF151" i="2"/>
  <c r="AE151" i="2"/>
  <c r="AD151" i="2"/>
  <c r="W151" i="2"/>
  <c r="V151" i="2"/>
  <c r="T151" i="2"/>
  <c r="M151" i="2"/>
  <c r="L151" i="2"/>
  <c r="K151" i="2"/>
  <c r="J151" i="2"/>
  <c r="I151" i="2"/>
  <c r="H151" i="2"/>
  <c r="G151" i="2"/>
  <c r="F151" i="2"/>
  <c r="E151" i="2"/>
  <c r="D151" i="2"/>
  <c r="C151" i="2"/>
  <c r="B151" i="2"/>
  <c r="N150" i="2"/>
  <c r="AG149" i="2"/>
  <c r="AF149" i="2"/>
  <c r="AE149" i="2"/>
  <c r="AD149" i="2"/>
  <c r="W149" i="2"/>
  <c r="V149" i="2"/>
  <c r="T149" i="2"/>
  <c r="M149" i="2"/>
  <c r="L149" i="2"/>
  <c r="K149" i="2"/>
  <c r="J149" i="2"/>
  <c r="I149" i="2"/>
  <c r="H149" i="2"/>
  <c r="G149" i="2"/>
  <c r="F149" i="2"/>
  <c r="E149" i="2"/>
  <c r="D149" i="2"/>
  <c r="C149" i="2"/>
  <c r="B149" i="2"/>
  <c r="N148" i="2"/>
  <c r="AH148" i="2" s="1"/>
  <c r="N147" i="2"/>
  <c r="AH147" i="2" s="1"/>
  <c r="AG146" i="2"/>
  <c r="AF146" i="2"/>
  <c r="AE146" i="2"/>
  <c r="AD146" i="2"/>
  <c r="W146" i="2"/>
  <c r="V146" i="2"/>
  <c r="T146" i="2"/>
  <c r="M146" i="2"/>
  <c r="L146" i="2"/>
  <c r="K146" i="2"/>
  <c r="J146" i="2"/>
  <c r="I146" i="2"/>
  <c r="H146" i="2"/>
  <c r="G146" i="2"/>
  <c r="F146" i="2"/>
  <c r="E146" i="2"/>
  <c r="D146" i="2"/>
  <c r="C146" i="2"/>
  <c r="B146" i="2"/>
  <c r="N145" i="2"/>
  <c r="AH145" i="2" s="1"/>
  <c r="N144" i="2"/>
  <c r="AH144" i="2" s="1"/>
  <c r="AG143" i="2"/>
  <c r="AF143" i="2"/>
  <c r="AE143" i="2"/>
  <c r="AD143" i="2"/>
  <c r="W143" i="2"/>
  <c r="V143" i="2"/>
  <c r="T143" i="2"/>
  <c r="M143" i="2"/>
  <c r="L143" i="2"/>
  <c r="K143" i="2"/>
  <c r="J143" i="2"/>
  <c r="I143" i="2"/>
  <c r="H143" i="2"/>
  <c r="G143" i="2"/>
  <c r="F143" i="2"/>
  <c r="E143" i="2"/>
  <c r="D143" i="2"/>
  <c r="C143" i="2"/>
  <c r="B143" i="2"/>
  <c r="N142" i="2"/>
  <c r="AH142" i="2" s="1"/>
  <c r="N141" i="2"/>
  <c r="N143" i="2" s="1"/>
  <c r="N139" i="2"/>
  <c r="AH139" i="2" s="1"/>
  <c r="AG138" i="2"/>
  <c r="AG140" i="2" s="1"/>
  <c r="AF138" i="2"/>
  <c r="AF140" i="2" s="1"/>
  <c r="AE138" i="2"/>
  <c r="AE140" i="2" s="1"/>
  <c r="AD138" i="2"/>
  <c r="AD140" i="2" s="1"/>
  <c r="W138" i="2"/>
  <c r="W140" i="2" s="1"/>
  <c r="V138" i="2"/>
  <c r="V140" i="2" s="1"/>
  <c r="T138" i="2"/>
  <c r="T140" i="2" s="1"/>
  <c r="M138" i="2"/>
  <c r="M140" i="2" s="1"/>
  <c r="L138" i="2"/>
  <c r="L140" i="2" s="1"/>
  <c r="K138" i="2"/>
  <c r="K140" i="2" s="1"/>
  <c r="J138" i="2"/>
  <c r="J140" i="2" s="1"/>
  <c r="I138" i="2"/>
  <c r="I140" i="2" s="1"/>
  <c r="H138" i="2"/>
  <c r="H140" i="2" s="1"/>
  <c r="G138" i="2"/>
  <c r="G140" i="2" s="1"/>
  <c r="F138" i="2"/>
  <c r="F140" i="2" s="1"/>
  <c r="E138" i="2"/>
  <c r="E140" i="2" s="1"/>
  <c r="D138" i="2"/>
  <c r="D140" i="2" s="1"/>
  <c r="C138" i="2"/>
  <c r="C140" i="2" s="1"/>
  <c r="B138" i="2"/>
  <c r="B140" i="2" s="1"/>
  <c r="N137" i="2"/>
  <c r="AH137" i="2" s="1"/>
  <c r="N136" i="2"/>
  <c r="AH136" i="2" s="1"/>
  <c r="N135" i="2"/>
  <c r="N133" i="2"/>
  <c r="AH133" i="2" s="1"/>
  <c r="AG132" i="2"/>
  <c r="AF132" i="2"/>
  <c r="AE132" i="2"/>
  <c r="AD132" i="2"/>
  <c r="W132" i="2"/>
  <c r="V132" i="2"/>
  <c r="T132" i="2"/>
  <c r="M132" i="2"/>
  <c r="L132" i="2"/>
  <c r="K132" i="2"/>
  <c r="J132" i="2"/>
  <c r="I132" i="2"/>
  <c r="H132" i="2"/>
  <c r="G132" i="2"/>
  <c r="F132" i="2"/>
  <c r="E132" i="2"/>
  <c r="D132" i="2"/>
  <c r="C132" i="2"/>
  <c r="B132" i="2"/>
  <c r="N131" i="2"/>
  <c r="N132" i="2" s="1"/>
  <c r="AG130" i="2"/>
  <c r="AG134" i="2" s="1"/>
  <c r="AF130" i="2"/>
  <c r="AF134" i="2" s="1"/>
  <c r="AE130" i="2"/>
  <c r="AD130" i="2"/>
  <c r="AD134" i="2" s="1"/>
  <c r="W130" i="2"/>
  <c r="W134" i="2" s="1"/>
  <c r="V130" i="2"/>
  <c r="V134" i="2" s="1"/>
  <c r="T130" i="2"/>
  <c r="M130" i="2"/>
  <c r="M134" i="2" s="1"/>
  <c r="L130" i="2"/>
  <c r="L134" i="2" s="1"/>
  <c r="K130" i="2"/>
  <c r="J130" i="2"/>
  <c r="I130" i="2"/>
  <c r="I134" i="2" s="1"/>
  <c r="H130" i="2"/>
  <c r="H134" i="2" s="1"/>
  <c r="G130" i="2"/>
  <c r="F130" i="2"/>
  <c r="E130" i="2"/>
  <c r="E134" i="2" s="1"/>
  <c r="D130" i="2"/>
  <c r="D134" i="2" s="1"/>
  <c r="C130" i="2"/>
  <c r="B130" i="2"/>
  <c r="N129" i="2"/>
  <c r="AH129" i="2" s="1"/>
  <c r="N128" i="2"/>
  <c r="AH128" i="2" s="1"/>
  <c r="N127" i="2"/>
  <c r="AH127" i="2" s="1"/>
  <c r="N126" i="2"/>
  <c r="AH126" i="2" s="1"/>
  <c r="N125" i="2"/>
  <c r="AH125" i="2" s="1"/>
  <c r="N124" i="2"/>
  <c r="AH124" i="2" s="1"/>
  <c r="N120" i="2"/>
  <c r="AH120" i="2" s="1"/>
  <c r="AH119" i="2"/>
  <c r="N119" i="2"/>
  <c r="AG118" i="2"/>
  <c r="AG121" i="2" s="1"/>
  <c r="AG122" i="2" s="1"/>
  <c r="AF118" i="2"/>
  <c r="AF121" i="2" s="1"/>
  <c r="AF122" i="2" s="1"/>
  <c r="AE118" i="2"/>
  <c r="AE121" i="2" s="1"/>
  <c r="AE122" i="2" s="1"/>
  <c r="AD118" i="2"/>
  <c r="AD121" i="2" s="1"/>
  <c r="AD122" i="2" s="1"/>
  <c r="W118" i="2"/>
  <c r="W121" i="2" s="1"/>
  <c r="W122" i="2" s="1"/>
  <c r="V118" i="2"/>
  <c r="V121" i="2" s="1"/>
  <c r="V122" i="2" s="1"/>
  <c r="T118" i="2"/>
  <c r="T121" i="2" s="1"/>
  <c r="T122" i="2" s="1"/>
  <c r="M118" i="2"/>
  <c r="M121" i="2" s="1"/>
  <c r="M122" i="2" s="1"/>
  <c r="L118" i="2"/>
  <c r="L121" i="2" s="1"/>
  <c r="L122" i="2" s="1"/>
  <c r="K118" i="2"/>
  <c r="K121" i="2" s="1"/>
  <c r="K122" i="2" s="1"/>
  <c r="J118" i="2"/>
  <c r="J121" i="2" s="1"/>
  <c r="J122" i="2" s="1"/>
  <c r="I118" i="2"/>
  <c r="I121" i="2" s="1"/>
  <c r="I122" i="2" s="1"/>
  <c r="H118" i="2"/>
  <c r="H121" i="2" s="1"/>
  <c r="H122" i="2" s="1"/>
  <c r="G118" i="2"/>
  <c r="G121" i="2" s="1"/>
  <c r="G122" i="2" s="1"/>
  <c r="F118" i="2"/>
  <c r="F121" i="2" s="1"/>
  <c r="F122" i="2" s="1"/>
  <c r="E118" i="2"/>
  <c r="E121" i="2" s="1"/>
  <c r="E122" i="2" s="1"/>
  <c r="D118" i="2"/>
  <c r="D121" i="2" s="1"/>
  <c r="D122" i="2" s="1"/>
  <c r="C118" i="2"/>
  <c r="C121" i="2" s="1"/>
  <c r="C122" i="2" s="1"/>
  <c r="B118" i="2"/>
  <c r="B121" i="2" s="1"/>
  <c r="B122" i="2" s="1"/>
  <c r="N117" i="2"/>
  <c r="N118" i="2" s="1"/>
  <c r="AG116" i="2"/>
  <c r="AF116" i="2"/>
  <c r="AE116" i="2"/>
  <c r="AD116" i="2"/>
  <c r="W116" i="2"/>
  <c r="V116" i="2"/>
  <c r="T116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N115" i="2"/>
  <c r="AH115" i="2" s="1"/>
  <c r="N114" i="2"/>
  <c r="AG113" i="2"/>
  <c r="AF113" i="2"/>
  <c r="AE113" i="2"/>
  <c r="AD113" i="2"/>
  <c r="W113" i="2"/>
  <c r="V113" i="2"/>
  <c r="T113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AH112" i="2"/>
  <c r="N112" i="2"/>
  <c r="N111" i="2"/>
  <c r="AH111" i="2" s="1"/>
  <c r="N110" i="2"/>
  <c r="AH110" i="2" s="1"/>
  <c r="N109" i="2"/>
  <c r="AH109" i="2" s="1"/>
  <c r="AG108" i="2"/>
  <c r="AF108" i="2"/>
  <c r="AE108" i="2"/>
  <c r="W108" i="2"/>
  <c r="V108" i="2"/>
  <c r="T108" i="2"/>
  <c r="L108" i="2"/>
  <c r="K108" i="2"/>
  <c r="J108" i="2"/>
  <c r="I108" i="2"/>
  <c r="H108" i="2"/>
  <c r="G108" i="2"/>
  <c r="F108" i="2"/>
  <c r="E108" i="2"/>
  <c r="D108" i="2"/>
  <c r="C108" i="2"/>
  <c r="B108" i="2"/>
  <c r="AC107" i="2"/>
  <c r="AD107" i="2" s="1"/>
  <c r="AD106" i="2"/>
  <c r="N106" i="2"/>
  <c r="AH106" i="2" s="1"/>
  <c r="M106" i="2"/>
  <c r="AD105" i="2"/>
  <c r="N105" i="2"/>
  <c r="N104" i="2"/>
  <c r="AH104" i="2" s="1"/>
  <c r="N102" i="2"/>
  <c r="AH102" i="2" s="1"/>
  <c r="N101" i="2"/>
  <c r="AH101" i="2" s="1"/>
  <c r="N100" i="2"/>
  <c r="AH100" i="2" s="1"/>
  <c r="AG99" i="2"/>
  <c r="AG103" i="2" s="1"/>
  <c r="AF99" i="2"/>
  <c r="AF103" i="2" s="1"/>
  <c r="AE99" i="2"/>
  <c r="AE103" i="2" s="1"/>
  <c r="AD99" i="2"/>
  <c r="AD103" i="2" s="1"/>
  <c r="W99" i="2"/>
  <c r="W103" i="2" s="1"/>
  <c r="V99" i="2"/>
  <c r="V103" i="2" s="1"/>
  <c r="T99" i="2"/>
  <c r="T103" i="2" s="1"/>
  <c r="M99" i="2"/>
  <c r="M103" i="2" s="1"/>
  <c r="L99" i="2"/>
  <c r="L103" i="2" s="1"/>
  <c r="K99" i="2"/>
  <c r="K103" i="2" s="1"/>
  <c r="J99" i="2"/>
  <c r="J103" i="2" s="1"/>
  <c r="I99" i="2"/>
  <c r="I103" i="2" s="1"/>
  <c r="H99" i="2"/>
  <c r="H103" i="2" s="1"/>
  <c r="G99" i="2"/>
  <c r="G103" i="2" s="1"/>
  <c r="F99" i="2"/>
  <c r="F103" i="2" s="1"/>
  <c r="E99" i="2"/>
  <c r="E103" i="2" s="1"/>
  <c r="D99" i="2"/>
  <c r="D103" i="2" s="1"/>
  <c r="C99" i="2"/>
  <c r="C103" i="2" s="1"/>
  <c r="B99" i="2"/>
  <c r="B103" i="2" s="1"/>
  <c r="N98" i="2"/>
  <c r="AH98" i="2" s="1"/>
  <c r="AH97" i="2"/>
  <c r="N96" i="2"/>
  <c r="AG94" i="2"/>
  <c r="AF94" i="2"/>
  <c r="AE94" i="2"/>
  <c r="AD94" i="2"/>
  <c r="W94" i="2"/>
  <c r="V94" i="2"/>
  <c r="T94" i="2"/>
  <c r="M94" i="2"/>
  <c r="L94" i="2"/>
  <c r="K94" i="2"/>
  <c r="J94" i="2"/>
  <c r="I94" i="2"/>
  <c r="H94" i="2"/>
  <c r="G94" i="2"/>
  <c r="F94" i="2"/>
  <c r="E94" i="2"/>
  <c r="D94" i="2"/>
  <c r="C94" i="2"/>
  <c r="B94" i="2"/>
  <c r="N93" i="2"/>
  <c r="AH93" i="2" s="1"/>
  <c r="N92" i="2"/>
  <c r="AH92" i="2" s="1"/>
  <c r="N91" i="2"/>
  <c r="AG90" i="2"/>
  <c r="AG95" i="2" s="1"/>
  <c r="AF90" i="2"/>
  <c r="AE90" i="2"/>
  <c r="AD90" i="2"/>
  <c r="W90" i="2"/>
  <c r="V90" i="2"/>
  <c r="T90" i="2"/>
  <c r="N90" i="2"/>
  <c r="AH90" i="2" s="1"/>
  <c r="M90" i="2"/>
  <c r="L90" i="2"/>
  <c r="K90" i="2"/>
  <c r="J90" i="2"/>
  <c r="I90" i="2"/>
  <c r="H90" i="2"/>
  <c r="G90" i="2"/>
  <c r="F90" i="2"/>
  <c r="E90" i="2"/>
  <c r="D90" i="2"/>
  <c r="C90" i="2"/>
  <c r="B90" i="2"/>
  <c r="N89" i="2"/>
  <c r="AH89" i="2" s="1"/>
  <c r="AD88" i="2"/>
  <c r="W88" i="2"/>
  <c r="V88" i="2"/>
  <c r="T88" i="2"/>
  <c r="M88" i="2"/>
  <c r="L88" i="2"/>
  <c r="K88" i="2"/>
  <c r="J88" i="2"/>
  <c r="I88" i="2"/>
  <c r="H88" i="2"/>
  <c r="G88" i="2"/>
  <c r="F88" i="2"/>
  <c r="E88" i="2"/>
  <c r="D88" i="2"/>
  <c r="C88" i="2"/>
  <c r="B88" i="2"/>
  <c r="N87" i="2"/>
  <c r="N88" i="2" s="1"/>
  <c r="AD86" i="2"/>
  <c r="W86" i="2"/>
  <c r="V86" i="2"/>
  <c r="T86" i="2"/>
  <c r="M86" i="2"/>
  <c r="L86" i="2"/>
  <c r="K86" i="2"/>
  <c r="J86" i="2"/>
  <c r="I86" i="2"/>
  <c r="H86" i="2"/>
  <c r="G86" i="2"/>
  <c r="F86" i="2"/>
  <c r="E86" i="2"/>
  <c r="D86" i="2"/>
  <c r="C86" i="2"/>
  <c r="B86" i="2"/>
  <c r="N85" i="2"/>
  <c r="AH85" i="2" s="1"/>
  <c r="AD84" i="2"/>
  <c r="W84" i="2"/>
  <c r="V84" i="2"/>
  <c r="T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N83" i="2"/>
  <c r="AH83" i="2" s="1"/>
  <c r="AE82" i="2"/>
  <c r="AE95" i="2" s="1"/>
  <c r="AD82" i="2"/>
  <c r="W82" i="2"/>
  <c r="V82" i="2"/>
  <c r="T82" i="2"/>
  <c r="M82" i="2"/>
  <c r="M95" i="2" s="1"/>
  <c r="L82" i="2"/>
  <c r="K82" i="2"/>
  <c r="J82" i="2"/>
  <c r="I82" i="2"/>
  <c r="I95" i="2" s="1"/>
  <c r="H82" i="2"/>
  <c r="G82" i="2"/>
  <c r="F82" i="2"/>
  <c r="E82" i="2"/>
  <c r="E95" i="2" s="1"/>
  <c r="D82" i="2"/>
  <c r="C82" i="2"/>
  <c r="B82" i="2"/>
  <c r="N81" i="2"/>
  <c r="AG78" i="2"/>
  <c r="AG79" i="2" s="1"/>
  <c r="AF78" i="2"/>
  <c r="AF79" i="2" s="1"/>
  <c r="AE78" i="2"/>
  <c r="AE79" i="2" s="1"/>
  <c r="AC78" i="2"/>
  <c r="AB78" i="2"/>
  <c r="AA78" i="2"/>
  <c r="Z78" i="2"/>
  <c r="Y78" i="2"/>
  <c r="X78" i="2"/>
  <c r="W78" i="2"/>
  <c r="W79" i="2" s="1"/>
  <c r="U78" i="2"/>
  <c r="T78" i="2"/>
  <c r="S78" i="2"/>
  <c r="R78" i="2"/>
  <c r="Q78" i="2"/>
  <c r="P78" i="2"/>
  <c r="O78" i="2"/>
  <c r="M78" i="2"/>
  <c r="L78" i="2"/>
  <c r="K78" i="2"/>
  <c r="J78" i="2"/>
  <c r="I78" i="2"/>
  <c r="H78" i="2"/>
  <c r="G78" i="2"/>
  <c r="F78" i="2"/>
  <c r="E78" i="2"/>
  <c r="D78" i="2"/>
  <c r="C78" i="2"/>
  <c r="B78" i="2"/>
  <c r="N77" i="2"/>
  <c r="AH77" i="2" s="1"/>
  <c r="AD76" i="2"/>
  <c r="AD78" i="2" s="1"/>
  <c r="N76" i="2"/>
  <c r="N75" i="2"/>
  <c r="AH75" i="2" s="1"/>
  <c r="N74" i="2"/>
  <c r="AH74" i="2" s="1"/>
  <c r="N73" i="2"/>
  <c r="AH73" i="2" s="1"/>
  <c r="AG72" i="2"/>
  <c r="AF72" i="2"/>
  <c r="AE72" i="2"/>
  <c r="AD72" i="2"/>
  <c r="AC72" i="2"/>
  <c r="AB72" i="2"/>
  <c r="AA72" i="2"/>
  <c r="AA79" i="2" s="1"/>
  <c r="Z72" i="2"/>
  <c r="Y72" i="2"/>
  <c r="X72" i="2"/>
  <c r="W72" i="2"/>
  <c r="U72" i="2"/>
  <c r="T72" i="2"/>
  <c r="S72" i="2"/>
  <c r="R72" i="2"/>
  <c r="Q72" i="2"/>
  <c r="P72" i="2"/>
  <c r="O72" i="2"/>
  <c r="O79" i="2" s="1"/>
  <c r="M72" i="2"/>
  <c r="L72" i="2"/>
  <c r="K72" i="2"/>
  <c r="J72" i="2"/>
  <c r="I72" i="2"/>
  <c r="H72" i="2"/>
  <c r="G72" i="2"/>
  <c r="F72" i="2"/>
  <c r="F79" i="2" s="1"/>
  <c r="E72" i="2"/>
  <c r="D72" i="2"/>
  <c r="C72" i="2"/>
  <c r="B72" i="2"/>
  <c r="B79" i="2" s="1"/>
  <c r="V71" i="2"/>
  <c r="V72" i="2" s="1"/>
  <c r="V73" i="2" s="1"/>
  <c r="N71" i="2"/>
  <c r="N72" i="2" s="1"/>
  <c r="AD70" i="2"/>
  <c r="V70" i="2"/>
  <c r="N70" i="2"/>
  <c r="V69" i="2"/>
  <c r="T67" i="2"/>
  <c r="N67" i="2"/>
  <c r="AG66" i="2"/>
  <c r="AG68" i="2" s="1"/>
  <c r="AF66" i="2"/>
  <c r="AF68" i="2" s="1"/>
  <c r="AE66" i="2"/>
  <c r="AE68" i="2" s="1"/>
  <c r="AC66" i="2"/>
  <c r="AC68" i="2" s="1"/>
  <c r="AB66" i="2"/>
  <c r="AB68" i="2" s="1"/>
  <c r="AA66" i="2"/>
  <c r="AA68" i="2" s="1"/>
  <c r="Z66" i="2"/>
  <c r="Z68" i="2" s="1"/>
  <c r="Y66" i="2"/>
  <c r="Y68" i="2" s="1"/>
  <c r="X66" i="2"/>
  <c r="X68" i="2" s="1"/>
  <c r="W66" i="2"/>
  <c r="W68" i="2" s="1"/>
  <c r="U66" i="2"/>
  <c r="U68" i="2" s="1"/>
  <c r="S66" i="2"/>
  <c r="S68" i="2" s="1"/>
  <c r="R66" i="2"/>
  <c r="R68" i="2" s="1"/>
  <c r="Q66" i="2"/>
  <c r="Q68" i="2" s="1"/>
  <c r="P66" i="2"/>
  <c r="P68" i="2" s="1"/>
  <c r="O66" i="2"/>
  <c r="O68" i="2" s="1"/>
  <c r="M66" i="2"/>
  <c r="M68" i="2" s="1"/>
  <c r="L66" i="2"/>
  <c r="L68" i="2" s="1"/>
  <c r="K66" i="2"/>
  <c r="K68" i="2" s="1"/>
  <c r="J66" i="2"/>
  <c r="J68" i="2" s="1"/>
  <c r="I66" i="2"/>
  <c r="I68" i="2" s="1"/>
  <c r="H66" i="2"/>
  <c r="H68" i="2" s="1"/>
  <c r="G66" i="2"/>
  <c r="G68" i="2" s="1"/>
  <c r="F66" i="2"/>
  <c r="F68" i="2" s="1"/>
  <c r="E66" i="2"/>
  <c r="E68" i="2" s="1"/>
  <c r="D66" i="2"/>
  <c r="D68" i="2" s="1"/>
  <c r="C66" i="2"/>
  <c r="C68" i="2" s="1"/>
  <c r="B66" i="2"/>
  <c r="B68" i="2" s="1"/>
  <c r="AD65" i="2"/>
  <c r="V65" i="2"/>
  <c r="T65" i="2"/>
  <c r="N65" i="2"/>
  <c r="AH65" i="2" s="1"/>
  <c r="AD64" i="2"/>
  <c r="V64" i="2"/>
  <c r="V66" i="2" s="1"/>
  <c r="V68" i="2" s="1"/>
  <c r="T64" i="2"/>
  <c r="T66" i="2" s="1"/>
  <c r="T68" i="2" s="1"/>
  <c r="N64" i="2"/>
  <c r="N66" i="2" s="1"/>
  <c r="N68" i="2" s="1"/>
  <c r="AD62" i="2"/>
  <c r="AC62" i="2"/>
  <c r="V62" i="2"/>
  <c r="T62" i="2"/>
  <c r="N62" i="2"/>
  <c r="AG61" i="2"/>
  <c r="AF61" i="2"/>
  <c r="AE61" i="2"/>
  <c r="AB61" i="2"/>
  <c r="AA61" i="2"/>
  <c r="Z61" i="2"/>
  <c r="Y61" i="2"/>
  <c r="X61" i="2"/>
  <c r="W61" i="2"/>
  <c r="U61" i="2"/>
  <c r="S61" i="2"/>
  <c r="R61" i="2"/>
  <c r="Q61" i="2"/>
  <c r="P61" i="2"/>
  <c r="O61" i="2"/>
  <c r="L61" i="2"/>
  <c r="K61" i="2"/>
  <c r="J61" i="2"/>
  <c r="I61" i="2"/>
  <c r="H61" i="2"/>
  <c r="G61" i="2"/>
  <c r="F61" i="2"/>
  <c r="E61" i="2"/>
  <c r="D61" i="2"/>
  <c r="C61" i="2"/>
  <c r="B61" i="2"/>
  <c r="T60" i="2"/>
  <c r="M60" i="2"/>
  <c r="M61" i="2" s="1"/>
  <c r="AD59" i="2"/>
  <c r="V59" i="2"/>
  <c r="V61" i="2" s="1"/>
  <c r="T59" i="2"/>
  <c r="N59" i="2"/>
  <c r="AG58" i="2"/>
  <c r="AF58" i="2"/>
  <c r="AE58" i="2"/>
  <c r="AC58" i="2"/>
  <c r="AB58" i="2"/>
  <c r="AA58" i="2"/>
  <c r="Z58" i="2"/>
  <c r="Y58" i="2"/>
  <c r="X58" i="2"/>
  <c r="W58" i="2"/>
  <c r="U58" i="2"/>
  <c r="S58" i="2"/>
  <c r="R58" i="2"/>
  <c r="Q58" i="2"/>
  <c r="P58" i="2"/>
  <c r="O58" i="2"/>
  <c r="M58" i="2"/>
  <c r="L58" i="2"/>
  <c r="K58" i="2"/>
  <c r="J58" i="2"/>
  <c r="I58" i="2"/>
  <c r="H58" i="2"/>
  <c r="G58" i="2"/>
  <c r="F58" i="2"/>
  <c r="E58" i="2"/>
  <c r="D58" i="2"/>
  <c r="C58" i="2"/>
  <c r="B58" i="2"/>
  <c r="AD57" i="2"/>
  <c r="V57" i="2"/>
  <c r="T57" i="2"/>
  <c r="N57" i="2"/>
  <c r="AD56" i="2"/>
  <c r="AD58" i="2" s="1"/>
  <c r="V56" i="2"/>
  <c r="V58" i="2" s="1"/>
  <c r="T56" i="2"/>
  <c r="N56" i="2"/>
  <c r="N58" i="2" s="1"/>
  <c r="AD55" i="2"/>
  <c r="V55" i="2"/>
  <c r="T55" i="2"/>
  <c r="N55" i="2"/>
  <c r="AD54" i="2"/>
  <c r="V54" i="2"/>
  <c r="T54" i="2"/>
  <c r="N54" i="2"/>
  <c r="AD53" i="2"/>
  <c r="T53" i="2"/>
  <c r="N53" i="2"/>
  <c r="AG52" i="2"/>
  <c r="AG63" i="2" s="1"/>
  <c r="AF52" i="2"/>
  <c r="AE52" i="2"/>
  <c r="AC52" i="2"/>
  <c r="AB52" i="2"/>
  <c r="AB63" i="2" s="1"/>
  <c r="AA52" i="2"/>
  <c r="Z52" i="2"/>
  <c r="Z63" i="2" s="1"/>
  <c r="Y52" i="2"/>
  <c r="X52" i="2"/>
  <c r="X63" i="2" s="1"/>
  <c r="W52" i="2"/>
  <c r="U52" i="2"/>
  <c r="S52" i="2"/>
  <c r="R52" i="2"/>
  <c r="Q52" i="2"/>
  <c r="P52" i="2"/>
  <c r="P63" i="2" s="1"/>
  <c r="O52" i="2"/>
  <c r="M52" i="2"/>
  <c r="L52" i="2"/>
  <c r="K52" i="2"/>
  <c r="K63" i="2" s="1"/>
  <c r="J52" i="2"/>
  <c r="I52" i="2"/>
  <c r="H52" i="2"/>
  <c r="G52" i="2"/>
  <c r="F52" i="2"/>
  <c r="E52" i="2"/>
  <c r="D52" i="2"/>
  <c r="C52" i="2"/>
  <c r="C63" i="2" s="1"/>
  <c r="B52" i="2"/>
  <c r="AD51" i="2"/>
  <c r="V51" i="2"/>
  <c r="T51" i="2"/>
  <c r="N51" i="2"/>
  <c r="AD50" i="2"/>
  <c r="V50" i="2"/>
  <c r="T50" i="2"/>
  <c r="N50" i="2"/>
  <c r="AD49" i="2"/>
  <c r="V49" i="2"/>
  <c r="T49" i="2"/>
  <c r="N49" i="2"/>
  <c r="AD48" i="2"/>
  <c r="V48" i="2"/>
  <c r="V52" i="2" s="1"/>
  <c r="T48" i="2"/>
  <c r="T52" i="2" s="1"/>
  <c r="N48" i="2"/>
  <c r="N52" i="2" s="1"/>
  <c r="AC47" i="2"/>
  <c r="AD46" i="2"/>
  <c r="V46" i="2"/>
  <c r="T46" i="2"/>
  <c r="N46" i="2"/>
  <c r="AG45" i="2"/>
  <c r="AG47" i="2" s="1"/>
  <c r="AF45" i="2"/>
  <c r="AF47" i="2" s="1"/>
  <c r="AE45" i="2"/>
  <c r="AE47" i="2" s="1"/>
  <c r="AC45" i="2"/>
  <c r="AB45" i="2"/>
  <c r="AB47" i="2" s="1"/>
  <c r="AA45" i="2"/>
  <c r="AA47" i="2" s="1"/>
  <c r="Z45" i="2"/>
  <c r="Z47" i="2" s="1"/>
  <c r="Y45" i="2"/>
  <c r="Y47" i="2" s="1"/>
  <c r="X45" i="2"/>
  <c r="W45" i="2"/>
  <c r="W47" i="2" s="1"/>
  <c r="U45" i="2"/>
  <c r="S45" i="2"/>
  <c r="S47" i="2" s="1"/>
  <c r="R45" i="2"/>
  <c r="R47" i="2" s="1"/>
  <c r="Q45" i="2"/>
  <c r="Q47" i="2" s="1"/>
  <c r="P45" i="2"/>
  <c r="P47" i="2" s="1"/>
  <c r="O45" i="2"/>
  <c r="O47" i="2" s="1"/>
  <c r="M45" i="2"/>
  <c r="M47" i="2" s="1"/>
  <c r="L45" i="2"/>
  <c r="L47" i="2" s="1"/>
  <c r="K45" i="2"/>
  <c r="K47" i="2" s="1"/>
  <c r="J45" i="2"/>
  <c r="J47" i="2" s="1"/>
  <c r="I45" i="2"/>
  <c r="I47" i="2" s="1"/>
  <c r="H45" i="2"/>
  <c r="H47" i="2" s="1"/>
  <c r="G45" i="2"/>
  <c r="G47" i="2" s="1"/>
  <c r="F45" i="2"/>
  <c r="F47" i="2" s="1"/>
  <c r="E45" i="2"/>
  <c r="E47" i="2" s="1"/>
  <c r="D45" i="2"/>
  <c r="D47" i="2" s="1"/>
  <c r="C45" i="2"/>
  <c r="C47" i="2" s="1"/>
  <c r="B45" i="2"/>
  <c r="B47" i="2" s="1"/>
  <c r="AD44" i="2"/>
  <c r="V44" i="2"/>
  <c r="T44" i="2"/>
  <c r="N44" i="2"/>
  <c r="AD43" i="2"/>
  <c r="V43" i="2"/>
  <c r="T43" i="2"/>
  <c r="N43" i="2"/>
  <c r="AD42" i="2"/>
  <c r="V42" i="2"/>
  <c r="T42" i="2"/>
  <c r="N42" i="2"/>
  <c r="N41" i="2"/>
  <c r="AG39" i="2"/>
  <c r="AF39" i="2"/>
  <c r="AE39" i="2"/>
  <c r="AC39" i="2"/>
  <c r="AB39" i="2"/>
  <c r="AA39" i="2"/>
  <c r="Z39" i="2"/>
  <c r="Y39" i="2"/>
  <c r="X39" i="2"/>
  <c r="W39" i="2"/>
  <c r="U39" i="2"/>
  <c r="S39" i="2"/>
  <c r="R39" i="2"/>
  <c r="Q39" i="2"/>
  <c r="P39" i="2"/>
  <c r="O39" i="2"/>
  <c r="M39" i="2"/>
  <c r="L39" i="2"/>
  <c r="K39" i="2"/>
  <c r="J39" i="2"/>
  <c r="I39" i="2"/>
  <c r="H39" i="2"/>
  <c r="G39" i="2"/>
  <c r="F39" i="2"/>
  <c r="E39" i="2"/>
  <c r="D39" i="2"/>
  <c r="C39" i="2"/>
  <c r="B39" i="2"/>
  <c r="AD38" i="2"/>
  <c r="V38" i="2"/>
  <c r="T38" i="2"/>
  <c r="N38" i="2"/>
  <c r="AD37" i="2"/>
  <c r="V37" i="2"/>
  <c r="T37" i="2"/>
  <c r="N37" i="2"/>
  <c r="AD36" i="2"/>
  <c r="V36" i="2"/>
  <c r="T36" i="2"/>
  <c r="N36" i="2"/>
  <c r="AD35" i="2"/>
  <c r="V35" i="2"/>
  <c r="T35" i="2"/>
  <c r="N35" i="2"/>
  <c r="AD34" i="2"/>
  <c r="V34" i="2"/>
  <c r="T34" i="2"/>
  <c r="N34" i="2"/>
  <c r="AD33" i="2"/>
  <c r="V33" i="2"/>
  <c r="V39" i="2" s="1"/>
  <c r="T33" i="2"/>
  <c r="T39" i="2" s="1"/>
  <c r="N33" i="2"/>
  <c r="AG32" i="2"/>
  <c r="AG40" i="2" s="1"/>
  <c r="AF32" i="2"/>
  <c r="AF40" i="2" s="1"/>
  <c r="AE32" i="2"/>
  <c r="AC32" i="2"/>
  <c r="AB32" i="2"/>
  <c r="AB40" i="2" s="1"/>
  <c r="AA32" i="2"/>
  <c r="AA40" i="2" s="1"/>
  <c r="Z32" i="2"/>
  <c r="Y32" i="2"/>
  <c r="X32" i="2"/>
  <c r="X40" i="2" s="1"/>
  <c r="W32" i="2"/>
  <c r="W40" i="2" s="1"/>
  <c r="U32" i="2"/>
  <c r="V32" i="2" s="1"/>
  <c r="S32" i="2"/>
  <c r="R32" i="2"/>
  <c r="Q32" i="2"/>
  <c r="P32" i="2"/>
  <c r="O32" i="2"/>
  <c r="M32" i="2"/>
  <c r="L32" i="2"/>
  <c r="K32" i="2"/>
  <c r="J32" i="2"/>
  <c r="I32" i="2"/>
  <c r="H32" i="2"/>
  <c r="G32" i="2"/>
  <c r="F32" i="2"/>
  <c r="E32" i="2"/>
  <c r="D32" i="2"/>
  <c r="C32" i="2"/>
  <c r="B32" i="2"/>
  <c r="AD31" i="2"/>
  <c r="V31" i="2"/>
  <c r="T31" i="2"/>
  <c r="N31" i="2"/>
  <c r="AD30" i="2"/>
  <c r="V30" i="2"/>
  <c r="T30" i="2"/>
  <c r="N30" i="2"/>
  <c r="AD29" i="2"/>
  <c r="V29" i="2"/>
  <c r="T29" i="2"/>
  <c r="N29" i="2"/>
  <c r="AD28" i="2"/>
  <c r="V28" i="2"/>
  <c r="T28" i="2"/>
  <c r="N28" i="2"/>
  <c r="AD27" i="2"/>
  <c r="V27" i="2"/>
  <c r="T27" i="2"/>
  <c r="N27" i="2"/>
  <c r="N32" i="2" s="1"/>
  <c r="AG26" i="2"/>
  <c r="AF26" i="2"/>
  <c r="AE26" i="2"/>
  <c r="W26" i="2"/>
  <c r="AB25" i="2"/>
  <c r="Z25" i="2"/>
  <c r="Y25" i="2"/>
  <c r="X25" i="2"/>
  <c r="V25" i="2"/>
  <c r="P25" i="2"/>
  <c r="O25" i="2"/>
  <c r="M25" i="2"/>
  <c r="L25" i="2"/>
  <c r="K25" i="2"/>
  <c r="J25" i="2"/>
  <c r="I25" i="2"/>
  <c r="G25" i="2"/>
  <c r="F25" i="2"/>
  <c r="E25" i="2"/>
  <c r="D25" i="2"/>
  <c r="AD24" i="2"/>
  <c r="V24" i="2"/>
  <c r="T24" i="2"/>
  <c r="N24" i="2"/>
  <c r="AD23" i="2"/>
  <c r="V23" i="2"/>
  <c r="T23" i="2"/>
  <c r="N23" i="2"/>
  <c r="AD22" i="2"/>
  <c r="V22" i="2"/>
  <c r="T22" i="2"/>
  <c r="N22" i="2"/>
  <c r="AD21" i="2"/>
  <c r="V21" i="2"/>
  <c r="T21" i="2"/>
  <c r="N21" i="2"/>
  <c r="AD20" i="2"/>
  <c r="V20" i="2"/>
  <c r="T20" i="2"/>
  <c r="N20" i="2"/>
  <c r="U19" i="2"/>
  <c r="R19" i="2"/>
  <c r="R26" i="2" s="1"/>
  <c r="Q19" i="2"/>
  <c r="Q26" i="2" s="1"/>
  <c r="J19" i="2"/>
  <c r="E19" i="2"/>
  <c r="AF17" i="2"/>
  <c r="AE17" i="2"/>
  <c r="AC17" i="2"/>
  <c r="AB17" i="2"/>
  <c r="AA17" i="2"/>
  <c r="Z17" i="2"/>
  <c r="Y17" i="2"/>
  <c r="X17" i="2"/>
  <c r="W17" i="2"/>
  <c r="U17" i="2"/>
  <c r="V17" i="2" s="1"/>
  <c r="S17" i="2"/>
  <c r="R17" i="2"/>
  <c r="Q17" i="2"/>
  <c r="P17" i="2"/>
  <c r="O17" i="2"/>
  <c r="M17" i="2"/>
  <c r="J17" i="2"/>
  <c r="I17" i="2"/>
  <c r="H17" i="2"/>
  <c r="G17" i="2"/>
  <c r="F17" i="2"/>
  <c r="E17" i="2"/>
  <c r="D17" i="2"/>
  <c r="C17" i="2"/>
  <c r="B17" i="2"/>
  <c r="AD16" i="2"/>
  <c r="V16" i="2"/>
  <c r="T16" i="2"/>
  <c r="N16" i="2"/>
  <c r="AD15" i="2"/>
  <c r="V15" i="2"/>
  <c r="T15" i="2"/>
  <c r="L15" i="2"/>
  <c r="K15" i="2"/>
  <c r="AD14" i="2"/>
  <c r="V14" i="2"/>
  <c r="T14" i="2"/>
  <c r="N14" i="2"/>
  <c r="AG13" i="2"/>
  <c r="AG18" i="2" s="1"/>
  <c r="AF13" i="2"/>
  <c r="AF18" i="2" s="1"/>
  <c r="AE13" i="2"/>
  <c r="AE18" i="2" s="1"/>
  <c r="W13" i="2"/>
  <c r="W18" i="2" s="1"/>
  <c r="U13" i="2"/>
  <c r="V13" i="2" s="1"/>
  <c r="R13" i="2"/>
  <c r="R18" i="2" s="1"/>
  <c r="Q13" i="2"/>
  <c r="L13" i="2"/>
  <c r="K13" i="2"/>
  <c r="J13" i="2"/>
  <c r="J18" i="2" s="1"/>
  <c r="E13" i="2"/>
  <c r="AD12" i="2"/>
  <c r="V12" i="2"/>
  <c r="T12" i="2"/>
  <c r="H12" i="2"/>
  <c r="F12" i="2"/>
  <c r="AD11" i="2"/>
  <c r="T11" i="2"/>
  <c r="F11" i="2"/>
  <c r="N11" i="2" s="1"/>
  <c r="AD10" i="2"/>
  <c r="V10" i="2"/>
  <c r="T10" i="2"/>
  <c r="H10" i="2"/>
  <c r="G10" i="2"/>
  <c r="D10" i="2"/>
  <c r="AD9" i="2"/>
  <c r="N9" i="2"/>
  <c r="AD8" i="2"/>
  <c r="V8" i="2"/>
  <c r="T8" i="2"/>
  <c r="H8" i="2"/>
  <c r="H25" i="2" s="1"/>
  <c r="C8" i="2"/>
  <c r="B8" i="2"/>
  <c r="B25" i="2" s="1"/>
  <c r="AD7" i="2"/>
  <c r="V7" i="2"/>
  <c r="T7" i="2"/>
  <c r="N7" i="2"/>
  <c r="AD6" i="2"/>
  <c r="V6" i="2"/>
  <c r="T6" i="2"/>
  <c r="N6" i="2"/>
  <c r="V5" i="2"/>
  <c r="AB4" i="2"/>
  <c r="AB19" i="2" s="1"/>
  <c r="AA4" i="2"/>
  <c r="AA19" i="2" s="1"/>
  <c r="Z13" i="2"/>
  <c r="Y4" i="2"/>
  <c r="Y13" i="2" s="1"/>
  <c r="X4" i="2"/>
  <c r="X19" i="2" s="1"/>
  <c r="X26" i="2" s="1"/>
  <c r="V4" i="2"/>
  <c r="P4" i="2"/>
  <c r="O4" i="2"/>
  <c r="O19" i="2" s="1"/>
  <c r="I4" i="2"/>
  <c r="I13" i="2" s="1"/>
  <c r="I18" i="2" s="1"/>
  <c r="H4" i="2"/>
  <c r="G4" i="2"/>
  <c r="G19" i="2" s="1"/>
  <c r="G26" i="2" s="1"/>
  <c r="F4" i="2"/>
  <c r="D4" i="2"/>
  <c r="C4" i="2"/>
  <c r="B4" i="2"/>
  <c r="B19" i="2" s="1"/>
  <c r="AB107" i="3"/>
  <c r="C61" i="1"/>
  <c r="D51" i="1"/>
  <c r="C29" i="1"/>
  <c r="D124" i="1"/>
  <c r="F124" i="1" s="1"/>
  <c r="E123" i="1"/>
  <c r="E88" i="1"/>
  <c r="D155" i="1"/>
  <c r="C165" i="1"/>
  <c r="E165" i="1" s="1"/>
  <c r="C208" i="1"/>
  <c r="E208" i="1" s="1"/>
  <c r="C441" i="1"/>
  <c r="E441" i="1" s="1"/>
  <c r="B63" i="2" l="1"/>
  <c r="F63" i="2"/>
  <c r="J63" i="2"/>
  <c r="Y63" i="2"/>
  <c r="D79" i="2"/>
  <c r="H79" i="2"/>
  <c r="L184" i="2"/>
  <c r="L185" i="2" s="1"/>
  <c r="AF63" i="2"/>
  <c r="AF80" i="2" s="1"/>
  <c r="AF123" i="2" s="1"/>
  <c r="AF95" i="2"/>
  <c r="AH117" i="2"/>
  <c r="AH180" i="2"/>
  <c r="Y18" i="2"/>
  <c r="C79" i="2"/>
  <c r="G79" i="2"/>
  <c r="P79" i="2"/>
  <c r="Y79" i="2"/>
  <c r="AH166" i="2"/>
  <c r="C184" i="2"/>
  <c r="C185" i="2" s="1"/>
  <c r="G184" i="2"/>
  <c r="G185" i="2" s="1"/>
  <c r="K184" i="2"/>
  <c r="K185" i="2" s="1"/>
  <c r="V184" i="2"/>
  <c r="V185" i="2" s="1"/>
  <c r="AF184" i="2"/>
  <c r="AF185" i="2" s="1"/>
  <c r="Q186" i="3"/>
  <c r="O80" i="3"/>
  <c r="AD165" i="2"/>
  <c r="AD170" i="2" s="1"/>
  <c r="E40" i="2"/>
  <c r="I40" i="2"/>
  <c r="M40" i="2"/>
  <c r="R40" i="2"/>
  <c r="V40" i="2"/>
  <c r="Q40" i="2"/>
  <c r="D63" i="2"/>
  <c r="H63" i="2"/>
  <c r="H80" i="2" s="1"/>
  <c r="H123" i="2" s="1"/>
  <c r="L63" i="2"/>
  <c r="Q63" i="2"/>
  <c r="AH67" i="2"/>
  <c r="N86" i="2"/>
  <c r="AH86" i="2" s="1"/>
  <c r="C134" i="2"/>
  <c r="G134" i="2"/>
  <c r="G186" i="2" s="1"/>
  <c r="K134" i="2"/>
  <c r="N138" i="2"/>
  <c r="AH138" i="2" s="1"/>
  <c r="W152" i="2"/>
  <c r="O13" i="2"/>
  <c r="O18" i="2" s="1"/>
  <c r="B40" i="2"/>
  <c r="F40" i="2"/>
  <c r="J40" i="2"/>
  <c r="O40" i="2"/>
  <c r="S40" i="2"/>
  <c r="T58" i="2"/>
  <c r="AH59" i="2"/>
  <c r="AH62" i="2"/>
  <c r="AH71" i="2"/>
  <c r="E79" i="2"/>
  <c r="I79" i="2"/>
  <c r="AH88" i="2"/>
  <c r="C152" i="2"/>
  <c r="C159" i="2" s="1"/>
  <c r="G152" i="2"/>
  <c r="G159" i="2" s="1"/>
  <c r="V152" i="2"/>
  <c r="AF152" i="2"/>
  <c r="E152" i="2"/>
  <c r="I152" i="2"/>
  <c r="M152" i="2"/>
  <c r="M159" i="2" s="1"/>
  <c r="AD152" i="2"/>
  <c r="D170" i="2"/>
  <c r="H170" i="2"/>
  <c r="L170" i="2"/>
  <c r="W170" i="2"/>
  <c r="AG170" i="2"/>
  <c r="D184" i="2"/>
  <c r="D185" i="2" s="1"/>
  <c r="T25" i="2"/>
  <c r="AC40" i="2"/>
  <c r="AE63" i="2"/>
  <c r="B95" i="2"/>
  <c r="F95" i="2"/>
  <c r="J95" i="2"/>
  <c r="AH84" i="2"/>
  <c r="AH132" i="2"/>
  <c r="AH160" i="2"/>
  <c r="I170" i="2"/>
  <c r="H13" i="2"/>
  <c r="H18" i="2" s="1"/>
  <c r="T134" i="2"/>
  <c r="AE134" i="2"/>
  <c r="Z18" i="2"/>
  <c r="AH70" i="2"/>
  <c r="G63" i="2"/>
  <c r="AD95" i="2"/>
  <c r="N116" i="2"/>
  <c r="AH116" i="2" s="1"/>
  <c r="AH114" i="2"/>
  <c r="M170" i="2"/>
  <c r="N165" i="2"/>
  <c r="AH165" i="2" s="1"/>
  <c r="O123" i="3"/>
  <c r="X13" i="2"/>
  <c r="V45" i="2"/>
  <c r="V47" i="2" s="1"/>
  <c r="U47" i="2"/>
  <c r="T95" i="2"/>
  <c r="AH87" i="2"/>
  <c r="H19" i="2"/>
  <c r="H26" i="2" s="1"/>
  <c r="AA26" i="2"/>
  <c r="AA13" i="2"/>
  <c r="AA18" i="2" s="1"/>
  <c r="C13" i="2"/>
  <c r="C18" i="2" s="1"/>
  <c r="N10" i="2"/>
  <c r="AH10" i="2" s="1"/>
  <c r="L17" i="2"/>
  <c r="L18" i="2" s="1"/>
  <c r="L19" i="2"/>
  <c r="L26" i="2" s="1"/>
  <c r="AH16" i="2"/>
  <c r="Q18" i="2"/>
  <c r="U40" i="2"/>
  <c r="Y40" i="2"/>
  <c r="Y80" i="2" s="1"/>
  <c r="AH72" i="2"/>
  <c r="N121" i="2"/>
  <c r="N122" i="2" s="1"/>
  <c r="AH122" i="2" s="1"/>
  <c r="D19" i="2"/>
  <c r="D26" i="2" s="1"/>
  <c r="D13" i="2"/>
  <c r="D18" i="2" s="1"/>
  <c r="AB26" i="2"/>
  <c r="AB13" i="2"/>
  <c r="AB18" i="2" s="1"/>
  <c r="I19" i="2"/>
  <c r="I26" i="2" s="1"/>
  <c r="I123" i="2" s="1"/>
  <c r="D40" i="2"/>
  <c r="D80" i="2" s="1"/>
  <c r="H40" i="2"/>
  <c r="L40" i="2"/>
  <c r="L69" i="2" s="1"/>
  <c r="L79" i="2" s="1"/>
  <c r="L80" i="2" s="1"/>
  <c r="Z40" i="2"/>
  <c r="AE40" i="2"/>
  <c r="AE80" i="2" s="1"/>
  <c r="AE123" i="2" s="1"/>
  <c r="AH49" i="2"/>
  <c r="AH50" i="2"/>
  <c r="AH51" i="2"/>
  <c r="S63" i="2"/>
  <c r="S69" i="2" s="1"/>
  <c r="T69" i="2" s="1"/>
  <c r="T79" i="2" s="1"/>
  <c r="AH54" i="2"/>
  <c r="AH55" i="2"/>
  <c r="Q79" i="2"/>
  <c r="U79" i="2"/>
  <c r="AH168" i="2"/>
  <c r="N169" i="2"/>
  <c r="AH169" i="2" s="1"/>
  <c r="H152" i="2"/>
  <c r="H159" i="2" s="1"/>
  <c r="H186" i="2" s="1"/>
  <c r="AG152" i="2"/>
  <c r="AG159" i="2" s="1"/>
  <c r="F19" i="2"/>
  <c r="F26" i="2" s="1"/>
  <c r="O26" i="2"/>
  <c r="E26" i="2"/>
  <c r="Z19" i="2"/>
  <c r="Z26" i="2" s="1"/>
  <c r="AH28" i="2"/>
  <c r="AH31" i="2"/>
  <c r="B80" i="2"/>
  <c r="F80" i="2"/>
  <c r="AD39" i="2"/>
  <c r="V53" i="2"/>
  <c r="U63" i="2"/>
  <c r="R79" i="2"/>
  <c r="Z79" i="2"/>
  <c r="X79" i="2"/>
  <c r="AB79" i="2"/>
  <c r="C95" i="2"/>
  <c r="G95" i="2"/>
  <c r="K95" i="2"/>
  <c r="V95" i="2"/>
  <c r="AD108" i="2"/>
  <c r="B134" i="2"/>
  <c r="F134" i="2"/>
  <c r="J134" i="2"/>
  <c r="AH131" i="2"/>
  <c r="AH135" i="2"/>
  <c r="AH141" i="2"/>
  <c r="V159" i="2"/>
  <c r="V186" i="2" s="1"/>
  <c r="AF159" i="2"/>
  <c r="AF186" i="2" s="1"/>
  <c r="N149" i="2"/>
  <c r="AH149" i="2" s="1"/>
  <c r="B152" i="2"/>
  <c r="B159" i="2" s="1"/>
  <c r="F152" i="2"/>
  <c r="F159" i="2" s="1"/>
  <c r="J152" i="2"/>
  <c r="J159" i="2" s="1"/>
  <c r="T152" i="2"/>
  <c r="T159" i="2" s="1"/>
  <c r="AE152" i="2"/>
  <c r="AE159" i="2" s="1"/>
  <c r="AH164" i="2"/>
  <c r="AH174" i="2"/>
  <c r="D152" i="2"/>
  <c r="L152" i="2"/>
  <c r="L159" i="2" s="1"/>
  <c r="L186" i="2" s="1"/>
  <c r="AD159" i="2"/>
  <c r="R80" i="3"/>
  <c r="R123" i="3" s="1"/>
  <c r="T4" i="2"/>
  <c r="S5" i="2" s="1"/>
  <c r="S19" i="2" s="1"/>
  <c r="S26" i="2" s="1"/>
  <c r="AH6" i="2"/>
  <c r="AH14" i="2"/>
  <c r="E18" i="2"/>
  <c r="U18" i="2"/>
  <c r="AH21" i="2"/>
  <c r="AH22" i="2"/>
  <c r="AH23" i="2"/>
  <c r="AD25" i="2"/>
  <c r="C40" i="2"/>
  <c r="C80" i="2" s="1"/>
  <c r="G40" i="2"/>
  <c r="G80" i="2" s="1"/>
  <c r="K40" i="2"/>
  <c r="P40" i="2"/>
  <c r="AH33" i="2"/>
  <c r="N39" i="2"/>
  <c r="N40" i="2" s="1"/>
  <c r="AH36" i="2"/>
  <c r="AH42" i="2"/>
  <c r="AH43" i="2"/>
  <c r="AH46" i="2"/>
  <c r="E63" i="2"/>
  <c r="I63" i="2"/>
  <c r="W63" i="2"/>
  <c r="W80" i="2" s="1"/>
  <c r="AA63" i="2"/>
  <c r="AA80" i="2" s="1"/>
  <c r="W95" i="2"/>
  <c r="N140" i="2"/>
  <c r="AH140" i="2" s="1"/>
  <c r="K152" i="2"/>
  <c r="K159" i="2" s="1"/>
  <c r="AD184" i="2"/>
  <c r="AD185" i="2" s="1"/>
  <c r="AH181" i="2"/>
  <c r="N80" i="3"/>
  <c r="N123" i="3" s="1"/>
  <c r="H80" i="3"/>
  <c r="H123" i="3" s="1"/>
  <c r="J69" i="2"/>
  <c r="J79" i="2" s="1"/>
  <c r="J80" i="2" s="1"/>
  <c r="T5" i="2"/>
  <c r="S13" i="2"/>
  <c r="S18" i="2" s="1"/>
  <c r="V18" i="2"/>
  <c r="B26" i="2"/>
  <c r="AH121" i="2"/>
  <c r="AH153" i="2"/>
  <c r="N158" i="2"/>
  <c r="AH158" i="2" s="1"/>
  <c r="X18" i="2"/>
  <c r="K17" i="2"/>
  <c r="K19" i="2"/>
  <c r="K26" i="2" s="1"/>
  <c r="N15" i="2"/>
  <c r="AH15" i="2" s="1"/>
  <c r="X47" i="2"/>
  <c r="X80" i="2" s="1"/>
  <c r="AD45" i="2"/>
  <c r="AD47" i="2" s="1"/>
  <c r="P19" i="2"/>
  <c r="P26" i="2" s="1"/>
  <c r="C25" i="2"/>
  <c r="N25" i="2" s="1"/>
  <c r="AH25" i="2" s="1"/>
  <c r="I80" i="2"/>
  <c r="AH64" i="2"/>
  <c r="AH66" i="2" s="1"/>
  <c r="AH68" i="2" s="1"/>
  <c r="AH7" i="2"/>
  <c r="P13" i="2"/>
  <c r="AH34" i="2"/>
  <c r="AH35" i="2"/>
  <c r="AH53" i="2"/>
  <c r="AD66" i="2"/>
  <c r="AD68" i="2" s="1"/>
  <c r="AH11" i="2"/>
  <c r="T17" i="2"/>
  <c r="AH29" i="2"/>
  <c r="AH30" i="2"/>
  <c r="AD32" i="2"/>
  <c r="T45" i="2"/>
  <c r="T47" i="2" s="1"/>
  <c r="V63" i="2"/>
  <c r="C19" i="2"/>
  <c r="AH9" i="2"/>
  <c r="N12" i="2"/>
  <c r="AH12" i="2" s="1"/>
  <c r="G13" i="2"/>
  <c r="G18" i="2" s="1"/>
  <c r="J26" i="2"/>
  <c r="Y19" i="2"/>
  <c r="AH20" i="2"/>
  <c r="P80" i="2"/>
  <c r="AH37" i="2"/>
  <c r="AH38" i="2"/>
  <c r="AH44" i="2"/>
  <c r="M63" i="2"/>
  <c r="R63" i="2"/>
  <c r="AH56" i="2"/>
  <c r="AH57" i="2"/>
  <c r="N78" i="2"/>
  <c r="AH78" i="2" s="1"/>
  <c r="D95" i="2"/>
  <c r="H95" i="2"/>
  <c r="L95" i="2"/>
  <c r="AH105" i="2"/>
  <c r="N130" i="2"/>
  <c r="C186" i="2"/>
  <c r="AE186" i="2"/>
  <c r="AE188" i="2" s="1"/>
  <c r="D159" i="2"/>
  <c r="D186" i="2" s="1"/>
  <c r="W159" i="2"/>
  <c r="N163" i="2"/>
  <c r="W184" i="2"/>
  <c r="W185" i="2" s="1"/>
  <c r="AG184" i="2"/>
  <c r="AG185" i="2" s="1"/>
  <c r="U26" i="2"/>
  <c r="V26" i="2" s="1"/>
  <c r="V19" i="2"/>
  <c r="AD60" i="2"/>
  <c r="AD61" i="2" s="1"/>
  <c r="AC61" i="2"/>
  <c r="AC63" i="2" s="1"/>
  <c r="V74" i="2"/>
  <c r="V75" i="2" s="1"/>
  <c r="V76" i="2" s="1"/>
  <c r="AH143" i="2"/>
  <c r="AH150" i="2"/>
  <c r="N151" i="2"/>
  <c r="AH151" i="2" s="1"/>
  <c r="AH81" i="2"/>
  <c r="N82" i="2"/>
  <c r="AH91" i="2"/>
  <c r="N94" i="2"/>
  <c r="AH94" i="2" s="1"/>
  <c r="N99" i="2"/>
  <c r="AH96" i="2"/>
  <c r="AH178" i="2"/>
  <c r="N179" i="2"/>
  <c r="AD4" i="2"/>
  <c r="AC5" i="2" s="1"/>
  <c r="K18" i="2"/>
  <c r="AD17" i="2"/>
  <c r="AH27" i="2"/>
  <c r="AB80" i="2"/>
  <c r="Q80" i="2"/>
  <c r="Q123" i="2" s="1"/>
  <c r="AG80" i="2"/>
  <c r="AG123" i="2" s="1"/>
  <c r="AH118" i="2"/>
  <c r="AH175" i="2"/>
  <c r="N8" i="2"/>
  <c r="AH8" i="2" s="1"/>
  <c r="AH24" i="2"/>
  <c r="AD52" i="2"/>
  <c r="N45" i="2"/>
  <c r="T61" i="2"/>
  <c r="T63" i="2" s="1"/>
  <c r="O63" i="2"/>
  <c r="K69" i="2"/>
  <c r="K79" i="2" s="1"/>
  <c r="K80" i="2" s="1"/>
  <c r="N113" i="2"/>
  <c r="AH113" i="2" s="1"/>
  <c r="E159" i="2"/>
  <c r="I159" i="2"/>
  <c r="N146" i="2"/>
  <c r="N173" i="2"/>
  <c r="AH173" i="2" s="1"/>
  <c r="AH177" i="2"/>
  <c r="E184" i="2"/>
  <c r="E185" i="2" s="1"/>
  <c r="I184" i="2"/>
  <c r="I185" i="2" s="1"/>
  <c r="M184" i="2"/>
  <c r="M185" i="2" s="1"/>
  <c r="B13" i="2"/>
  <c r="B18" i="2" s="1"/>
  <c r="F13" i="2"/>
  <c r="F18" i="2" s="1"/>
  <c r="T32" i="2"/>
  <c r="T40" i="2" s="1"/>
  <c r="AH41" i="2"/>
  <c r="N60" i="2"/>
  <c r="M107" i="2"/>
  <c r="N107" i="2" s="1"/>
  <c r="AH107" i="2" s="1"/>
  <c r="N4" i="2"/>
  <c r="AH48" i="2"/>
  <c r="AH52" i="2" s="1"/>
  <c r="C166" i="1"/>
  <c r="F166" i="1" s="1"/>
  <c r="C442" i="1"/>
  <c r="F442" i="1" s="1"/>
  <c r="F443" i="1" s="1"/>
  <c r="O80" i="2" l="1"/>
  <c r="K186" i="2"/>
  <c r="J123" i="2"/>
  <c r="R80" i="2"/>
  <c r="R123" i="2" s="1"/>
  <c r="M69" i="2"/>
  <c r="F123" i="2"/>
  <c r="C26" i="2"/>
  <c r="E80" i="2"/>
  <c r="E123" i="2" s="1"/>
  <c r="T186" i="2"/>
  <c r="W186" i="2"/>
  <c r="W123" i="2"/>
  <c r="D123" i="2"/>
  <c r="E186" i="2"/>
  <c r="M186" i="2"/>
  <c r="N17" i="2"/>
  <c r="T26" i="2"/>
  <c r="U80" i="2"/>
  <c r="AG186" i="2"/>
  <c r="AB123" i="2"/>
  <c r="Z80" i="2"/>
  <c r="Z123" i="2" s="1"/>
  <c r="S79" i="2"/>
  <c r="AA123" i="2"/>
  <c r="I186" i="2"/>
  <c r="C123" i="2"/>
  <c r="M108" i="2"/>
  <c r="S80" i="2"/>
  <c r="S123" i="2" s="1"/>
  <c r="U123" i="2"/>
  <c r="AD186" i="2"/>
  <c r="J186" i="2"/>
  <c r="K123" i="2"/>
  <c r="AD40" i="2"/>
  <c r="N108" i="2"/>
  <c r="AH108" i="2" s="1"/>
  <c r="AH32" i="2"/>
  <c r="O123" i="2"/>
  <c r="G123" i="2"/>
  <c r="B186" i="2"/>
  <c r="F186" i="2"/>
  <c r="AC69" i="2"/>
  <c r="M79" i="2"/>
  <c r="M80" i="2" s="1"/>
  <c r="N69" i="2"/>
  <c r="AH99" i="2"/>
  <c r="N103" i="2"/>
  <c r="AH103" i="2" s="1"/>
  <c r="Y26" i="2"/>
  <c r="N95" i="2"/>
  <c r="AH82" i="2"/>
  <c r="AH95" i="2" s="1"/>
  <c r="X123" i="2"/>
  <c r="AH146" i="2"/>
  <c r="N152" i="2"/>
  <c r="M5" i="2"/>
  <c r="AH4" i="2"/>
  <c r="N184" i="2"/>
  <c r="AH179" i="2"/>
  <c r="AH76" i="2"/>
  <c r="V77" i="2"/>
  <c r="V78" i="2" s="1"/>
  <c r="V79" i="2" s="1"/>
  <c r="V80" i="2" s="1"/>
  <c r="V123" i="2" s="1"/>
  <c r="AH163" i="2"/>
  <c r="N170" i="2"/>
  <c r="P18" i="2"/>
  <c r="T13" i="2"/>
  <c r="B123" i="2"/>
  <c r="AH17" i="2"/>
  <c r="T19" i="2"/>
  <c r="T80" i="2"/>
  <c r="AD63" i="2"/>
  <c r="AH58" i="2"/>
  <c r="AH39" i="2"/>
  <c r="AH40" i="2" s="1"/>
  <c r="AH45" i="2"/>
  <c r="AH47" i="2" s="1"/>
  <c r="N47" i="2"/>
  <c r="AC13" i="2"/>
  <c r="AC19" i="2"/>
  <c r="AC26" i="2" s="1"/>
  <c r="AD5" i="2"/>
  <c r="AH60" i="2"/>
  <c r="AH61" i="2" s="1"/>
  <c r="N61" i="2"/>
  <c r="N63" i="2" s="1"/>
  <c r="N134" i="2"/>
  <c r="AH130" i="2"/>
  <c r="L123" i="2"/>
  <c r="AC196" i="3"/>
  <c r="AC195" i="3"/>
  <c r="AC194" i="3"/>
  <c r="AC193" i="3"/>
  <c r="AC192" i="3"/>
  <c r="AC191" i="3"/>
  <c r="AC190" i="3"/>
  <c r="AC189" i="3"/>
  <c r="AC188" i="3"/>
  <c r="AC187" i="3"/>
  <c r="AA4" i="3"/>
  <c r="Y78" i="3"/>
  <c r="Y72" i="3"/>
  <c r="Y66" i="3"/>
  <c r="Y68" i="3" s="1"/>
  <c r="Y61" i="3"/>
  <c r="Y58" i="3"/>
  <c r="Y52" i="3"/>
  <c r="Y45" i="3"/>
  <c r="Y47" i="3" s="1"/>
  <c r="Y39" i="3"/>
  <c r="Y32" i="3"/>
  <c r="Y26" i="3"/>
  <c r="Y17" i="3"/>
  <c r="Y13" i="3"/>
  <c r="AH17" i="3"/>
  <c r="AH78" i="3"/>
  <c r="AH72" i="3"/>
  <c r="AH66" i="3"/>
  <c r="AH68" i="3" s="1"/>
  <c r="AH61" i="3"/>
  <c r="AH58" i="3"/>
  <c r="AH52" i="3"/>
  <c r="AH45" i="3"/>
  <c r="AH47" i="3" s="1"/>
  <c r="AH39" i="3"/>
  <c r="AH32" i="3"/>
  <c r="AH26" i="3"/>
  <c r="AH13" i="3"/>
  <c r="AJ29" i="3"/>
  <c r="U29" i="3"/>
  <c r="AK168" i="3"/>
  <c r="V168" i="3"/>
  <c r="AJ169" i="3"/>
  <c r="AJ170" i="3" s="1"/>
  <c r="AF26" i="3"/>
  <c r="AF13" i="3"/>
  <c r="AF78" i="3"/>
  <c r="AF72" i="3"/>
  <c r="AF66" i="3"/>
  <c r="AF68" i="3" s="1"/>
  <c r="AF61" i="3"/>
  <c r="AF58" i="3"/>
  <c r="AF52" i="3"/>
  <c r="AF45" i="3"/>
  <c r="AF47" i="3" s="1"/>
  <c r="AF39" i="3"/>
  <c r="AF32" i="3"/>
  <c r="AF17" i="3"/>
  <c r="AI26" i="3"/>
  <c r="AI78" i="3"/>
  <c r="AI72" i="3"/>
  <c r="AI66" i="3"/>
  <c r="AI68" i="3" s="1"/>
  <c r="AI61" i="3"/>
  <c r="AI58" i="3"/>
  <c r="AI52" i="3"/>
  <c r="AI45" i="3"/>
  <c r="AI47" i="3" s="1"/>
  <c r="AI39" i="3"/>
  <c r="AI32" i="3"/>
  <c r="AI17" i="3"/>
  <c r="AI13" i="3"/>
  <c r="AH170" i="2" l="1"/>
  <c r="AH63" i="2"/>
  <c r="AF40" i="3"/>
  <c r="Y63" i="3"/>
  <c r="AI79" i="3"/>
  <c r="AH63" i="3"/>
  <c r="Y18" i="3"/>
  <c r="AH40" i="3"/>
  <c r="AH79" i="3"/>
  <c r="Y40" i="3"/>
  <c r="Y79" i="3"/>
  <c r="AH134" i="2"/>
  <c r="P123" i="2"/>
  <c r="T18" i="2"/>
  <c r="T123" i="2" s="1"/>
  <c r="AC79" i="2"/>
  <c r="AC80" i="2" s="1"/>
  <c r="AD69" i="2"/>
  <c r="AD79" i="2" s="1"/>
  <c r="AD80" i="2" s="1"/>
  <c r="N185" i="2"/>
  <c r="AH185" i="2" s="1"/>
  <c r="AH184" i="2"/>
  <c r="AH152" i="2"/>
  <c r="N159" i="2"/>
  <c r="AH159" i="2" s="1"/>
  <c r="AD19" i="2"/>
  <c r="AC18" i="2"/>
  <c r="AD13" i="2"/>
  <c r="M13" i="2"/>
  <c r="M18" i="2" s="1"/>
  <c r="N5" i="2"/>
  <c r="M19" i="2"/>
  <c r="AD26" i="2"/>
  <c r="Y123" i="2"/>
  <c r="N79" i="2"/>
  <c r="N80" i="2" s="1"/>
  <c r="AH18" i="3"/>
  <c r="AI18" i="3"/>
  <c r="AF18" i="3"/>
  <c r="AI40" i="3"/>
  <c r="AF63" i="3"/>
  <c r="AI63" i="3"/>
  <c r="AF79" i="3"/>
  <c r="AH69" i="2" l="1"/>
  <c r="AH79" i="2" s="1"/>
  <c r="AH80" i="2" s="1"/>
  <c r="AH80" i="3"/>
  <c r="AH123" i="3" s="1"/>
  <c r="Y80" i="3"/>
  <c r="Y123" i="3" s="1"/>
  <c r="AF80" i="3"/>
  <c r="AF123" i="3" s="1"/>
  <c r="AH5" i="2"/>
  <c r="N13" i="2"/>
  <c r="M26" i="2"/>
  <c r="M123" i="2" s="1"/>
  <c r="N19" i="2"/>
  <c r="AC123" i="2"/>
  <c r="AD18" i="2"/>
  <c r="N186" i="2"/>
  <c r="AH186" i="2" s="1"/>
  <c r="AI80" i="3"/>
  <c r="AI123" i="3" s="1"/>
  <c r="AC197" i="3"/>
  <c r="AB185" i="3"/>
  <c r="V183" i="3"/>
  <c r="AN183" i="3" s="1"/>
  <c r="V182" i="3"/>
  <c r="AN182" i="3" s="1"/>
  <c r="AM181" i="3"/>
  <c r="AL181" i="3"/>
  <c r="AK181" i="3"/>
  <c r="AC181" i="3"/>
  <c r="AB181" i="3"/>
  <c r="AA181" i="3"/>
  <c r="U181" i="3"/>
  <c r="S181" i="3"/>
  <c r="L181" i="3"/>
  <c r="K181" i="3"/>
  <c r="J181" i="3"/>
  <c r="D181" i="3"/>
  <c r="C181" i="3"/>
  <c r="B181" i="3"/>
  <c r="V180" i="3"/>
  <c r="AN180" i="3" s="1"/>
  <c r="AM179" i="3"/>
  <c r="AL179" i="3"/>
  <c r="AK179" i="3"/>
  <c r="AC179" i="3"/>
  <c r="AB179" i="3"/>
  <c r="AA179" i="3"/>
  <c r="U179" i="3"/>
  <c r="S179" i="3"/>
  <c r="L179" i="3"/>
  <c r="K179" i="3"/>
  <c r="J179" i="3"/>
  <c r="D179" i="3"/>
  <c r="C179" i="3"/>
  <c r="B179" i="3"/>
  <c r="V178" i="3"/>
  <c r="V179" i="3" s="1"/>
  <c r="AM177" i="3"/>
  <c r="AL177" i="3"/>
  <c r="AK177" i="3"/>
  <c r="AC177" i="3"/>
  <c r="AB177" i="3"/>
  <c r="AA177" i="3"/>
  <c r="V177" i="3"/>
  <c r="U177" i="3"/>
  <c r="S177" i="3"/>
  <c r="L177" i="3"/>
  <c r="K177" i="3"/>
  <c r="J177" i="3"/>
  <c r="D177" i="3"/>
  <c r="C177" i="3"/>
  <c r="B177" i="3"/>
  <c r="AN176" i="3"/>
  <c r="AM175" i="3"/>
  <c r="AL175" i="3"/>
  <c r="AK175" i="3"/>
  <c r="AC175" i="3"/>
  <c r="AB175" i="3"/>
  <c r="AA175" i="3"/>
  <c r="U175" i="3"/>
  <c r="S175" i="3"/>
  <c r="L175" i="3"/>
  <c r="K175" i="3"/>
  <c r="J175" i="3"/>
  <c r="D175" i="3"/>
  <c r="C175" i="3"/>
  <c r="B175" i="3"/>
  <c r="V174" i="3"/>
  <c r="AN174" i="3" s="1"/>
  <c r="AM173" i="3"/>
  <c r="AL173" i="3"/>
  <c r="AK173" i="3"/>
  <c r="AC173" i="3"/>
  <c r="AB173" i="3"/>
  <c r="AA173" i="3"/>
  <c r="U173" i="3"/>
  <c r="S173" i="3"/>
  <c r="L173" i="3"/>
  <c r="K173" i="3"/>
  <c r="J173" i="3"/>
  <c r="D173" i="3"/>
  <c r="C173" i="3"/>
  <c r="B173" i="3"/>
  <c r="V172" i="3"/>
  <c r="AN172" i="3" s="1"/>
  <c r="V171" i="3"/>
  <c r="AM169" i="3"/>
  <c r="AL169" i="3"/>
  <c r="AK169" i="3"/>
  <c r="AC169" i="3"/>
  <c r="AB169" i="3"/>
  <c r="AA169" i="3"/>
  <c r="V169" i="3"/>
  <c r="U169" i="3"/>
  <c r="S169" i="3"/>
  <c r="L169" i="3"/>
  <c r="K169" i="3"/>
  <c r="J169" i="3"/>
  <c r="D169" i="3"/>
  <c r="C169" i="3"/>
  <c r="B169" i="3"/>
  <c r="AN168" i="3"/>
  <c r="V167" i="3"/>
  <c r="AN166" i="3"/>
  <c r="AN164" i="3"/>
  <c r="AM163" i="3"/>
  <c r="AL163" i="3"/>
  <c r="AK163" i="3"/>
  <c r="AC163" i="3"/>
  <c r="AB163" i="3"/>
  <c r="AA163" i="3"/>
  <c r="U163" i="3"/>
  <c r="U170" i="3" s="1"/>
  <c r="S163" i="3"/>
  <c r="L163" i="3"/>
  <c r="K163" i="3"/>
  <c r="J163" i="3"/>
  <c r="J170" i="3" s="1"/>
  <c r="D163" i="3"/>
  <c r="C163" i="3"/>
  <c r="B163" i="3"/>
  <c r="AN162" i="3"/>
  <c r="AN160" i="3"/>
  <c r="AM158" i="3"/>
  <c r="AL158" i="3"/>
  <c r="AK158" i="3"/>
  <c r="AC158" i="3"/>
  <c r="AB158" i="3"/>
  <c r="AA158" i="3"/>
  <c r="U158" i="3"/>
  <c r="S158" i="3"/>
  <c r="L158" i="3"/>
  <c r="K158" i="3"/>
  <c r="J158" i="3"/>
  <c r="D158" i="3"/>
  <c r="C158" i="3"/>
  <c r="B158" i="3"/>
  <c r="V157" i="3"/>
  <c r="AN157" i="3" s="1"/>
  <c r="V156" i="3"/>
  <c r="AN156" i="3" s="1"/>
  <c r="V155" i="3"/>
  <c r="AN155" i="3" s="1"/>
  <c r="V154" i="3"/>
  <c r="AN154" i="3" s="1"/>
  <c r="V153" i="3"/>
  <c r="AN153" i="3" s="1"/>
  <c r="AM151" i="3"/>
  <c r="AL151" i="3"/>
  <c r="AK151" i="3"/>
  <c r="AC151" i="3"/>
  <c r="AB151" i="3"/>
  <c r="AA151" i="3"/>
  <c r="U151" i="3"/>
  <c r="S151" i="3"/>
  <c r="L151" i="3"/>
  <c r="K151" i="3"/>
  <c r="J151" i="3"/>
  <c r="D151" i="3"/>
  <c r="C151" i="3"/>
  <c r="B151" i="3"/>
  <c r="V150" i="3"/>
  <c r="AN150" i="3" s="1"/>
  <c r="AM149" i="3"/>
  <c r="AL149" i="3"/>
  <c r="AK149" i="3"/>
  <c r="AC149" i="3"/>
  <c r="AB149" i="3"/>
  <c r="AA149" i="3"/>
  <c r="U149" i="3"/>
  <c r="S149" i="3"/>
  <c r="L149" i="3"/>
  <c r="K149" i="3"/>
  <c r="J149" i="3"/>
  <c r="D149" i="3"/>
  <c r="C149" i="3"/>
  <c r="B149" i="3"/>
  <c r="V148" i="3"/>
  <c r="AN148" i="3" s="1"/>
  <c r="V147" i="3"/>
  <c r="AM146" i="3"/>
  <c r="AL146" i="3"/>
  <c r="AK146" i="3"/>
  <c r="AC146" i="3"/>
  <c r="AB146" i="3"/>
  <c r="AA146" i="3"/>
  <c r="U146" i="3"/>
  <c r="S146" i="3"/>
  <c r="L146" i="3"/>
  <c r="K146" i="3"/>
  <c r="J146" i="3"/>
  <c r="D146" i="3"/>
  <c r="C146" i="3"/>
  <c r="B146" i="3"/>
  <c r="V145" i="3"/>
  <c r="AN145" i="3" s="1"/>
  <c r="V144" i="3"/>
  <c r="AN144" i="3" s="1"/>
  <c r="AM143" i="3"/>
  <c r="AL143" i="3"/>
  <c r="AK143" i="3"/>
  <c r="AC143" i="3"/>
  <c r="AB143" i="3"/>
  <c r="AA143" i="3"/>
  <c r="U143" i="3"/>
  <c r="S143" i="3"/>
  <c r="L143" i="3"/>
  <c r="K143" i="3"/>
  <c r="J143" i="3"/>
  <c r="D143" i="3"/>
  <c r="C143" i="3"/>
  <c r="B143" i="3"/>
  <c r="V142" i="3"/>
  <c r="AN142" i="3" s="1"/>
  <c r="V141" i="3"/>
  <c r="V139" i="3"/>
  <c r="AN139" i="3" s="1"/>
  <c r="AM138" i="3"/>
  <c r="AM140" i="3" s="1"/>
  <c r="AL138" i="3"/>
  <c r="AL140" i="3" s="1"/>
  <c r="AK138" i="3"/>
  <c r="AK140" i="3" s="1"/>
  <c r="AC138" i="3"/>
  <c r="AC140" i="3" s="1"/>
  <c r="AB138" i="3"/>
  <c r="AB140" i="3" s="1"/>
  <c r="AA138" i="3"/>
  <c r="AA140" i="3" s="1"/>
  <c r="U138" i="3"/>
  <c r="U140" i="3" s="1"/>
  <c r="S138" i="3"/>
  <c r="S140" i="3" s="1"/>
  <c r="L138" i="3"/>
  <c r="L140" i="3" s="1"/>
  <c r="K138" i="3"/>
  <c r="K140" i="3" s="1"/>
  <c r="J138" i="3"/>
  <c r="J140" i="3" s="1"/>
  <c r="D138" i="3"/>
  <c r="D140" i="3" s="1"/>
  <c r="C138" i="3"/>
  <c r="C140" i="3" s="1"/>
  <c r="B138" i="3"/>
  <c r="B140" i="3" s="1"/>
  <c r="V137" i="3"/>
  <c r="AN137" i="3" s="1"/>
  <c r="V136" i="3"/>
  <c r="AN136" i="3" s="1"/>
  <c r="V135" i="3"/>
  <c r="AN135" i="3" s="1"/>
  <c r="V133" i="3"/>
  <c r="AN133" i="3" s="1"/>
  <c r="AM132" i="3"/>
  <c r="AL132" i="3"/>
  <c r="AK132" i="3"/>
  <c r="AC132" i="3"/>
  <c r="AB132" i="3"/>
  <c r="AA132" i="3"/>
  <c r="U132" i="3"/>
  <c r="S132" i="3"/>
  <c r="L132" i="3"/>
  <c r="K132" i="3"/>
  <c r="J132" i="3"/>
  <c r="D132" i="3"/>
  <c r="C132" i="3"/>
  <c r="B132" i="3"/>
  <c r="V131" i="3"/>
  <c r="AN131" i="3" s="1"/>
  <c r="AM130" i="3"/>
  <c r="AL130" i="3"/>
  <c r="AK130" i="3"/>
  <c r="AC130" i="3"/>
  <c r="AB130" i="3"/>
  <c r="AA130" i="3"/>
  <c r="U130" i="3"/>
  <c r="S130" i="3"/>
  <c r="L130" i="3"/>
  <c r="K130" i="3"/>
  <c r="J130" i="3"/>
  <c r="D130" i="3"/>
  <c r="C130" i="3"/>
  <c r="B130" i="3"/>
  <c r="V129" i="3"/>
  <c r="AN129" i="3" s="1"/>
  <c r="V128" i="3"/>
  <c r="AN128" i="3" s="1"/>
  <c r="V127" i="3"/>
  <c r="AN127" i="3" s="1"/>
  <c r="V126" i="3"/>
  <c r="AN126" i="3" s="1"/>
  <c r="V125" i="3"/>
  <c r="AN125" i="3" s="1"/>
  <c r="V124" i="3"/>
  <c r="V120" i="3"/>
  <c r="AN120" i="3" s="1"/>
  <c r="V119" i="3"/>
  <c r="AN119" i="3" s="1"/>
  <c r="AM118" i="3"/>
  <c r="AM121" i="3" s="1"/>
  <c r="AM122" i="3" s="1"/>
  <c r="AL118" i="3"/>
  <c r="AL121" i="3" s="1"/>
  <c r="AL122" i="3" s="1"/>
  <c r="AK118" i="3"/>
  <c r="AK121" i="3" s="1"/>
  <c r="AK122" i="3" s="1"/>
  <c r="AC118" i="3"/>
  <c r="AB118" i="3"/>
  <c r="AB121" i="3" s="1"/>
  <c r="AB122" i="3" s="1"/>
  <c r="AA118" i="3"/>
  <c r="AA121" i="3" s="1"/>
  <c r="AA122" i="3" s="1"/>
  <c r="U118" i="3"/>
  <c r="U121" i="3" s="1"/>
  <c r="U122" i="3" s="1"/>
  <c r="S118" i="3"/>
  <c r="S121" i="3" s="1"/>
  <c r="S122" i="3" s="1"/>
  <c r="L118" i="3"/>
  <c r="L121" i="3" s="1"/>
  <c r="L122" i="3" s="1"/>
  <c r="K118" i="3"/>
  <c r="K121" i="3" s="1"/>
  <c r="K122" i="3" s="1"/>
  <c r="J118" i="3"/>
  <c r="J121" i="3" s="1"/>
  <c r="J122" i="3" s="1"/>
  <c r="D118" i="3"/>
  <c r="D121" i="3" s="1"/>
  <c r="D122" i="3" s="1"/>
  <c r="C118" i="3"/>
  <c r="C121" i="3" s="1"/>
  <c r="C122" i="3" s="1"/>
  <c r="B118" i="3"/>
  <c r="B121" i="3" s="1"/>
  <c r="B122" i="3" s="1"/>
  <c r="V117" i="3"/>
  <c r="AN117" i="3" s="1"/>
  <c r="AM116" i="3"/>
  <c r="AL116" i="3"/>
  <c r="AK116" i="3"/>
  <c r="AC116" i="3"/>
  <c r="AB116" i="3"/>
  <c r="AA116" i="3"/>
  <c r="U116" i="3"/>
  <c r="S116" i="3"/>
  <c r="L116" i="3"/>
  <c r="K116" i="3"/>
  <c r="J116" i="3"/>
  <c r="D116" i="3"/>
  <c r="C116" i="3"/>
  <c r="B116" i="3"/>
  <c r="V115" i="3"/>
  <c r="AN115" i="3" s="1"/>
  <c r="V114" i="3"/>
  <c r="AM113" i="3"/>
  <c r="AL113" i="3"/>
  <c r="AJ113" i="3"/>
  <c r="AC113" i="3"/>
  <c r="AB113" i="3"/>
  <c r="AA113" i="3"/>
  <c r="U113" i="3"/>
  <c r="S113" i="3"/>
  <c r="L113" i="3"/>
  <c r="K113" i="3"/>
  <c r="J113" i="3"/>
  <c r="D113" i="3"/>
  <c r="C113" i="3"/>
  <c r="B113" i="3"/>
  <c r="AK112" i="3"/>
  <c r="V112" i="3"/>
  <c r="AK111" i="3"/>
  <c r="V111" i="3"/>
  <c r="AK110" i="3"/>
  <c r="V110" i="3"/>
  <c r="AK109" i="3"/>
  <c r="V109" i="3"/>
  <c r="AM108" i="3"/>
  <c r="AL108" i="3"/>
  <c r="AK108" i="3"/>
  <c r="AC108" i="3"/>
  <c r="AB108" i="3"/>
  <c r="AA108" i="3"/>
  <c r="U108" i="3"/>
  <c r="S108" i="3"/>
  <c r="L108" i="3"/>
  <c r="K108" i="3"/>
  <c r="J108" i="3"/>
  <c r="D108" i="3"/>
  <c r="C108" i="3"/>
  <c r="B108" i="3"/>
  <c r="V107" i="3"/>
  <c r="AN107" i="3" s="1"/>
  <c r="V106" i="3"/>
  <c r="AN106" i="3" s="1"/>
  <c r="V105" i="3"/>
  <c r="AN105" i="3" s="1"/>
  <c r="V104" i="3"/>
  <c r="AN104" i="3" s="1"/>
  <c r="V102" i="3"/>
  <c r="AN102" i="3" s="1"/>
  <c r="V101" i="3"/>
  <c r="AN101" i="3" s="1"/>
  <c r="V100" i="3"/>
  <c r="AN100" i="3" s="1"/>
  <c r="AM99" i="3"/>
  <c r="AM103" i="3" s="1"/>
  <c r="AL99" i="3"/>
  <c r="AL103" i="3" s="1"/>
  <c r="AK99" i="3"/>
  <c r="AK103" i="3" s="1"/>
  <c r="AC99" i="3"/>
  <c r="AC103" i="3" s="1"/>
  <c r="AB99" i="3"/>
  <c r="AB103" i="3" s="1"/>
  <c r="AA99" i="3"/>
  <c r="AA103" i="3" s="1"/>
  <c r="U99" i="3"/>
  <c r="U103" i="3" s="1"/>
  <c r="S99" i="3"/>
  <c r="S103" i="3" s="1"/>
  <c r="L99" i="3"/>
  <c r="L103" i="3" s="1"/>
  <c r="K99" i="3"/>
  <c r="K103" i="3" s="1"/>
  <c r="J99" i="3"/>
  <c r="J103" i="3" s="1"/>
  <c r="D99" i="3"/>
  <c r="D103" i="3" s="1"/>
  <c r="C99" i="3"/>
  <c r="C103" i="3" s="1"/>
  <c r="B99" i="3"/>
  <c r="B103" i="3" s="1"/>
  <c r="V98" i="3"/>
  <c r="AN97" i="3"/>
  <c r="V96" i="3"/>
  <c r="AN96" i="3" s="1"/>
  <c r="AM94" i="3"/>
  <c r="AL94" i="3"/>
  <c r="AK94" i="3"/>
  <c r="AC94" i="3"/>
  <c r="AB94" i="3"/>
  <c r="AA94" i="3"/>
  <c r="U94" i="3"/>
  <c r="S94" i="3"/>
  <c r="L94" i="3"/>
  <c r="K94" i="3"/>
  <c r="J94" i="3"/>
  <c r="D94" i="3"/>
  <c r="C94" i="3"/>
  <c r="B94" i="3"/>
  <c r="V93" i="3"/>
  <c r="AN93" i="3" s="1"/>
  <c r="V92" i="3"/>
  <c r="AN92" i="3" s="1"/>
  <c r="V91" i="3"/>
  <c r="AN91" i="3" s="1"/>
  <c r="AM90" i="3"/>
  <c r="AL90" i="3"/>
  <c r="AK90" i="3"/>
  <c r="AC90" i="3"/>
  <c r="AB90" i="3"/>
  <c r="AA90" i="3"/>
  <c r="U90" i="3"/>
  <c r="S90" i="3"/>
  <c r="L90" i="3"/>
  <c r="K90" i="3"/>
  <c r="J90" i="3"/>
  <c r="D90" i="3"/>
  <c r="C90" i="3"/>
  <c r="B90" i="3"/>
  <c r="V89" i="3"/>
  <c r="V90" i="3" s="1"/>
  <c r="AK88" i="3"/>
  <c r="AC88" i="3"/>
  <c r="AB88" i="3"/>
  <c r="AA88" i="3"/>
  <c r="U88" i="3"/>
  <c r="S88" i="3"/>
  <c r="L88" i="3"/>
  <c r="K88" i="3"/>
  <c r="J88" i="3"/>
  <c r="D88" i="3"/>
  <c r="C88" i="3"/>
  <c r="B88" i="3"/>
  <c r="V87" i="3"/>
  <c r="V88" i="3" s="1"/>
  <c r="AK86" i="3"/>
  <c r="AC86" i="3"/>
  <c r="AB86" i="3"/>
  <c r="AA86" i="3"/>
  <c r="U86" i="3"/>
  <c r="S86" i="3"/>
  <c r="L86" i="3"/>
  <c r="K86" i="3"/>
  <c r="J86" i="3"/>
  <c r="D86" i="3"/>
  <c r="C86" i="3"/>
  <c r="B86" i="3"/>
  <c r="V85" i="3"/>
  <c r="V86" i="3" s="1"/>
  <c r="AK84" i="3"/>
  <c r="AC84" i="3"/>
  <c r="AB84" i="3"/>
  <c r="AA84" i="3"/>
  <c r="U84" i="3"/>
  <c r="S84" i="3"/>
  <c r="L84" i="3"/>
  <c r="K84" i="3"/>
  <c r="J84" i="3"/>
  <c r="D84" i="3"/>
  <c r="C84" i="3"/>
  <c r="B84" i="3"/>
  <c r="V83" i="3"/>
  <c r="AN83" i="3" s="1"/>
  <c r="AL82" i="3"/>
  <c r="AK82" i="3"/>
  <c r="AC82" i="3"/>
  <c r="AB82" i="3"/>
  <c r="AA82" i="3"/>
  <c r="U82" i="3"/>
  <c r="S82" i="3"/>
  <c r="L82" i="3"/>
  <c r="K82" i="3"/>
  <c r="J82" i="3"/>
  <c r="D82" i="3"/>
  <c r="C82" i="3"/>
  <c r="B82" i="3"/>
  <c r="V81" i="3"/>
  <c r="V82" i="3" s="1"/>
  <c r="AM78" i="3"/>
  <c r="AM79" i="3" s="1"/>
  <c r="AL78" i="3"/>
  <c r="AL79" i="3" s="1"/>
  <c r="AJ78" i="3"/>
  <c r="AG78" i="3"/>
  <c r="AE78" i="3"/>
  <c r="AD78" i="3"/>
  <c r="AC78" i="3"/>
  <c r="AC79" i="3" s="1"/>
  <c r="AB78" i="3"/>
  <c r="Z78" i="3"/>
  <c r="X78" i="3"/>
  <c r="W78" i="3"/>
  <c r="U78" i="3"/>
  <c r="T78" i="3"/>
  <c r="S78" i="3"/>
  <c r="P78" i="3"/>
  <c r="M78" i="3"/>
  <c r="L78" i="3"/>
  <c r="K78" i="3"/>
  <c r="J78" i="3"/>
  <c r="I78" i="3"/>
  <c r="G78" i="3"/>
  <c r="F78" i="3"/>
  <c r="E78" i="3"/>
  <c r="D78" i="3"/>
  <c r="C78" i="3"/>
  <c r="B78" i="3"/>
  <c r="AK77" i="3"/>
  <c r="AA77" i="3"/>
  <c r="V77" i="3"/>
  <c r="AK76" i="3"/>
  <c r="AA76" i="3"/>
  <c r="V76" i="3"/>
  <c r="AK75" i="3"/>
  <c r="AA75" i="3"/>
  <c r="V75" i="3"/>
  <c r="AK74" i="3"/>
  <c r="AA74" i="3"/>
  <c r="V74" i="3"/>
  <c r="AK73" i="3"/>
  <c r="AA73" i="3"/>
  <c r="V73" i="3"/>
  <c r="AM72" i="3"/>
  <c r="AL72" i="3"/>
  <c r="AJ72" i="3"/>
  <c r="AG72" i="3"/>
  <c r="AE72" i="3"/>
  <c r="AD72" i="3"/>
  <c r="AC72" i="3"/>
  <c r="AB72" i="3"/>
  <c r="Z72" i="3"/>
  <c r="X72" i="3"/>
  <c r="W72" i="3"/>
  <c r="U72" i="3"/>
  <c r="T72" i="3"/>
  <c r="S72" i="3"/>
  <c r="P72" i="3"/>
  <c r="M72" i="3"/>
  <c r="L72" i="3"/>
  <c r="K72" i="3"/>
  <c r="J72" i="3"/>
  <c r="I72" i="3"/>
  <c r="G72" i="3"/>
  <c r="F72" i="3"/>
  <c r="E72" i="3"/>
  <c r="D72" i="3"/>
  <c r="C72" i="3"/>
  <c r="B72" i="3"/>
  <c r="AK71" i="3"/>
  <c r="AA71" i="3"/>
  <c r="V71" i="3"/>
  <c r="AK70" i="3"/>
  <c r="AA70" i="3"/>
  <c r="V70" i="3"/>
  <c r="AA69" i="3"/>
  <c r="AK67" i="3"/>
  <c r="AA67" i="3"/>
  <c r="V67" i="3"/>
  <c r="AM66" i="3"/>
  <c r="AM68" i="3" s="1"/>
  <c r="AL66" i="3"/>
  <c r="AL68" i="3" s="1"/>
  <c r="AJ66" i="3"/>
  <c r="AJ68" i="3" s="1"/>
  <c r="AG66" i="3"/>
  <c r="AG68" i="3" s="1"/>
  <c r="AE66" i="3"/>
  <c r="AE68" i="3" s="1"/>
  <c r="AD66" i="3"/>
  <c r="AD68" i="3" s="1"/>
  <c r="AC66" i="3"/>
  <c r="AC68" i="3" s="1"/>
  <c r="AB66" i="3"/>
  <c r="AB68" i="3" s="1"/>
  <c r="Z66" i="3"/>
  <c r="Z68" i="3" s="1"/>
  <c r="X66" i="3"/>
  <c r="X68" i="3" s="1"/>
  <c r="W66" i="3"/>
  <c r="W68" i="3" s="1"/>
  <c r="U66" i="3"/>
  <c r="U68" i="3" s="1"/>
  <c r="T66" i="3"/>
  <c r="T68" i="3" s="1"/>
  <c r="S66" i="3"/>
  <c r="S68" i="3" s="1"/>
  <c r="P66" i="3"/>
  <c r="P68" i="3" s="1"/>
  <c r="M66" i="3"/>
  <c r="M68" i="3" s="1"/>
  <c r="L66" i="3"/>
  <c r="L68" i="3" s="1"/>
  <c r="K66" i="3"/>
  <c r="K68" i="3" s="1"/>
  <c r="J66" i="3"/>
  <c r="J68" i="3" s="1"/>
  <c r="I66" i="3"/>
  <c r="I68" i="3" s="1"/>
  <c r="G66" i="3"/>
  <c r="G68" i="3" s="1"/>
  <c r="F66" i="3"/>
  <c r="F68" i="3" s="1"/>
  <c r="E66" i="3"/>
  <c r="E68" i="3" s="1"/>
  <c r="D66" i="3"/>
  <c r="D68" i="3" s="1"/>
  <c r="C66" i="3"/>
  <c r="C68" i="3" s="1"/>
  <c r="B66" i="3"/>
  <c r="AK65" i="3"/>
  <c r="AA65" i="3"/>
  <c r="V65" i="3"/>
  <c r="AK64" i="3"/>
  <c r="AA64" i="3"/>
  <c r="V64" i="3"/>
  <c r="AK62" i="3"/>
  <c r="AA62" i="3"/>
  <c r="V62" i="3"/>
  <c r="AM61" i="3"/>
  <c r="AL61" i="3"/>
  <c r="AJ61" i="3"/>
  <c r="AG61" i="3"/>
  <c r="AE61" i="3"/>
  <c r="AD61" i="3"/>
  <c r="AC61" i="3"/>
  <c r="AB61" i="3"/>
  <c r="Z61" i="3"/>
  <c r="X61" i="3"/>
  <c r="W61" i="3"/>
  <c r="U61" i="3"/>
  <c r="T61" i="3"/>
  <c r="S61" i="3"/>
  <c r="P61" i="3"/>
  <c r="M61" i="3"/>
  <c r="L61" i="3"/>
  <c r="K61" i="3"/>
  <c r="J61" i="3"/>
  <c r="I61" i="3"/>
  <c r="G61" i="3"/>
  <c r="F61" i="3"/>
  <c r="E61" i="3"/>
  <c r="D61" i="3"/>
  <c r="C61" i="3"/>
  <c r="B61" i="3"/>
  <c r="AK60" i="3"/>
  <c r="AA60" i="3"/>
  <c r="V60" i="3"/>
  <c r="AK59" i="3"/>
  <c r="AA59" i="3"/>
  <c r="V59" i="3"/>
  <c r="AM58" i="3"/>
  <c r="AL58" i="3"/>
  <c r="AJ58" i="3"/>
  <c r="AG58" i="3"/>
  <c r="AE58" i="3"/>
  <c r="AD58" i="3"/>
  <c r="AC58" i="3"/>
  <c r="AB58" i="3"/>
  <c r="AB161" i="3" s="1"/>
  <c r="AB165" i="3" s="1"/>
  <c r="AN165" i="3" s="1"/>
  <c r="Z58" i="3"/>
  <c r="X58" i="3"/>
  <c r="W58" i="3"/>
  <c r="U58" i="3"/>
  <c r="T58" i="3"/>
  <c r="S58" i="3"/>
  <c r="P58" i="3"/>
  <c r="M58" i="3"/>
  <c r="L58" i="3"/>
  <c r="K58" i="3"/>
  <c r="J58" i="3"/>
  <c r="I58" i="3"/>
  <c r="G58" i="3"/>
  <c r="F58" i="3"/>
  <c r="E58" i="3"/>
  <c r="D58" i="3"/>
  <c r="C58" i="3"/>
  <c r="B58" i="3"/>
  <c r="AK57" i="3"/>
  <c r="AA57" i="3"/>
  <c r="V57" i="3"/>
  <c r="AK56" i="3"/>
  <c r="AA56" i="3"/>
  <c r="V56" i="3"/>
  <c r="AK55" i="3"/>
  <c r="AA55" i="3"/>
  <c r="V55" i="3"/>
  <c r="AK54" i="3"/>
  <c r="AA54" i="3"/>
  <c r="V54" i="3"/>
  <c r="AK53" i="3"/>
  <c r="AA53" i="3"/>
  <c r="V53" i="3"/>
  <c r="AM52" i="3"/>
  <c r="AL52" i="3"/>
  <c r="AJ52" i="3"/>
  <c r="AG52" i="3"/>
  <c r="AE52" i="3"/>
  <c r="AD52" i="3"/>
  <c r="AC52" i="3"/>
  <c r="AB52" i="3"/>
  <c r="Z52" i="3"/>
  <c r="X52" i="3"/>
  <c r="W52" i="3"/>
  <c r="U52" i="3"/>
  <c r="T52" i="3"/>
  <c r="S52" i="3"/>
  <c r="P52" i="3"/>
  <c r="M52" i="3"/>
  <c r="L52" i="3"/>
  <c r="K52" i="3"/>
  <c r="J52" i="3"/>
  <c r="I52" i="3"/>
  <c r="G52" i="3"/>
  <c r="F52" i="3"/>
  <c r="E52" i="3"/>
  <c r="D52" i="3"/>
  <c r="C52" i="3"/>
  <c r="B52" i="3"/>
  <c r="AK51" i="3"/>
  <c r="AA51" i="3"/>
  <c r="V51" i="3"/>
  <c r="AK50" i="3"/>
  <c r="AA50" i="3"/>
  <c r="V50" i="3"/>
  <c r="AK49" i="3"/>
  <c r="AA49" i="3"/>
  <c r="V49" i="3"/>
  <c r="AK48" i="3"/>
  <c r="AA48" i="3"/>
  <c r="V48" i="3"/>
  <c r="AK46" i="3"/>
  <c r="AA46" i="3"/>
  <c r="V46" i="3"/>
  <c r="AM45" i="3"/>
  <c r="AM47" i="3" s="1"/>
  <c r="AL45" i="3"/>
  <c r="AL47" i="3" s="1"/>
  <c r="AJ45" i="3"/>
  <c r="AJ47" i="3" s="1"/>
  <c r="AG45" i="3"/>
  <c r="AG47" i="3" s="1"/>
  <c r="AE45" i="3"/>
  <c r="AE47" i="3" s="1"/>
  <c r="AD45" i="3"/>
  <c r="AD47" i="3" s="1"/>
  <c r="AC45" i="3"/>
  <c r="AC47" i="3" s="1"/>
  <c r="AB45" i="3"/>
  <c r="AB47" i="3" s="1"/>
  <c r="Z45" i="3"/>
  <c r="Z47" i="3" s="1"/>
  <c r="X45" i="3"/>
  <c r="X47" i="3" s="1"/>
  <c r="W45" i="3"/>
  <c r="W47" i="3" s="1"/>
  <c r="U45" i="3"/>
  <c r="U47" i="3" s="1"/>
  <c r="T45" i="3"/>
  <c r="T47" i="3" s="1"/>
  <c r="S45" i="3"/>
  <c r="S47" i="3" s="1"/>
  <c r="P45" i="3"/>
  <c r="P47" i="3" s="1"/>
  <c r="M45" i="3"/>
  <c r="M47" i="3" s="1"/>
  <c r="L45" i="3"/>
  <c r="L47" i="3" s="1"/>
  <c r="K45" i="3"/>
  <c r="K47" i="3" s="1"/>
  <c r="J45" i="3"/>
  <c r="J47" i="3" s="1"/>
  <c r="I45" i="3"/>
  <c r="I47" i="3" s="1"/>
  <c r="G45" i="3"/>
  <c r="G47" i="3" s="1"/>
  <c r="F45" i="3"/>
  <c r="F47" i="3" s="1"/>
  <c r="E45" i="3"/>
  <c r="E47" i="3" s="1"/>
  <c r="D45" i="3"/>
  <c r="D47" i="3" s="1"/>
  <c r="C45" i="3"/>
  <c r="C47" i="3" s="1"/>
  <c r="B45" i="3"/>
  <c r="B47" i="3" s="1"/>
  <c r="AK44" i="3"/>
  <c r="AA44" i="3"/>
  <c r="V44" i="3"/>
  <c r="AK43" i="3"/>
  <c r="AA43" i="3"/>
  <c r="V43" i="3"/>
  <c r="AK42" i="3"/>
  <c r="AA42" i="3"/>
  <c r="V42" i="3"/>
  <c r="AK41" i="3"/>
  <c r="AA41" i="3"/>
  <c r="V41" i="3"/>
  <c r="AM39" i="3"/>
  <c r="AL39" i="3"/>
  <c r="AJ39" i="3"/>
  <c r="AG39" i="3"/>
  <c r="AE39" i="3"/>
  <c r="AD39" i="3"/>
  <c r="AC39" i="3"/>
  <c r="AB39" i="3"/>
  <c r="Z39" i="3"/>
  <c r="X39" i="3"/>
  <c r="W39" i="3"/>
  <c r="U39" i="3"/>
  <c r="T39" i="3"/>
  <c r="S39" i="3"/>
  <c r="P39" i="3"/>
  <c r="M39" i="3"/>
  <c r="L39" i="3"/>
  <c r="K39" i="3"/>
  <c r="J39" i="3"/>
  <c r="I39" i="3"/>
  <c r="G39" i="3"/>
  <c r="F39" i="3"/>
  <c r="E39" i="3"/>
  <c r="D39" i="3"/>
  <c r="C39" i="3"/>
  <c r="B39" i="3"/>
  <c r="AK38" i="3"/>
  <c r="AA38" i="3"/>
  <c r="V38" i="3"/>
  <c r="AK37" i="3"/>
  <c r="AA37" i="3"/>
  <c r="V37" i="3"/>
  <c r="AK36" i="3"/>
  <c r="AA36" i="3"/>
  <c r="V36" i="3"/>
  <c r="AK35" i="3"/>
  <c r="AA35" i="3"/>
  <c r="V35" i="3"/>
  <c r="AK34" i="3"/>
  <c r="AA34" i="3"/>
  <c r="V34" i="3"/>
  <c r="AK33" i="3"/>
  <c r="AA33" i="3"/>
  <c r="V33" i="3"/>
  <c r="AM32" i="3"/>
  <c r="AM40" i="3" s="1"/>
  <c r="AL32" i="3"/>
  <c r="AJ32" i="3"/>
  <c r="AG32" i="3"/>
  <c r="AE32" i="3"/>
  <c r="AD32" i="3"/>
  <c r="AC32" i="3"/>
  <c r="AB32" i="3"/>
  <c r="Z32" i="3"/>
  <c r="X32" i="3"/>
  <c r="W32" i="3"/>
  <c r="W40" i="3" s="1"/>
  <c r="U32" i="3"/>
  <c r="T32" i="3"/>
  <c r="S32" i="3"/>
  <c r="P32" i="3"/>
  <c r="P40" i="3" s="1"/>
  <c r="M32" i="3"/>
  <c r="L32" i="3"/>
  <c r="K32" i="3"/>
  <c r="J32" i="3"/>
  <c r="I32" i="3"/>
  <c r="G32" i="3"/>
  <c r="F32" i="3"/>
  <c r="E32" i="3"/>
  <c r="D32" i="3"/>
  <c r="C32" i="3"/>
  <c r="B32" i="3"/>
  <c r="AK31" i="3"/>
  <c r="AA31" i="3"/>
  <c r="V31" i="3"/>
  <c r="AK30" i="3"/>
  <c r="AA30" i="3"/>
  <c r="V30" i="3"/>
  <c r="AK29" i="3"/>
  <c r="AA29" i="3"/>
  <c r="V29" i="3"/>
  <c r="AK28" i="3"/>
  <c r="AA28" i="3"/>
  <c r="V28" i="3"/>
  <c r="AK27" i="3"/>
  <c r="AA27" i="3"/>
  <c r="V27" i="3"/>
  <c r="AM26" i="3"/>
  <c r="AL26" i="3"/>
  <c r="AG26" i="3"/>
  <c r="AE26" i="3"/>
  <c r="AD26" i="3"/>
  <c r="AC26" i="3"/>
  <c r="AB26" i="3"/>
  <c r="Z26" i="3"/>
  <c r="X26" i="3"/>
  <c r="W26" i="3"/>
  <c r="T26" i="3"/>
  <c r="S26" i="3"/>
  <c r="P26" i="3"/>
  <c r="M26" i="3"/>
  <c r="L26" i="3"/>
  <c r="K26" i="3"/>
  <c r="J26" i="3"/>
  <c r="I26" i="3"/>
  <c r="G26" i="3"/>
  <c r="F26" i="3"/>
  <c r="E26" i="3"/>
  <c r="D26" i="3"/>
  <c r="C26" i="3"/>
  <c r="B26" i="3"/>
  <c r="AK25" i="3"/>
  <c r="V25" i="3"/>
  <c r="AK24" i="3"/>
  <c r="V24" i="3"/>
  <c r="AK23" i="3"/>
  <c r="V23" i="3"/>
  <c r="AK22" i="3"/>
  <c r="V22" i="3"/>
  <c r="AK21" i="3"/>
  <c r="V21" i="3"/>
  <c r="AK20" i="3"/>
  <c r="V20" i="3"/>
  <c r="AA19" i="3"/>
  <c r="AM17" i="3"/>
  <c r="AL17" i="3"/>
  <c r="AJ17" i="3"/>
  <c r="AG17" i="3"/>
  <c r="AE17" i="3"/>
  <c r="AD17" i="3"/>
  <c r="AC17" i="3"/>
  <c r="AB17" i="3"/>
  <c r="Z17" i="3"/>
  <c r="X17" i="3"/>
  <c r="W17" i="3"/>
  <c r="AA17" i="3" s="1"/>
  <c r="U17" i="3"/>
  <c r="S17" i="3"/>
  <c r="L17" i="3"/>
  <c r="K17" i="3"/>
  <c r="J17" i="3"/>
  <c r="D17" i="3"/>
  <c r="C17" i="3"/>
  <c r="B17" i="3"/>
  <c r="AK16" i="3"/>
  <c r="AA16" i="3"/>
  <c r="V16" i="3"/>
  <c r="AK15" i="3"/>
  <c r="V15" i="3"/>
  <c r="AK14" i="3"/>
  <c r="AA14" i="3"/>
  <c r="V14" i="3"/>
  <c r="AM13" i="3"/>
  <c r="AL13" i="3"/>
  <c r="AG13" i="3"/>
  <c r="AE13" i="3"/>
  <c r="AD13" i="3"/>
  <c r="AC13" i="3"/>
  <c r="AB13" i="3"/>
  <c r="Z13" i="3"/>
  <c r="X13" i="3"/>
  <c r="W13" i="3"/>
  <c r="T13" i="3"/>
  <c r="T18" i="3" s="1"/>
  <c r="S13" i="3"/>
  <c r="P13" i="3"/>
  <c r="P18" i="3" s="1"/>
  <c r="M13" i="3"/>
  <c r="M18" i="3" s="1"/>
  <c r="L13" i="3"/>
  <c r="K13" i="3"/>
  <c r="J13" i="3"/>
  <c r="I13" i="3"/>
  <c r="I18" i="3" s="1"/>
  <c r="G13" i="3"/>
  <c r="G18" i="3" s="1"/>
  <c r="F13" i="3"/>
  <c r="F18" i="3" s="1"/>
  <c r="E13" i="3"/>
  <c r="E18" i="3" s="1"/>
  <c r="D13" i="3"/>
  <c r="C13" i="3"/>
  <c r="B13" i="3"/>
  <c r="AK12" i="3"/>
  <c r="AA12" i="3"/>
  <c r="V12" i="3"/>
  <c r="AK11" i="3"/>
  <c r="V11" i="3"/>
  <c r="AK10" i="3"/>
  <c r="AA10" i="3"/>
  <c r="V10" i="3"/>
  <c r="AK9" i="3"/>
  <c r="V9" i="3"/>
  <c r="AK8" i="3"/>
  <c r="AA8" i="3"/>
  <c r="V8" i="3"/>
  <c r="AK7" i="3"/>
  <c r="AA7" i="3"/>
  <c r="V7" i="3"/>
  <c r="AK6" i="3"/>
  <c r="AA6" i="3"/>
  <c r="V6" i="3"/>
  <c r="AK5" i="3"/>
  <c r="AA5" i="3"/>
  <c r="AK4" i="3"/>
  <c r="AJ5" i="3" s="1"/>
  <c r="AJ19" i="3" s="1"/>
  <c r="AK19" i="3" s="1"/>
  <c r="V4" i="3"/>
  <c r="D515" i="1"/>
  <c r="E515" i="1" s="1"/>
  <c r="D513" i="1"/>
  <c r="E513" i="1" s="1"/>
  <c r="D509" i="1"/>
  <c r="E509" i="1" s="1"/>
  <c r="D507" i="1"/>
  <c r="E507" i="1" s="1"/>
  <c r="C501" i="1"/>
  <c r="E501" i="1" s="1"/>
  <c r="C493" i="1"/>
  <c r="E493" i="1" s="1"/>
  <c r="C490" i="1"/>
  <c r="C491" i="1" s="1"/>
  <c r="F491" i="1" s="1"/>
  <c r="C483" i="1"/>
  <c r="C484" i="1" s="1"/>
  <c r="F484" i="1" s="1"/>
  <c r="C480" i="1"/>
  <c r="C481" i="1" s="1"/>
  <c r="F481" i="1" s="1"/>
  <c r="C477" i="1"/>
  <c r="C478" i="1" s="1"/>
  <c r="F478" i="1" s="1"/>
  <c r="C470" i="1"/>
  <c r="C471" i="1" s="1"/>
  <c r="F471" i="1" s="1"/>
  <c r="F472" i="1" s="1"/>
  <c r="D464" i="1"/>
  <c r="D465" i="1" s="1"/>
  <c r="F465" i="1" s="1"/>
  <c r="F466" i="1" s="1"/>
  <c r="C458" i="1"/>
  <c r="C459" i="1" s="1"/>
  <c r="F459" i="1" s="1"/>
  <c r="F460" i="1" s="1"/>
  <c r="C453" i="1"/>
  <c r="F453" i="1" s="1"/>
  <c r="F454" i="1" s="1"/>
  <c r="C447" i="1"/>
  <c r="C448" i="1" s="1"/>
  <c r="F448" i="1" s="1"/>
  <c r="F449" i="1" s="1"/>
  <c r="C435" i="1"/>
  <c r="E435" i="1" s="1"/>
  <c r="C433" i="1"/>
  <c r="E433" i="1" s="1"/>
  <c r="C428" i="1"/>
  <c r="F428" i="1" s="1"/>
  <c r="E427" i="1"/>
  <c r="E426" i="1"/>
  <c r="C424" i="1"/>
  <c r="C425" i="1" s="1"/>
  <c r="F425" i="1" s="1"/>
  <c r="C421" i="1"/>
  <c r="E421" i="1" s="1"/>
  <c r="C419" i="1"/>
  <c r="E419" i="1" s="1"/>
  <c r="C415" i="1"/>
  <c r="E415" i="1" s="1"/>
  <c r="C413" i="1"/>
  <c r="E413" i="1" s="1"/>
  <c r="C410" i="1"/>
  <c r="E410" i="1" s="1"/>
  <c r="C406" i="1"/>
  <c r="E406" i="1" s="1"/>
  <c r="C399" i="1"/>
  <c r="E399" i="1" s="1"/>
  <c r="C397" i="1"/>
  <c r="E397" i="1" s="1"/>
  <c r="C394" i="1"/>
  <c r="C395" i="1" s="1"/>
  <c r="F395" i="1" s="1"/>
  <c r="C391" i="1"/>
  <c r="C392" i="1" s="1"/>
  <c r="F392" i="1" s="1"/>
  <c r="C385" i="1"/>
  <c r="E385" i="1" s="1"/>
  <c r="C379" i="1"/>
  <c r="C380" i="1" s="1"/>
  <c r="F380" i="1" s="1"/>
  <c r="F381" i="1" s="1"/>
  <c r="D373" i="1"/>
  <c r="D374" i="1" s="1"/>
  <c r="F374" i="1" s="1"/>
  <c r="F375" i="1" s="1"/>
  <c r="C369" i="1"/>
  <c r="E369" i="1" s="1"/>
  <c r="C367" i="1"/>
  <c r="E367" i="1" s="1"/>
  <c r="C362" i="1"/>
  <c r="E362" i="1" s="1"/>
  <c r="C359" i="1"/>
  <c r="E359" i="1" s="1"/>
  <c r="D352" i="1"/>
  <c r="D353" i="1" s="1"/>
  <c r="F353" i="1" s="1"/>
  <c r="F354" i="1" s="1"/>
  <c r="C348" i="1"/>
  <c r="E348" i="1" s="1"/>
  <c r="C346" i="1"/>
  <c r="E346" i="1" s="1"/>
  <c r="C342" i="1"/>
  <c r="E342" i="1" s="1"/>
  <c r="C339" i="1"/>
  <c r="E339" i="1" s="1"/>
  <c r="C324" i="1"/>
  <c r="C325" i="1" s="1"/>
  <c r="F325" i="1" s="1"/>
  <c r="F326" i="1" s="1"/>
  <c r="C318" i="1"/>
  <c r="E318" i="1" s="1"/>
  <c r="C316" i="1"/>
  <c r="E316" i="1" s="1"/>
  <c r="C307" i="1"/>
  <c r="E307" i="1" s="1"/>
  <c r="C305" i="1"/>
  <c r="E305" i="1" s="1"/>
  <c r="C301" i="1"/>
  <c r="C295" i="1"/>
  <c r="E295" i="1" s="1"/>
  <c r="C293" i="1"/>
  <c r="E293" i="1" s="1"/>
  <c r="C288" i="1"/>
  <c r="E288" i="1" s="1"/>
  <c r="C286" i="1"/>
  <c r="E286" i="1" s="1"/>
  <c r="C283" i="1"/>
  <c r="C284" i="1" s="1"/>
  <c r="F284" i="1" s="1"/>
  <c r="C279" i="1"/>
  <c r="C280" i="1" s="1"/>
  <c r="F280" i="1" s="1"/>
  <c r="D273" i="1"/>
  <c r="F273" i="1" s="1"/>
  <c r="F274" i="1" s="1"/>
  <c r="E272" i="1"/>
  <c r="E271" i="1"/>
  <c r="F269" i="1"/>
  <c r="E268" i="1"/>
  <c r="E267" i="1"/>
  <c r="C264" i="1"/>
  <c r="E264" i="1" s="1"/>
  <c r="C262" i="1"/>
  <c r="E262" i="1" s="1"/>
  <c r="C258" i="1"/>
  <c r="E258" i="1" s="1"/>
  <c r="C256" i="1"/>
  <c r="E256" i="1" s="1"/>
  <c r="C253" i="1"/>
  <c r="C254" i="1" s="1"/>
  <c r="F254" i="1" s="1"/>
  <c r="C249" i="1"/>
  <c r="C250" i="1" s="1"/>
  <c r="F250" i="1" s="1"/>
  <c r="C242" i="1"/>
  <c r="E242" i="1" s="1"/>
  <c r="C240" i="1"/>
  <c r="E240" i="1" s="1"/>
  <c r="C233" i="1"/>
  <c r="E233" i="1" s="1"/>
  <c r="C231" i="1"/>
  <c r="E231" i="1" s="1"/>
  <c r="C226" i="1"/>
  <c r="F226" i="1" s="1"/>
  <c r="F227" i="1" s="1"/>
  <c r="C220" i="1"/>
  <c r="F220" i="1" s="1"/>
  <c r="E219" i="1"/>
  <c r="E218" i="1"/>
  <c r="C217" i="1"/>
  <c r="F217" i="1" s="1"/>
  <c r="E216" i="1"/>
  <c r="E215" i="1"/>
  <c r="E214" i="1"/>
  <c r="C212" i="1"/>
  <c r="E212" i="1" s="1"/>
  <c r="C202" i="1"/>
  <c r="E202" i="1" s="1"/>
  <c r="C200" i="1"/>
  <c r="E200" i="1" s="1"/>
  <c r="D195" i="1"/>
  <c r="F195" i="1" s="1"/>
  <c r="E194" i="1"/>
  <c r="D192" i="1"/>
  <c r="D193" i="1" s="1"/>
  <c r="F193" i="1" s="1"/>
  <c r="C189" i="1"/>
  <c r="F189" i="1" s="1"/>
  <c r="E188" i="1"/>
  <c r="E187" i="1"/>
  <c r="E186" i="1"/>
  <c r="C184" i="1"/>
  <c r="E184" i="1" s="1"/>
  <c r="C182" i="1"/>
  <c r="E182" i="1" s="1"/>
  <c r="C180" i="1"/>
  <c r="F180" i="1" s="1"/>
  <c r="E179" i="1"/>
  <c r="C177" i="1"/>
  <c r="E177" i="1" s="1"/>
  <c r="C170" i="1"/>
  <c r="C171" i="1" s="1"/>
  <c r="F171" i="1" s="1"/>
  <c r="F172" i="1" s="1"/>
  <c r="D162" i="1"/>
  <c r="F162" i="1" s="1"/>
  <c r="F163" i="1" s="1"/>
  <c r="D161" i="1"/>
  <c r="E161" i="1" s="1"/>
  <c r="D156" i="1"/>
  <c r="F156" i="1" s="1"/>
  <c r="F157" i="1" s="1"/>
  <c r="C147" i="1"/>
  <c r="E147" i="1" s="1"/>
  <c r="C141" i="1"/>
  <c r="E141" i="1" s="1"/>
  <c r="C139" i="1"/>
  <c r="E139" i="1" s="1"/>
  <c r="C136" i="1"/>
  <c r="C133" i="1"/>
  <c r="C134" i="1" s="1"/>
  <c r="F134" i="1" s="1"/>
  <c r="C129" i="1"/>
  <c r="C130" i="1" s="1"/>
  <c r="F130" i="1" s="1"/>
  <c r="D122" i="1"/>
  <c r="F122" i="1" s="1"/>
  <c r="F125" i="1" s="1"/>
  <c r="E121" i="1"/>
  <c r="E120" i="1"/>
  <c r="E119" i="1"/>
  <c r="E118" i="1"/>
  <c r="C116" i="1"/>
  <c r="F116" i="1" s="1"/>
  <c r="E115" i="1"/>
  <c r="E114" i="1"/>
  <c r="C109" i="1"/>
  <c r="E109" i="1" s="1"/>
  <c r="C107" i="1"/>
  <c r="E107" i="1" s="1"/>
  <c r="C101" i="1"/>
  <c r="E101" i="1" s="1"/>
  <c r="C98" i="1"/>
  <c r="E98" i="1" s="1"/>
  <c r="E94" i="1"/>
  <c r="D81" i="1"/>
  <c r="F81" i="1" s="1"/>
  <c r="F82" i="1" s="1"/>
  <c r="E80" i="1"/>
  <c r="E79" i="1"/>
  <c r="C77" i="1"/>
  <c r="F77" i="1" s="1"/>
  <c r="E76" i="1"/>
  <c r="E75" i="1"/>
  <c r="C73" i="1"/>
  <c r="E73" i="1" s="1"/>
  <c r="C71" i="1"/>
  <c r="E71" i="1" s="1"/>
  <c r="C67" i="1"/>
  <c r="E67" i="1" s="1"/>
  <c r="C64" i="1"/>
  <c r="E64" i="1" s="1"/>
  <c r="E61" i="1"/>
  <c r="C57" i="1"/>
  <c r="E57" i="1" s="1"/>
  <c r="F51" i="1"/>
  <c r="E50" i="1"/>
  <c r="E49" i="1"/>
  <c r="E48" i="1"/>
  <c r="E47" i="1"/>
  <c r="D46" i="1"/>
  <c r="F46" i="1" s="1"/>
  <c r="E45" i="1"/>
  <c r="D44" i="1"/>
  <c r="F44" i="1" s="1"/>
  <c r="E43" i="1"/>
  <c r="C41" i="1"/>
  <c r="F41" i="1" s="1"/>
  <c r="E40" i="1"/>
  <c r="E39" i="1"/>
  <c r="E38" i="1"/>
  <c r="E37" i="1"/>
  <c r="C36" i="1"/>
  <c r="F36" i="1" s="1"/>
  <c r="E35" i="1"/>
  <c r="E34" i="1"/>
  <c r="C32" i="1"/>
  <c r="E32" i="1" s="1"/>
  <c r="E29" i="1"/>
  <c r="C27" i="1"/>
  <c r="E27" i="1" s="1"/>
  <c r="C23" i="1"/>
  <c r="E23" i="1" s="1"/>
  <c r="C20" i="1"/>
  <c r="C16" i="1"/>
  <c r="E16" i="1" s="1"/>
  <c r="C12" i="1"/>
  <c r="E12" i="1" s="1"/>
  <c r="C8" i="1"/>
  <c r="E8" i="1" s="1"/>
  <c r="AC184" i="3" l="1"/>
  <c r="AK17" i="3"/>
  <c r="AD123" i="2"/>
  <c r="AD187" i="2" s="1"/>
  <c r="AD191" i="2" s="1"/>
  <c r="E20" i="1"/>
  <c r="C33" i="1"/>
  <c r="F33" i="1" s="1"/>
  <c r="C502" i="1"/>
  <c r="F502" i="1" s="1"/>
  <c r="F503" i="1" s="1"/>
  <c r="B134" i="3"/>
  <c r="K134" i="3"/>
  <c r="AA134" i="3"/>
  <c r="AL170" i="3"/>
  <c r="U134" i="3"/>
  <c r="AN161" i="3"/>
  <c r="S63" i="3"/>
  <c r="AJ26" i="3"/>
  <c r="AK26" i="3" s="1"/>
  <c r="U13" i="3"/>
  <c r="U18" i="3" s="1"/>
  <c r="L170" i="3"/>
  <c r="AJ13" i="3"/>
  <c r="AJ18" i="3" s="1"/>
  <c r="L134" i="3"/>
  <c r="S184" i="3"/>
  <c r="S185" i="3" s="1"/>
  <c r="V5" i="3"/>
  <c r="AN5" i="3" s="1"/>
  <c r="AN89" i="3"/>
  <c r="J40" i="3"/>
  <c r="J134" i="3"/>
  <c r="D170" i="3"/>
  <c r="AN178" i="3"/>
  <c r="J184" i="3"/>
  <c r="J185" i="3" s="1"/>
  <c r="Z79" i="3"/>
  <c r="AN112" i="3"/>
  <c r="D134" i="3"/>
  <c r="S134" i="3"/>
  <c r="C18" i="3"/>
  <c r="B18" i="3"/>
  <c r="Z40" i="3"/>
  <c r="AL40" i="3"/>
  <c r="E63" i="3"/>
  <c r="AN81" i="3"/>
  <c r="V118" i="3"/>
  <c r="V121" i="3" s="1"/>
  <c r="V122" i="3" s="1"/>
  <c r="B152" i="3"/>
  <c r="B159" i="3" s="1"/>
  <c r="J152" i="3"/>
  <c r="J159" i="3" s="1"/>
  <c r="U152" i="3"/>
  <c r="U159" i="3" s="1"/>
  <c r="AM95" i="3"/>
  <c r="AE18" i="3"/>
  <c r="AM18" i="3"/>
  <c r="E79" i="3"/>
  <c r="I79" i="3"/>
  <c r="M79" i="3"/>
  <c r="AN169" i="3"/>
  <c r="AK184" i="3"/>
  <c r="AK185" i="3" s="1"/>
  <c r="AC40" i="3"/>
  <c r="B63" i="3"/>
  <c r="C79" i="3"/>
  <c r="AG79" i="3"/>
  <c r="AL95" i="3"/>
  <c r="AN85" i="3"/>
  <c r="D152" i="3"/>
  <c r="D159" i="3" s="1"/>
  <c r="L152" i="3"/>
  <c r="L159" i="3" s="1"/>
  <c r="AB152" i="3"/>
  <c r="AB159" i="3" s="1"/>
  <c r="AM152" i="3"/>
  <c r="AM159" i="3" s="1"/>
  <c r="V151" i="3"/>
  <c r="AN151" i="3" s="1"/>
  <c r="F79" i="3"/>
  <c r="AN60" i="3"/>
  <c r="V94" i="3"/>
  <c r="AN94" i="3" s="1"/>
  <c r="V175" i="3"/>
  <c r="AN175" i="3" s="1"/>
  <c r="AN53" i="3"/>
  <c r="AN57" i="3"/>
  <c r="K63" i="3"/>
  <c r="V72" i="3"/>
  <c r="X79" i="3"/>
  <c r="B95" i="3"/>
  <c r="AN90" i="3"/>
  <c r="V132" i="3"/>
  <c r="AN132" i="3" s="1"/>
  <c r="AK134" i="3"/>
  <c r="V143" i="3"/>
  <c r="AN143" i="3" s="1"/>
  <c r="S152" i="3"/>
  <c r="S159" i="3" s="1"/>
  <c r="AC152" i="3"/>
  <c r="AC159" i="3" s="1"/>
  <c r="V149" i="3"/>
  <c r="AN149" i="3" s="1"/>
  <c r="AB170" i="3"/>
  <c r="AM170" i="3"/>
  <c r="AC185" i="3"/>
  <c r="B170" i="3"/>
  <c r="AM184" i="3"/>
  <c r="AM185" i="3" s="1"/>
  <c r="V52" i="3"/>
  <c r="F63" i="3"/>
  <c r="I63" i="3"/>
  <c r="M63" i="3"/>
  <c r="AM63" i="3"/>
  <c r="AM80" i="3" s="1"/>
  <c r="AD63" i="3"/>
  <c r="AA95" i="3"/>
  <c r="AB134" i="3"/>
  <c r="AM134" i="3"/>
  <c r="AL134" i="3"/>
  <c r="AC170" i="3"/>
  <c r="V181" i="3"/>
  <c r="V184" i="3" s="1"/>
  <c r="AH13" i="2"/>
  <c r="AH18" i="2" s="1"/>
  <c r="N18" i="2"/>
  <c r="N123" i="2" s="1"/>
  <c r="AH19" i="2"/>
  <c r="AH26" i="2" s="1"/>
  <c r="N26" i="2"/>
  <c r="E90" i="1"/>
  <c r="C91" i="1"/>
  <c r="F91" i="1" s="1"/>
  <c r="E210" i="1"/>
  <c r="C213" i="1"/>
  <c r="F213" i="1" s="1"/>
  <c r="F221" i="1" s="1"/>
  <c r="C386" i="1"/>
  <c r="F386" i="1" s="1"/>
  <c r="F387" i="1" s="1"/>
  <c r="E155" i="1"/>
  <c r="E464" i="1"/>
  <c r="C494" i="1"/>
  <c r="F494" i="1" s="1"/>
  <c r="F495" i="1" s="1"/>
  <c r="C62" i="1"/>
  <c r="F62" i="1" s="1"/>
  <c r="C407" i="1"/>
  <c r="F407" i="1" s="1"/>
  <c r="C411" i="1"/>
  <c r="F411" i="1" s="1"/>
  <c r="C17" i="1"/>
  <c r="F17" i="1" s="1"/>
  <c r="C142" i="1"/>
  <c r="F142" i="1" s="1"/>
  <c r="F143" i="1" s="1"/>
  <c r="C178" i="1"/>
  <c r="F178" i="1" s="1"/>
  <c r="E394" i="1"/>
  <c r="C58" i="1"/>
  <c r="F58" i="1" s="1"/>
  <c r="C148" i="1"/>
  <c r="F148" i="1" s="1"/>
  <c r="F149" i="1" s="1"/>
  <c r="E391" i="1"/>
  <c r="E458" i="1"/>
  <c r="F196" i="1"/>
  <c r="C308" i="1"/>
  <c r="F308" i="1" s="1"/>
  <c r="F309" i="1" s="1"/>
  <c r="C13" i="1"/>
  <c r="F13" i="1" s="1"/>
  <c r="C95" i="1"/>
  <c r="F95" i="1" s="1"/>
  <c r="C234" i="1"/>
  <c r="F234" i="1" s="1"/>
  <c r="F235" i="1" s="1"/>
  <c r="C400" i="1"/>
  <c r="F400" i="1" s="1"/>
  <c r="F401" i="1" s="1"/>
  <c r="E470" i="1"/>
  <c r="D516" i="1"/>
  <c r="F516" i="1" s="1"/>
  <c r="F517" i="1" s="1"/>
  <c r="AN43" i="3"/>
  <c r="AN56" i="3"/>
  <c r="AN111" i="3"/>
  <c r="AN44" i="3"/>
  <c r="U40" i="3"/>
  <c r="U69" i="3" s="1"/>
  <c r="V69" i="3" s="1"/>
  <c r="V170" i="3"/>
  <c r="S18" i="3"/>
  <c r="AD18" i="3"/>
  <c r="AL18" i="3"/>
  <c r="AN14" i="3"/>
  <c r="G40" i="3"/>
  <c r="AB95" i="3"/>
  <c r="L18" i="3"/>
  <c r="AN27" i="3"/>
  <c r="I40" i="3"/>
  <c r="L63" i="3"/>
  <c r="S79" i="3"/>
  <c r="AA78" i="3"/>
  <c r="AA79" i="3" s="1"/>
  <c r="J95" i="3"/>
  <c r="AN88" i="3"/>
  <c r="AN118" i="3"/>
  <c r="C134" i="3"/>
  <c r="C170" i="3"/>
  <c r="K170" i="3"/>
  <c r="L184" i="3"/>
  <c r="L185" i="3" s="1"/>
  <c r="D18" i="3"/>
  <c r="J18" i="3"/>
  <c r="AB18" i="3"/>
  <c r="AG18" i="3"/>
  <c r="V17" i="3"/>
  <c r="AN16" i="3"/>
  <c r="AN42" i="3"/>
  <c r="D63" i="3"/>
  <c r="G63" i="3"/>
  <c r="J63" i="3"/>
  <c r="P63" i="3"/>
  <c r="AA52" i="3"/>
  <c r="AB63" i="3"/>
  <c r="AG63" i="3"/>
  <c r="AN55" i="3"/>
  <c r="AK61" i="3"/>
  <c r="AL63" i="3"/>
  <c r="AN67" i="3"/>
  <c r="AE79" i="3"/>
  <c r="L79" i="3"/>
  <c r="T79" i="3"/>
  <c r="AK78" i="3"/>
  <c r="L95" i="3"/>
  <c r="AN109" i="3"/>
  <c r="AK152" i="3"/>
  <c r="AK159" i="3" s="1"/>
  <c r="AN147" i="3"/>
  <c r="S170" i="3"/>
  <c r="AN167" i="3"/>
  <c r="AN177" i="3"/>
  <c r="B184" i="3"/>
  <c r="B185" i="3" s="1"/>
  <c r="U184" i="3"/>
  <c r="U185" i="3" s="1"/>
  <c r="AN179" i="3"/>
  <c r="D40" i="3"/>
  <c r="M40" i="3"/>
  <c r="T63" i="3"/>
  <c r="AA61" i="3"/>
  <c r="K79" i="3"/>
  <c r="U95" i="3"/>
  <c r="D184" i="3"/>
  <c r="D185" i="3" s="1"/>
  <c r="AA184" i="3"/>
  <c r="AA185" i="3" s="1"/>
  <c r="AL184" i="3"/>
  <c r="AL185" i="3" s="1"/>
  <c r="K18" i="3"/>
  <c r="AC18" i="3"/>
  <c r="AD40" i="3"/>
  <c r="AN41" i="3"/>
  <c r="AA45" i="3"/>
  <c r="AA47" i="3" s="1"/>
  <c r="X63" i="3"/>
  <c r="AN54" i="3"/>
  <c r="V58" i="3"/>
  <c r="AA58" i="3"/>
  <c r="W63" i="3"/>
  <c r="AN70" i="3"/>
  <c r="D79" i="3"/>
  <c r="G79" i="3"/>
  <c r="W79" i="3"/>
  <c r="S95" i="3"/>
  <c r="AC95" i="3"/>
  <c r="D95" i="3"/>
  <c r="AC121" i="3"/>
  <c r="AC122" i="3" s="1"/>
  <c r="C152" i="3"/>
  <c r="C159" i="3" s="1"/>
  <c r="K152" i="3"/>
  <c r="K159" i="3" s="1"/>
  <c r="AA152" i="3"/>
  <c r="AA159" i="3" s="1"/>
  <c r="AL152" i="3"/>
  <c r="AL159" i="3" s="1"/>
  <c r="AK170" i="3"/>
  <c r="AN8" i="3"/>
  <c r="AN35" i="3"/>
  <c r="AN59" i="3"/>
  <c r="AN74" i="3"/>
  <c r="AN36" i="3"/>
  <c r="AN7" i="3"/>
  <c r="AN10" i="3"/>
  <c r="AN25" i="3"/>
  <c r="AN29" i="3"/>
  <c r="AN34" i="3"/>
  <c r="AN38" i="3"/>
  <c r="AN46" i="3"/>
  <c r="AN73" i="3"/>
  <c r="AN77" i="3"/>
  <c r="AK113" i="3"/>
  <c r="AN9" i="3"/>
  <c r="AN75" i="3"/>
  <c r="AN6" i="3"/>
  <c r="AN20" i="3"/>
  <c r="AN24" i="3"/>
  <c r="AN28" i="3"/>
  <c r="AN33" i="3"/>
  <c r="AN50" i="3"/>
  <c r="AN62" i="3"/>
  <c r="AN71" i="3"/>
  <c r="AN76" i="3"/>
  <c r="AN110" i="3"/>
  <c r="AN12" i="3"/>
  <c r="U63" i="3"/>
  <c r="V61" i="3"/>
  <c r="AN51" i="3"/>
  <c r="AN49" i="3"/>
  <c r="AE63" i="3"/>
  <c r="AN48" i="3"/>
  <c r="AK52" i="3"/>
  <c r="AE40" i="3"/>
  <c r="V39" i="3"/>
  <c r="E40" i="3"/>
  <c r="K40" i="3"/>
  <c r="S40" i="3"/>
  <c r="AN37" i="3"/>
  <c r="C40" i="3"/>
  <c r="F40" i="3"/>
  <c r="L40" i="3"/>
  <c r="T40" i="3"/>
  <c r="AJ40" i="3"/>
  <c r="AN31" i="3"/>
  <c r="AK32" i="3"/>
  <c r="AN30" i="3"/>
  <c r="AA26" i="3"/>
  <c r="AN23" i="3"/>
  <c r="AN21" i="3"/>
  <c r="AN22" i="3"/>
  <c r="Z18" i="3"/>
  <c r="X18" i="3"/>
  <c r="AN15" i="3"/>
  <c r="AN4" i="3"/>
  <c r="AN11" i="3"/>
  <c r="W18" i="3"/>
  <c r="AA32" i="3"/>
  <c r="AK39" i="3"/>
  <c r="V45" i="3"/>
  <c r="V32" i="3"/>
  <c r="B40" i="3"/>
  <c r="X40" i="3"/>
  <c r="AB40" i="3"/>
  <c r="AG40" i="3"/>
  <c r="AK45" i="3"/>
  <c r="AK47" i="3" s="1"/>
  <c r="AA39" i="3"/>
  <c r="AA66" i="3"/>
  <c r="AA68" i="3" s="1"/>
  <c r="AC63" i="3"/>
  <c r="C63" i="3"/>
  <c r="B68" i="3"/>
  <c r="V66" i="3"/>
  <c r="B79" i="3"/>
  <c r="AN87" i="3"/>
  <c r="AN98" i="3"/>
  <c r="V99" i="3"/>
  <c r="AK13" i="3"/>
  <c r="AN65" i="3"/>
  <c r="V78" i="3"/>
  <c r="V84" i="3"/>
  <c r="AN84" i="3" s="1"/>
  <c r="V146" i="3"/>
  <c r="V158" i="3"/>
  <c r="AN158" i="3" s="1"/>
  <c r="AA72" i="3"/>
  <c r="Z63" i="3"/>
  <c r="AJ63" i="3"/>
  <c r="AK58" i="3"/>
  <c r="AN163" i="3"/>
  <c r="AA170" i="3"/>
  <c r="AA13" i="3"/>
  <c r="AN64" i="3"/>
  <c r="AK66" i="3"/>
  <c r="AK68" i="3" s="1"/>
  <c r="J79" i="3"/>
  <c r="P79" i="3"/>
  <c r="AD79" i="3"/>
  <c r="AK72" i="3"/>
  <c r="AN82" i="3"/>
  <c r="AN86" i="3"/>
  <c r="V108" i="3"/>
  <c r="AN108" i="3" s="1"/>
  <c r="V116" i="3"/>
  <c r="AN116" i="3" s="1"/>
  <c r="AN114" i="3"/>
  <c r="V173" i="3"/>
  <c r="AN173" i="3" s="1"/>
  <c r="AN171" i="3"/>
  <c r="C95" i="3"/>
  <c r="K95" i="3"/>
  <c r="AK95" i="3"/>
  <c r="V113" i="3"/>
  <c r="V130" i="3"/>
  <c r="AN124" i="3"/>
  <c r="AC134" i="3"/>
  <c r="V138" i="3"/>
  <c r="C184" i="3"/>
  <c r="C185" i="3" s="1"/>
  <c r="K184" i="3"/>
  <c r="K185" i="3" s="1"/>
  <c r="AN141" i="3"/>
  <c r="F485" i="1"/>
  <c r="F52" i="1"/>
  <c r="C185" i="1"/>
  <c r="F185" i="1" s="1"/>
  <c r="C203" i="1"/>
  <c r="F203" i="1" s="1"/>
  <c r="F204" i="1" s="1"/>
  <c r="C265" i="1"/>
  <c r="F265" i="1" s="1"/>
  <c r="F270" i="1" s="1"/>
  <c r="C296" i="1"/>
  <c r="F296" i="1" s="1"/>
  <c r="F297" i="1" s="1"/>
  <c r="E301" i="1"/>
  <c r="C319" i="1"/>
  <c r="F319" i="1" s="1"/>
  <c r="F320" i="1" s="1"/>
  <c r="E324" i="1"/>
  <c r="C349" i="1"/>
  <c r="F349" i="1" s="1"/>
  <c r="F350" i="1" s="1"/>
  <c r="E352" i="1"/>
  <c r="C370" i="1"/>
  <c r="F370" i="1" s="1"/>
  <c r="F371" i="1" s="1"/>
  <c r="E373" i="1"/>
  <c r="E424" i="1"/>
  <c r="C436" i="1"/>
  <c r="F436" i="1" s="1"/>
  <c r="F437" i="1" s="1"/>
  <c r="E447" i="1"/>
  <c r="E477" i="1"/>
  <c r="E480" i="1"/>
  <c r="E483" i="1"/>
  <c r="C74" i="1"/>
  <c r="F74" i="1" s="1"/>
  <c r="C110" i="1"/>
  <c r="F110" i="1" s="1"/>
  <c r="E129" i="1"/>
  <c r="E133" i="1"/>
  <c r="E136" i="1"/>
  <c r="E170" i="1"/>
  <c r="E192" i="1"/>
  <c r="C243" i="1"/>
  <c r="F243" i="1" s="1"/>
  <c r="F244" i="1" s="1"/>
  <c r="E249" i="1"/>
  <c r="E253" i="1"/>
  <c r="E279" i="1"/>
  <c r="E283" i="1"/>
  <c r="E379" i="1"/>
  <c r="C422" i="1"/>
  <c r="F422" i="1" s="1"/>
  <c r="E490" i="1"/>
  <c r="AI123" i="2" l="1"/>
  <c r="C522" i="1"/>
  <c r="V13" i="3"/>
  <c r="V18" i="3" s="1"/>
  <c r="F42" i="1"/>
  <c r="AM123" i="3"/>
  <c r="U26" i="3"/>
  <c r="V19" i="3"/>
  <c r="Z80" i="3"/>
  <c r="Z123" i="3" s="1"/>
  <c r="D186" i="3"/>
  <c r="AN121" i="3"/>
  <c r="AN122" i="3"/>
  <c r="J186" i="3"/>
  <c r="V63" i="3"/>
  <c r="AL80" i="3"/>
  <c r="AL123" i="3" s="1"/>
  <c r="AB186" i="3"/>
  <c r="AJ69" i="3"/>
  <c r="AK69" i="3" s="1"/>
  <c r="AK79" i="3" s="1"/>
  <c r="C186" i="3"/>
  <c r="E80" i="3"/>
  <c r="E123" i="3" s="1"/>
  <c r="M80" i="3"/>
  <c r="M123" i="3" s="1"/>
  <c r="AN181" i="3"/>
  <c r="V95" i="3"/>
  <c r="AN95" i="3" s="1"/>
  <c r="AC80" i="3"/>
  <c r="AC123" i="3" s="1"/>
  <c r="AL186" i="3"/>
  <c r="D80" i="3"/>
  <c r="D123" i="3" s="1"/>
  <c r="AK18" i="3"/>
  <c r="AM186" i="3"/>
  <c r="T80" i="3"/>
  <c r="T123" i="3" s="1"/>
  <c r="X80" i="3"/>
  <c r="X123" i="3" s="1"/>
  <c r="S80" i="3"/>
  <c r="S123" i="3" s="1"/>
  <c r="W80" i="3"/>
  <c r="W123" i="3" s="1"/>
  <c r="B186" i="3"/>
  <c r="C80" i="3"/>
  <c r="C123" i="3" s="1"/>
  <c r="AN78" i="3"/>
  <c r="F80" i="3"/>
  <c r="F123" i="3" s="1"/>
  <c r="AK186" i="3"/>
  <c r="U186" i="3"/>
  <c r="AB69" i="3"/>
  <c r="AB79" i="3" s="1"/>
  <c r="AB80" i="3" s="1"/>
  <c r="AB123" i="3" s="1"/>
  <c r="I80" i="3"/>
  <c r="I123" i="3" s="1"/>
  <c r="N187" i="2"/>
  <c r="N191" i="2" s="1"/>
  <c r="AH123" i="2"/>
  <c r="AH187" i="2" s="1"/>
  <c r="F190" i="1"/>
  <c r="F429" i="1"/>
  <c r="F78" i="1"/>
  <c r="F117" i="1"/>
  <c r="AJ79" i="3"/>
  <c r="AJ80" i="3" s="1"/>
  <c r="AJ123" i="3" s="1"/>
  <c r="V79" i="3"/>
  <c r="U79" i="3"/>
  <c r="U80" i="3" s="1"/>
  <c r="AA63" i="3"/>
  <c r="AN52" i="3"/>
  <c r="AN61" i="3"/>
  <c r="AK63" i="3"/>
  <c r="K80" i="3"/>
  <c r="K123" i="3" s="1"/>
  <c r="L80" i="3"/>
  <c r="L123" i="3" s="1"/>
  <c r="AE80" i="3"/>
  <c r="AE123" i="3" s="1"/>
  <c r="AD80" i="3"/>
  <c r="AD123" i="3" s="1"/>
  <c r="G80" i="3"/>
  <c r="G123" i="3" s="1"/>
  <c r="L186" i="3"/>
  <c r="AN39" i="3"/>
  <c r="AC186" i="3"/>
  <c r="AC198" i="3" s="1"/>
  <c r="AN113" i="3"/>
  <c r="P80" i="3"/>
  <c r="P123" i="3" s="1"/>
  <c r="AA186" i="3"/>
  <c r="AG80" i="3"/>
  <c r="AG123" i="3" s="1"/>
  <c r="AN17" i="3"/>
  <c r="K186" i="3"/>
  <c r="J80" i="3"/>
  <c r="J123" i="3" s="1"/>
  <c r="S186" i="3"/>
  <c r="AN72" i="3"/>
  <c r="AK40" i="3"/>
  <c r="V134" i="3"/>
  <c r="AN130" i="3"/>
  <c r="V103" i="3"/>
  <c r="AN103" i="3" s="1"/>
  <c r="AN99" i="3"/>
  <c r="V68" i="3"/>
  <c r="AN68" i="3" s="1"/>
  <c r="AN66" i="3"/>
  <c r="AN58" i="3"/>
  <c r="V47" i="3"/>
  <c r="AN47" i="3" s="1"/>
  <c r="AN45" i="3"/>
  <c r="V140" i="3"/>
  <c r="AN140" i="3" s="1"/>
  <c r="AN138" i="3"/>
  <c r="B80" i="3"/>
  <c r="B123" i="3" s="1"/>
  <c r="AA18" i="3"/>
  <c r="V185" i="3"/>
  <c r="AN185" i="3" s="1"/>
  <c r="AN184" i="3"/>
  <c r="AN170" i="3"/>
  <c r="AN32" i="3"/>
  <c r="V40" i="3"/>
  <c r="AN146" i="3"/>
  <c r="V152" i="3"/>
  <c r="AA40" i="3"/>
  <c r="AN13" i="3" l="1"/>
  <c r="U123" i="3"/>
  <c r="AN19" i="3"/>
  <c r="V26" i="3"/>
  <c r="AN26" i="3" s="1"/>
  <c r="AN69" i="3"/>
  <c r="AB187" i="3"/>
  <c r="AB191" i="3" s="1"/>
  <c r="AN63" i="3"/>
  <c r="AN79" i="3"/>
  <c r="AA80" i="3"/>
  <c r="AN18" i="3"/>
  <c r="C521" i="1"/>
  <c r="C523" i="1" s="1"/>
  <c r="AK80" i="3"/>
  <c r="AK123" i="3" s="1"/>
  <c r="AK187" i="3" s="1"/>
  <c r="AK190" i="3" s="1"/>
  <c r="AK192" i="3" s="1"/>
  <c r="AA123" i="3"/>
  <c r="V80" i="3"/>
  <c r="AN40" i="3"/>
  <c r="AN152" i="3"/>
  <c r="V159" i="3"/>
  <c r="AN159" i="3" s="1"/>
  <c r="AN134" i="3"/>
  <c r="AP186" i="3" l="1"/>
  <c r="V186" i="3"/>
  <c r="AN186" i="3" s="1"/>
  <c r="AN80" i="3"/>
  <c r="AP123" i="3" s="1"/>
  <c r="V123" i="3"/>
  <c r="AN123" i="3" s="1"/>
  <c r="AN203" i="3" l="1"/>
  <c r="V187" i="3"/>
  <c r="V195" i="3" s="1"/>
  <c r="AN198" i="3" l="1"/>
  <c r="AN187" i="3"/>
</calcChain>
</file>

<file path=xl/sharedStrings.xml><?xml version="1.0" encoding="utf-8"?>
<sst xmlns="http://schemas.openxmlformats.org/spreadsheetml/2006/main" count="4052" uniqueCount="1246">
  <si>
    <t>Öttevény Község Önkormányzata</t>
  </si>
  <si>
    <t>A rovat, tétel megnevezése, indoklása</t>
  </si>
  <si>
    <t>Részletezés (Ft)</t>
  </si>
  <si>
    <t>Előirányzat rovatok (E Ft)</t>
  </si>
  <si>
    <t>kiadás</t>
  </si>
  <si>
    <t>bevétel</t>
  </si>
  <si>
    <t>011130 Önkormányzatok és önkormányzati hivatalok jogalkotó és általános igazgatási tevékenysége</t>
  </si>
  <si>
    <t>K1101</t>
  </si>
  <si>
    <t>K1103</t>
  </si>
  <si>
    <t>K1107</t>
  </si>
  <si>
    <t>K1109</t>
  </si>
  <si>
    <t>K1113</t>
  </si>
  <si>
    <t>K11</t>
  </si>
  <si>
    <t>Foglalkoztatottak személyi juttatása</t>
  </si>
  <si>
    <t>K121</t>
  </si>
  <si>
    <t>K122</t>
  </si>
  <si>
    <t>K123</t>
  </si>
  <si>
    <t>K12</t>
  </si>
  <si>
    <t>Külső személyi juttatások</t>
  </si>
  <si>
    <t>K1</t>
  </si>
  <si>
    <t>Személyi juttatások</t>
  </si>
  <si>
    <t>K21</t>
  </si>
  <si>
    <t>K24</t>
  </si>
  <si>
    <t>K27</t>
  </si>
  <si>
    <t>K2</t>
  </si>
  <si>
    <t>Munkaadókat terhelő járulékok és szociális hozzájárulási adó</t>
  </si>
  <si>
    <t>K311</t>
  </si>
  <si>
    <t>Szakmai anyag</t>
  </si>
  <si>
    <t>K312</t>
  </si>
  <si>
    <t>K31</t>
  </si>
  <si>
    <t>Készletbeszerzés</t>
  </si>
  <si>
    <t>K321</t>
  </si>
  <si>
    <t>K322</t>
  </si>
  <si>
    <t>Telefon, fax, mobil díj
25.069 Ft*12 hó=300.828 Ft</t>
  </si>
  <si>
    <t>K32</t>
  </si>
  <si>
    <t>Kommunikációs szolgáltatások</t>
  </si>
  <si>
    <t>K335</t>
  </si>
  <si>
    <t>Közvetített szolgáltatás
Telefon és internet továbbszámlázás: 20.000 Ft*12 hó=240.000 Ft</t>
  </si>
  <si>
    <t>K336</t>
  </si>
  <si>
    <t>Egyéb szolgáltatások
Megoldás Kft.-belső ellenőrzés: 250.000 Ft</t>
  </si>
  <si>
    <t>K337</t>
  </si>
  <si>
    <t>K33</t>
  </si>
  <si>
    <t>Szolgáltatási kiadások</t>
  </si>
  <si>
    <t>K341</t>
  </si>
  <si>
    <t>K34</t>
  </si>
  <si>
    <t xml:space="preserve">Kiküldetés  </t>
  </si>
  <si>
    <t>K351</t>
  </si>
  <si>
    <t>K355</t>
  </si>
  <si>
    <t>K35</t>
  </si>
  <si>
    <t>Különféle befizetések és egyéb dologi kiadások</t>
  </si>
  <si>
    <t>K3</t>
  </si>
  <si>
    <t>Dologi kiadások</t>
  </si>
  <si>
    <t>K506</t>
  </si>
  <si>
    <t>K513</t>
  </si>
  <si>
    <t>K5</t>
  </si>
  <si>
    <t>Egyéb működési célú kiadások</t>
  </si>
  <si>
    <t>K61</t>
  </si>
  <si>
    <t>K63</t>
  </si>
  <si>
    <t>Informatikai eszköz beszerzés</t>
  </si>
  <si>
    <t>K64</t>
  </si>
  <si>
    <t>K67</t>
  </si>
  <si>
    <t>Beruházási célú áfa</t>
  </si>
  <si>
    <t>K6</t>
  </si>
  <si>
    <t>Beruházások</t>
  </si>
  <si>
    <t>Szakfeladat kiadások összesen</t>
  </si>
  <si>
    <t>B16</t>
  </si>
  <si>
    <t>B1</t>
  </si>
  <si>
    <t>Működési célú támogatások Áht.belülről</t>
  </si>
  <si>
    <t>B25</t>
  </si>
  <si>
    <t>B2</t>
  </si>
  <si>
    <t>Felhalmozási célú támogatások Áht.belülről</t>
  </si>
  <si>
    <t>B403</t>
  </si>
  <si>
    <r>
      <t xml:space="preserve">Közvetített szolgáltatások
</t>
    </r>
    <r>
      <rPr>
        <sz val="12"/>
        <rFont val="Times New Roman"/>
        <family val="1"/>
        <charset val="238"/>
      </rPr>
      <t>Telefon és internet díj: 20.000*12hó=240.000 Ft</t>
    </r>
  </si>
  <si>
    <t>B406</t>
  </si>
  <si>
    <r>
      <t xml:space="preserve">Fizetendő áfa
</t>
    </r>
    <r>
      <rPr>
        <sz val="12"/>
        <rFont val="Times New Roman"/>
        <family val="1"/>
        <charset val="238"/>
      </rPr>
      <t>240.000 Ft * 27%=64.800 Ft</t>
    </r>
  </si>
  <si>
    <t>B408</t>
  </si>
  <si>
    <r>
      <t xml:space="preserve">Kamatbevételek:
</t>
    </r>
    <r>
      <rPr>
        <sz val="12"/>
        <rFont val="Times New Roman"/>
        <family val="1"/>
        <charset val="238"/>
      </rPr>
      <t>Általános: 5.000 Ft</t>
    </r>
  </si>
  <si>
    <t>B411</t>
  </si>
  <si>
    <t>B4</t>
  </si>
  <si>
    <t>Működési bevételek</t>
  </si>
  <si>
    <t>Szakfeladat bevételei összesen</t>
  </si>
  <si>
    <t>013320 Köztemető-fenntartás és -működtetés</t>
  </si>
  <si>
    <t>Céljuttatás, projektprémium</t>
  </si>
  <si>
    <t>Foglalkoztatottak személyi juttatásai</t>
  </si>
  <si>
    <t>Munkáltatót terhelő járulékok</t>
  </si>
  <si>
    <t>Üzemeltetési anyag:
Munkaruha: 15.000 Ft
Egyéb anyagok: 50.000 Ft
Összesen: 65.000 Ft</t>
  </si>
  <si>
    <t>Internet díj:
1 fő*903 Ft*12 hó=10.836 Ft</t>
  </si>
  <si>
    <t>Telefon, fax, mobil díj:
Feltöltés (Harang): 6*3.937 Ft= 23.622 Ft
1 fő*2.185 Ft*12 hó=26.220 Ft
Összesen: 49.842 Ft</t>
  </si>
  <si>
    <t>K331</t>
  </si>
  <si>
    <t>Közüzemi díjak:
Villamosenergia: 18.061 Ft
Vízdíj: 37.820 Ft
Összesen: 55.881 Ft</t>
  </si>
  <si>
    <t>K334</t>
  </si>
  <si>
    <t>Karbantartás, kisjavítás</t>
  </si>
  <si>
    <t>Egyéb szolgáltatások
GYHG - hulladék: 9.350 Ft * 12 hó=112.200 Ft
NHKV - hulladék: 17.748 Ft*12 hó= 212.976 Ft
Hess System - vagyonvédelem: 10.425*4=41.700 Ft
Összesen: 366.876 Ft</t>
  </si>
  <si>
    <t>Működési célú Áfa:
649.000 Ft*27%= 175.230 Ft</t>
  </si>
  <si>
    <t>Egyéb tárgyi eszköz beszerzés</t>
  </si>
  <si>
    <t xml:space="preserve">Beruházás </t>
  </si>
  <si>
    <t>Szakfeladat kiadásai összesen</t>
  </si>
  <si>
    <t>B402</t>
  </si>
  <si>
    <t>013350 Önkormányzati vagyonnal való gazdálkodás</t>
  </si>
  <si>
    <t>Üzemeltetési anyag:
Tisztítószer: 190.000 Ft
Egyéb anyag: 60.000 Ft
Összesen: 250.000 Ft</t>
  </si>
  <si>
    <t>K313</t>
  </si>
  <si>
    <t>Árubeszerzés 130.000 * 10 hó=1.300.000 Ft</t>
  </si>
  <si>
    <t>Informatikai szolgáltatások: 1.500*12 hó= 18.000 Ft</t>
  </si>
  <si>
    <t>Telefon, fax, mobil díj</t>
  </si>
  <si>
    <t>Közüzemi díjak:
Villamosenergia: 420.000 Ft
Gázdíj: 560.000 Ft
Vízdíj: 245.000 Ft
Összesen: 1.225.000 Ft</t>
  </si>
  <si>
    <t>K333</t>
  </si>
  <si>
    <t>Bérleti díj:
Klik(M) - csarnok: 140.000*10 hó= 1.400.000 Ft</t>
  </si>
  <si>
    <t>K62</t>
  </si>
  <si>
    <t>B401</t>
  </si>
  <si>
    <r>
      <t xml:space="preserve">Közvetített szolgáltatás:
</t>
    </r>
    <r>
      <rPr>
        <sz val="12"/>
        <rFont val="Times New Roman"/>
        <family val="1"/>
        <charset val="238"/>
      </rPr>
      <t>Lakbérekkel, bérleményekkel kapcsolatos: 200.000 Ft</t>
    </r>
  </si>
  <si>
    <t>016080 Kiemelt állami és önkormányzati rendezvények</t>
  </si>
  <si>
    <t>Egyéb külső személyi juttatások:
Reprezentáció (adóköteles rendezvények): 
2016 teljesítés 429.932 Ft</t>
  </si>
  <si>
    <t>Munkáltatókat terhelő járulék</t>
  </si>
  <si>
    <t>Működési célú áfa</t>
  </si>
  <si>
    <t>Különféle befizetések és egyéb szolgáltatások</t>
  </si>
  <si>
    <t>018010 Önkormányzatok elszámolásai a központi költségvetéssel</t>
  </si>
  <si>
    <t>K5022</t>
  </si>
  <si>
    <t>Helyi önkormányzatok törvényi előíráson alapuló befizetései</t>
  </si>
  <si>
    <t>K502</t>
  </si>
  <si>
    <t>Elvonások és befizetések</t>
  </si>
  <si>
    <t>B111</t>
  </si>
  <si>
    <t>B112</t>
  </si>
  <si>
    <t>B113</t>
  </si>
  <si>
    <t>B114</t>
  </si>
  <si>
    <t>B11</t>
  </si>
  <si>
    <t>Önkormányzati működési támogatás</t>
  </si>
  <si>
    <t>Működési célú támogatások Áht. Belülről</t>
  </si>
  <si>
    <t>018030 Támogatási célú finanszírozási műveletek</t>
  </si>
  <si>
    <t>B813</t>
  </si>
  <si>
    <t>B81</t>
  </si>
  <si>
    <t>Belföldi finanszírozás bevételei</t>
  </si>
  <si>
    <t>B8</t>
  </si>
  <si>
    <t>Finanszírozási bevételek</t>
  </si>
  <si>
    <t>K915</t>
  </si>
  <si>
    <t>K914</t>
  </si>
  <si>
    <t>K91</t>
  </si>
  <si>
    <t>Belföldi finanszírozás kiadása</t>
  </si>
  <si>
    <t>K9</t>
  </si>
  <si>
    <t>Finanszírozási kiadások</t>
  </si>
  <si>
    <t>041233 Hosszabb időtartamú közfogalalkoztatás</t>
  </si>
  <si>
    <t>Foglalkoztatottak egyéb személyi juttatása
(betegszabadság, egyéb hozzájárulás)</t>
  </si>
  <si>
    <t>Üzemeltetési anyagok</t>
  </si>
  <si>
    <t>Ingatlan beszerzés, létesítés</t>
  </si>
  <si>
    <t>Egyéb gépek, berendezések</t>
  </si>
  <si>
    <t>B1606</t>
  </si>
  <si>
    <t xml:space="preserve">Egyéb működési célú támogatás Áht. Belülről </t>
  </si>
  <si>
    <t>B53</t>
  </si>
  <si>
    <t>Egyéb tárgyi eszköz értékesítése</t>
  </si>
  <si>
    <t>B5</t>
  </si>
  <si>
    <t>Felhalmozási bevételek</t>
  </si>
  <si>
    <t>042180 Állat-egészségügy</t>
  </si>
  <si>
    <t>Különféle egyéb befizetések</t>
  </si>
  <si>
    <t>045160 Közutak, hidak, alagutak üzemeltetése, fenntartása</t>
  </si>
  <si>
    <t>Felújítások</t>
  </si>
  <si>
    <t>K71</t>
  </si>
  <si>
    <t>K74</t>
  </si>
  <si>
    <t>K7</t>
  </si>
  <si>
    <t>047320 Turizmusfejlesztési támogatások és tevékenységek</t>
  </si>
  <si>
    <t>063020 Víztermelés, -kezelés, -ellátás</t>
  </si>
  <si>
    <t>Közüzemi díjak:
Közkifolyók: 9.855 Ft * 12 hó= 118.260 Ft</t>
  </si>
  <si>
    <t>Működési célú Áfa:
118.260 Ft*27%=31.930 Ft</t>
  </si>
  <si>
    <t>064010 Közvilágítás</t>
  </si>
  <si>
    <t>066010 Zöldterület kezelés</t>
  </si>
  <si>
    <t>Üzemeltetési anyag:
Hajtó és kenőanyag: 300.000 Ft
Munkaruha: 30.000 Ft
Egyéb anyag: 575.000 Ft
Összesen: 905.000 Ft</t>
  </si>
  <si>
    <t>Telefon, fax, mobil díj
(2.265 Ft*75%)*12 hó= 20.385 Ft</t>
  </si>
  <si>
    <t>Közüzemi díjak:
Villamosenergia: 8.334 Ft
Vízdíj: 12.380 Ft
Összesen: 20.714 Ft</t>
  </si>
  <si>
    <r>
      <t xml:space="preserve">Szolgáltatások ellenértéke:
</t>
    </r>
    <r>
      <rPr>
        <sz val="12"/>
        <rFont val="Times New Roman"/>
        <family val="1"/>
        <charset val="238"/>
      </rPr>
      <t>KLIK - fűnyírási szolg.: 31.299 * 6 hó=187.794 Ft</t>
    </r>
  </si>
  <si>
    <t>Fizetendő Áfa</t>
  </si>
  <si>
    <t>Működési bevétel</t>
  </si>
  <si>
    <t>066020 Város-, községgazdálkodási egyéb szolgáltatások</t>
  </si>
  <si>
    <t>Telefon, fax, mobil díj
2.806 Ft * 12 hó=33.672 Ft</t>
  </si>
  <si>
    <t>Közüzemi díjak:
Térfigyelő kamerák villamosenergia ellátása : 67.061 Ft</t>
  </si>
  <si>
    <t>Bérleti díj:
Körtvélyesi Istvánné - napelem terület: 150.000 Ft</t>
  </si>
  <si>
    <t>Egyéb szolgáltatások
LH Patent Security Kft.-riasztó: 36.000 Ft
Hess System - vagyonvédelem: 41.700 Ft
Aegon biztosító - falubusz: 11.458*4 név=45.832 Ft
Aegon Casco - falubusz: 26.094 Ft*4 név=104.376 Ft
TÜVI Kft. - poroltók vizsg: 57.180 Ft
Egyéb felmerülő: 200.000 Ft
Összesen: 485.088 Ft</t>
  </si>
  <si>
    <t>072111 Háziorvosi alapellátás</t>
  </si>
  <si>
    <t>Üzemeltetés anyag:
Egyéb anyag: 10.000 Ft</t>
  </si>
  <si>
    <t>Közüzemi díjak:
Villamosenergia: 14.306 Ft
Gázdíj: 189.770 Ft
Vízdíj: 50.942 Ft
Összesen: 255.018 Ft</t>
  </si>
  <si>
    <t>Egyéb szolgáltatások
LH Patent Security Kft.-riasztó: 12.000 Ft
Hess System - vagyonvédelem: 2.606 Ft*4 név=10.424 Ft
NHKV - huladékszállítás: 1.025 Ft*12 hó= 12.300 Ft
Összesen: 34.724 Ft</t>
  </si>
  <si>
    <t>Működési célú Áfa:
304.742*27%=82.280 Ft</t>
  </si>
  <si>
    <t>072311 Fogorvosi alapellátás</t>
  </si>
  <si>
    <t>Szakmai tevékenységet segítő szolgáltatások:
EESZI - fogászati ügyelet 187.600 Ft</t>
  </si>
  <si>
    <t>Működési célú Áfa:
434.842*27%=117.407 Ft</t>
  </si>
  <si>
    <t>074011 Foglalkoztatás-egészségügyi alapellátás</t>
  </si>
  <si>
    <t xml:space="preserve">Szakmai tevékenységet segítő szolgáltatások:
Medi-Vist Kft. - 260.500 Ft </t>
  </si>
  <si>
    <t>074031 Család és nővédelmi egészségügyi gondozás</t>
  </si>
  <si>
    <t>Üzemeltetés anyag:
Irodaszer: 5.145 Ft
Egyéb anyag: 9.712 Ft
Összesen: 14.857 Ft</t>
  </si>
  <si>
    <t>Informatikai szolgáltatások:
Stefánia védőnői nyilvántartó szoftver:
5.484 Ft * 4 negyedév=21.936 Ft</t>
  </si>
  <si>
    <t>Telefon, fax, mobil díj
(2.265*15,49%)*12 hó=4.210 Ft</t>
  </si>
  <si>
    <t>Közüzemi díjak:
Villamosenergia: 6.947 Ft
Gázdíj: 70.545 Ft
Vízdíj: 22.542 Ft
Összesen: 100.034 Ft</t>
  </si>
  <si>
    <t>B1605</t>
  </si>
  <si>
    <t>074032 Ifjúság-egészségügyi gondozás</t>
  </si>
  <si>
    <t>Üzemeltetés anyag:
Irodaszer: 34.146 Ft
Egyéb anyag: 14.869 Ft
Összesen: 49.015 Ft</t>
  </si>
  <si>
    <t>Informatikai szolgáltatások:
Stefánia védőnői nyilvántartó szoftver:
14.827 Ft * 4 negyedév=59.308 Ft</t>
  </si>
  <si>
    <t>Telefon, fax, mobil díj
(2.265*84,51%)*12 hó=22.970 Ft</t>
  </si>
  <si>
    <t>Közüzemi díjak:
Villamosenergia: 20.514 Ft
Gázdíj: 219.899 Ft
Vízdíj: 79.340 Ft
Összesen: 319.753 Ft</t>
  </si>
  <si>
    <t>081041 Versenysport- és utánpótlás-nevelési tevékenység és támogatás</t>
  </si>
  <si>
    <t>K51203</t>
  </si>
  <si>
    <t>Egyéb működési célú támogatások Áht. Kívülre civil szervezeteknek: (1.850.000)</t>
  </si>
  <si>
    <t>K512</t>
  </si>
  <si>
    <t>Egyéb működési célú támogatások Áht. Kívülre</t>
  </si>
  <si>
    <t>081045 Szabadidősport tevékenység és támogatás</t>
  </si>
  <si>
    <t>Egyéb működési célú támogatások Áht. Kívülre civil szervezeteknek: (450.000)</t>
  </si>
  <si>
    <t>082044 Könyvtári szolgáltatások</t>
  </si>
  <si>
    <t>Munkavégzésre irányuló egyéb jogviszony nem saját dolgozónak:
1 fő*40.000Ft* 12 hó= 480.000 Ft</t>
  </si>
  <si>
    <t>Működési célú Áfa:
3.000*27%=810 Ft</t>
  </si>
  <si>
    <t>082092 Közművelődés - hagyományos kulturális értékek gondozása</t>
  </si>
  <si>
    <t>Üzemeltetési anyag:
Munkaruha: 15.000 Ft
Egyéb anyag: 10.000 Ft
Összesen: 25.000 Ft</t>
  </si>
  <si>
    <t>Közüzemi díjak:
Villamosenergia: 911.417 Ft
Gázdíj: 408.652 Ft
Vízdíj: 7.972 Ft
Összesen: 1.328.041 Ft</t>
  </si>
  <si>
    <t>K72</t>
  </si>
  <si>
    <t>Ingatlan felújítás</t>
  </si>
  <si>
    <t>Felújítási célú áfa</t>
  </si>
  <si>
    <t>083030 Egyéb kiadói tevékenység</t>
  </si>
  <si>
    <t>Egyéb szolgáltatások:
Öttevényi újság kiadás: 450.000*2 fév=900.000 Ft</t>
  </si>
  <si>
    <t>084032 Civil szervezetek programtámogatása</t>
  </si>
  <si>
    <t>094260 Hallgatói és oktatói ösztöndíjak, egyéb juttatások</t>
  </si>
  <si>
    <t>K4</t>
  </si>
  <si>
    <t>Ellátottak pénzbeli juttatásai</t>
  </si>
  <si>
    <t>103010 Elhunyt személyek hátramaradottainak pénzbeli ellátása</t>
  </si>
  <si>
    <t>K486</t>
  </si>
  <si>
    <t>K48</t>
  </si>
  <si>
    <t>Egyéb nem intézményi ellátások</t>
  </si>
  <si>
    <t>104051 Gyermekvédelmi pénzbeli és természetbeni ellátások</t>
  </si>
  <si>
    <t>B1604</t>
  </si>
  <si>
    <t>106020 Lakásfenntartással, lakhatással összefüggő ellátások</t>
  </si>
  <si>
    <t>K482</t>
  </si>
  <si>
    <t>107051 Szociális étkezés</t>
  </si>
  <si>
    <t>107052 Házi segítségnyújtás</t>
  </si>
  <si>
    <t>Munkáltatókat terhelő járulékok</t>
  </si>
  <si>
    <t>107060 Egyéb szociális pénzbeli és természetbeni ellátások, támogatások</t>
  </si>
  <si>
    <t>K485</t>
  </si>
  <si>
    <t>Önkormányzati segély
Rendkívüli települési támogatás (42.750 Ft * 10 fő=427.500 Ft</t>
  </si>
  <si>
    <t>K488</t>
  </si>
  <si>
    <t>K489</t>
  </si>
  <si>
    <t>Egyéb intézményi ellátások</t>
  </si>
  <si>
    <t>900020 Önkormányzatok funkcióira nem sorolható bevételei Áht kívülről</t>
  </si>
  <si>
    <t>B311</t>
  </si>
  <si>
    <t>B31</t>
  </si>
  <si>
    <t>Jövedelemadók</t>
  </si>
  <si>
    <t>B343</t>
  </si>
  <si>
    <t>B34</t>
  </si>
  <si>
    <t>Vagyon típusú adók</t>
  </si>
  <si>
    <t>B351</t>
  </si>
  <si>
    <t>B354</t>
  </si>
  <si>
    <t>B355</t>
  </si>
  <si>
    <t>B35</t>
  </si>
  <si>
    <t>Termék és szolgáltatások adói</t>
  </si>
  <si>
    <t>B361</t>
  </si>
  <si>
    <t>B36</t>
  </si>
  <si>
    <t>Egyéb közhatalmi bevételek</t>
  </si>
  <si>
    <t>B3</t>
  </si>
  <si>
    <t>Közhatalmi bevételek</t>
  </si>
  <si>
    <t>Kiadás</t>
  </si>
  <si>
    <t>Bevétel</t>
  </si>
  <si>
    <t>Öttevényi Polgármesteri Hivatal</t>
  </si>
  <si>
    <t>Önkormányzatok és önkormányzati hivatalok jogalkotási ás általános igazgatási tevékenysége (011130/999000)</t>
  </si>
  <si>
    <t>Adó-, vám- és jövedéki igazgatás (011220/999000)</t>
  </si>
  <si>
    <t>Más szerv részére végzett pénzügyi szolgáltatás (013360)</t>
  </si>
  <si>
    <t>Támogatási célú finanszírozási műveletek (018030/999000)</t>
  </si>
  <si>
    <t>Gyermekétkeztetés köznevelési intézményben (096015/562912);
Gyermekétkeztetés bölcsődében (104035/889103)</t>
  </si>
  <si>
    <t>Gyermekvédelmi pénzbeli és természetbeni ellátások (104051/999000)</t>
  </si>
  <si>
    <t>Összesen</t>
  </si>
  <si>
    <t>Dr. Földesi Tamás</t>
  </si>
  <si>
    <t>Faragóné Kökény Anikó</t>
  </si>
  <si>
    <t>Horváthné Cserháti Lívia</t>
  </si>
  <si>
    <t>Megbízási díjak</t>
  </si>
  <si>
    <t>K1101 - Törvény szerinti illetmények, munkabérek</t>
  </si>
  <si>
    <t>K1103 - Céljuttatás, projektprémium</t>
  </si>
  <si>
    <t>K1104 - Készenléti, ügyeleti, helyettesítési díj, túlóra, túlszolgálat</t>
  </si>
  <si>
    <t xml:space="preserve">K1106 - Jubileumi jutalom </t>
  </si>
  <si>
    <t>K1107 - Béren kívüli juttatás (cafeteria)</t>
  </si>
  <si>
    <t>K1108 - Ruházati költségtérítés</t>
  </si>
  <si>
    <t>K1109 - Közlekedési költségtérítés</t>
  </si>
  <si>
    <t>K1110 - Egyéb költségtérítés (bank, szemüveg)</t>
  </si>
  <si>
    <t>K1113 - Foglalkoztatottak egyéb személyi juttatásai</t>
  </si>
  <si>
    <t>K11 - Foglalkoztatottak személyi juttatásai</t>
  </si>
  <si>
    <t>K121 - Választott tisztségviselők juttatásai</t>
  </si>
  <si>
    <t>K122 - Munkavégzésre irányuló egyéb jogviszonyban nem saját foglalkoztatottnak fizetett juttatások</t>
  </si>
  <si>
    <t xml:space="preserve">K123 - Egyéb külső személyi juttatások (Reprezentáció, céges telefon) </t>
  </si>
  <si>
    <t>K12 -Külső személyi juttatások</t>
  </si>
  <si>
    <t>K1 - Személyi juttatások</t>
  </si>
  <si>
    <t>K21 - Szociális hozzájárulási adó</t>
  </si>
  <si>
    <t>K22 - Rehabilitációs hozzájárulás</t>
  </si>
  <si>
    <t>K23 - Korkedvezmény-biztosítási járulék</t>
  </si>
  <si>
    <t>K24 - Egészségügyi hozzájárulás (cafeteria, reprezentáció, céges telefon)</t>
  </si>
  <si>
    <t>K25 - Táppénz hozzájárulás</t>
  </si>
  <si>
    <t>K26 - Egyéb járulék jellegű kötelezettség</t>
  </si>
  <si>
    <t>K27 - Munkáltatót terhelő személyi jövedelemadó (cafeteria, reprezentáció, céges telefon)</t>
  </si>
  <si>
    <t>K2 - Munkaadókat terhelő járulékok és szociális hozzájárulási adó</t>
  </si>
  <si>
    <t>K3111 - Gyógyszer</t>
  </si>
  <si>
    <t>K3112 - Vegyszerek</t>
  </si>
  <si>
    <t>K3113 - Papír alapú könyvek, folyóiratok (HVG, Munkaügyi levelek, Költégvetési levelek)</t>
  </si>
  <si>
    <t>K3115 - Elektronikus információ hordozók  (jogtár)</t>
  </si>
  <si>
    <t>K3116 - Egyéb szakmai anyag</t>
  </si>
  <si>
    <t>K311 - Szakmai anyagok</t>
  </si>
  <si>
    <t>K3121 - Élelmiszerek</t>
  </si>
  <si>
    <t>K3122 - Irodaszer, nyomtatványok</t>
  </si>
  <si>
    <t>K3123 - Tonnerek, festékpaptronok</t>
  </si>
  <si>
    <t>K3124 - Tüzelőanyagok, hajtó- és kenőanyagok</t>
  </si>
  <si>
    <t>K3125 - Munka- és védőruha</t>
  </si>
  <si>
    <t>K312 - Üzemeltetési anyagok</t>
  </si>
  <si>
    <t>K31 - Készletbeszerzés</t>
  </si>
  <si>
    <t>K3211 - Számítógép üzembe helyezése, rendszer tervezés</t>
  </si>
  <si>
    <t>K3216 - Inernetes portálok készítése, működtetése</t>
  </si>
  <si>
    <t xml:space="preserve">K321 - Informatikai szolgáltatások igénybevétele </t>
  </si>
  <si>
    <t>K322 - Egyéb kommunikációs szolgáltatások (telefon, fax, mobil)</t>
  </si>
  <si>
    <t>K32 - Kommunikációs szolgáltatások</t>
  </si>
  <si>
    <t>K3311 - Villamosenergia díja</t>
  </si>
  <si>
    <t>K3312 - Gázenergia díja</t>
  </si>
  <si>
    <t>K3313 - Távhő- és melegvíz szolgáltatás díja</t>
  </si>
  <si>
    <t>K3314 - Víz- és csatornadíj</t>
  </si>
  <si>
    <t>K331 - Közüzemi díjak</t>
  </si>
  <si>
    <t>K332 - Vásárolt élelmezés</t>
  </si>
  <si>
    <t>K333 - Bérleti és lizingdíjak</t>
  </si>
  <si>
    <t xml:space="preserve">K334 - Karbantartás és kisjavítási szolgáltatások </t>
  </si>
  <si>
    <t>K3351 - Közvetített szolgáltatások Áht-n belül</t>
  </si>
  <si>
    <t>K3352 - Közvetített szolgáltatások Áht-n kívül</t>
  </si>
  <si>
    <t>K335 - Közvetített szolgáltatások</t>
  </si>
  <si>
    <t>K336 - Szakmai tevékenységet segítő szolgáltatások</t>
  </si>
  <si>
    <t>K33 - Szolgáltatási kiadások</t>
  </si>
  <si>
    <t>K3411 - Foglalkoztatottak és választott tisztségviselők kiküldetései</t>
  </si>
  <si>
    <t>K3413 - Külsős kikületési költségei</t>
  </si>
  <si>
    <t>K341 - Kiküldetések kiadásai</t>
  </si>
  <si>
    <t>K342 - Reklám és propaganda kiadások</t>
  </si>
  <si>
    <t>K34 - Kiküldetések, reklám és propaganda kiadások</t>
  </si>
  <si>
    <t>K351 - Működési célú áfa</t>
  </si>
  <si>
    <t>K352 - Fizetendő áfa</t>
  </si>
  <si>
    <t>K3532 - Hitelek utánni kamatkiadásk</t>
  </si>
  <si>
    <t>K353 - Kamatkiadások</t>
  </si>
  <si>
    <t>K3551 - Behajthatalnal adott előlegek</t>
  </si>
  <si>
    <t>K3553 - Kerekítési különbözet</t>
  </si>
  <si>
    <t>K3554 - Adó-, vám-, illeték és más adójellegű kiadások</t>
  </si>
  <si>
    <t>K3555 - Kötelező jellegű díjak (közbeszerzés díja, műszaki vizsgáztatás, hatósági díjak)autópálya haszn díj</t>
  </si>
  <si>
    <t>K3556 - Egyéb dologi kiadások (kötbér, késedelmi kamat)</t>
  </si>
  <si>
    <t>K355 - Egyéb dologi kiadások</t>
  </si>
  <si>
    <t>K35 - Különféle befizetések é egyéb dologi kiadások</t>
  </si>
  <si>
    <t>K3 - Dologi kiadások</t>
  </si>
  <si>
    <t>K42 - Családi támogatások</t>
  </si>
  <si>
    <t>K441 - Ápolási díj méltányossági jogon</t>
  </si>
  <si>
    <t>K44 - Betegséggel kapcsolatos ellátások</t>
  </si>
  <si>
    <t>K458 - Foglalkoztatást helyettesítő támogatás</t>
  </si>
  <si>
    <t>K45 - Foglalkoztatással, munkanélküliséggel kapcsolatos ellátások</t>
  </si>
  <si>
    <t>K463 - Lakásfenntartási támogatás</t>
  </si>
  <si>
    <t>K46 - Lakhatással kapcsolatos ellátások</t>
  </si>
  <si>
    <t>K473 - Felsőoktatásba résztvevők részére nyújtott támogatás</t>
  </si>
  <si>
    <t>K47 - Intézményi ellátottak pénzbeli juttatásai</t>
  </si>
  <si>
    <t>K4822 - Köztemetés</t>
  </si>
  <si>
    <t>K4823 - Önkormányzat saját hatáskörben adott pénzügyi ellátás (közgyógy ellátás, lakásfenntartási támogatás, temetési támogatás, beiskolázási támogatás)</t>
  </si>
  <si>
    <t>K4824 - Önkormányzat saját hatáskörben adott természetbeni ellátás (rendkívüli gyermekvédelmi támogatás)</t>
  </si>
  <si>
    <t>K48 - Egyéb nem intézményi ellátások</t>
  </si>
  <si>
    <t>K4 - Ellátottak bénzbeli juttatásai</t>
  </si>
  <si>
    <t>K5021 - Jogosulatlan támogatás visszafizetése</t>
  </si>
  <si>
    <t>K5022 - Költségvetési maradványt terhelő visszafizetések</t>
  </si>
  <si>
    <t>K5024 - Költségvetési szervek többletbevétel után irányító szerv felé befizetési kötelezettsége</t>
  </si>
  <si>
    <t>K502 - Elvonások és befizetések (eredetiben nem tervezhető)</t>
  </si>
  <si>
    <t>K508 - Működési célú visszatérítendő támogatások, kölcsönök nyújtása Áht-n kívülre</t>
  </si>
  <si>
    <t>K511 - Egyéb működési célú támogatások Áht-n kívülre</t>
  </si>
  <si>
    <t>K512 - Tartalékok</t>
  </si>
  <si>
    <t>K5 - Egyéb működési célú kiadások</t>
  </si>
  <si>
    <t>K61 - Immateriális javak beszerzése</t>
  </si>
  <si>
    <t>K63 - Informatikai eszközök beszerzése</t>
  </si>
  <si>
    <t>K67 - Beruházási célú áfa</t>
  </si>
  <si>
    <t>K6 - Beruházások</t>
  </si>
  <si>
    <t>K71 - Ingatlanok felújítása</t>
  </si>
  <si>
    <t>K72 - Informatikai eszközök felújítása</t>
  </si>
  <si>
    <t>K73 - Egyéb tárgyi eszközök felújítása</t>
  </si>
  <si>
    <t>K74 - Felújítási célú áfa</t>
  </si>
  <si>
    <t>K7 - Felújítások</t>
  </si>
  <si>
    <t>K86 - Felhalmozási célú visszatérítendő támogatások Áht-n kívülre</t>
  </si>
  <si>
    <t>K88 - Egyéb felhalmozási célú támogatások Áht-n kívülre</t>
  </si>
  <si>
    <t>K8 - Egyéb felhalmozási célú kiadások</t>
  </si>
  <si>
    <t>K9111 - Hosszú lejáratú hitelek, kölcsönök törlesztése Áht-n kívülre</t>
  </si>
  <si>
    <t>K911 - Hitel, kölcsön törlesztés Áht-n kívülre</t>
  </si>
  <si>
    <t>K914 - Megelőlegezések visszafizetése Áht-n belül</t>
  </si>
  <si>
    <t>K915 - Irányítószervi támogatás</t>
  </si>
  <si>
    <t>K91 - Belföldi finanszírozás kiadásai</t>
  </si>
  <si>
    <t>K9 - Finanszírozási kiadások</t>
  </si>
  <si>
    <t>KIADÁSOK</t>
  </si>
  <si>
    <t>B111 - Helyi önkormányzatok működésének általános támogatása</t>
  </si>
  <si>
    <t>B112 - Települési önkormányzatok egyes köznevelési feladatainak támogatása</t>
  </si>
  <si>
    <t>B113 - Települési önkormányzatok szociális, gyermekjóléti és gyermekétkeztetési feladatainak támogatása</t>
  </si>
  <si>
    <t>B114 - Települési önkormányzatok kulturális feladatainak támogatása</t>
  </si>
  <si>
    <t>B115 - Működési célú központosított előirányzatok</t>
  </si>
  <si>
    <t>B116 - Helyi önkormányzatok kiegészítő támogatásai</t>
  </si>
  <si>
    <t>B11 - Önkormányzatok működési támogatásai</t>
  </si>
  <si>
    <t>B122 - Költségvetési maradványt terhelő befizetési kötelezettség teljesítéséből származó bevétel</t>
  </si>
  <si>
    <t>B12 - Elvonások és befizetések bevételei</t>
  </si>
  <si>
    <t>B16 - Egyéb működési célú támogatások bevételei Áht-n belülről</t>
  </si>
  <si>
    <t>B1 - Működési célú támogatások Áht-n belülről</t>
  </si>
  <si>
    <t>B211 - Felhalmozási célra biztosított központosított bevételek</t>
  </si>
  <si>
    <t>B212 - Vis maior támogatások</t>
  </si>
  <si>
    <t>B213 - Egyéb felhalomzási célú támogatások</t>
  </si>
  <si>
    <t>B21 - Felhalmozási célú önkormányzti támogatások</t>
  </si>
  <si>
    <t>B25 - Egyéb felhalmozási célú támogatások Áht-n belülről</t>
  </si>
  <si>
    <t>B2 - Felhalmozási célú támogatások Áht-n belülről</t>
  </si>
  <si>
    <t>B342 - Épületek utánni idegenforgalmi adó</t>
  </si>
  <si>
    <t>B343 - Magánszemélyek kommunális adója</t>
  </si>
  <si>
    <t>B34 - Vagyoni típusú adók</t>
  </si>
  <si>
    <t>B3517 - Állabdó jelleggel végzett iparűzési adó</t>
  </si>
  <si>
    <t>B3518 - Ideiglenes jelleggel végzett iparűzési adó</t>
  </si>
  <si>
    <t>B351 - Értékesítési és forgalmi adó</t>
  </si>
  <si>
    <t>B3541 - Gépjárműadó központi ktgvetést megillető része</t>
  </si>
  <si>
    <t>B3542 - Gépjárműadó helyi önkormányzatot megillető része</t>
  </si>
  <si>
    <t>B354 - Gépjárműadó</t>
  </si>
  <si>
    <t>B3559 - Telejterhelési díj</t>
  </si>
  <si>
    <t>B355 - Egyéb áruhasználati és szolgáltatási adó</t>
  </si>
  <si>
    <t>B35 - Termékek és szolgáltatások adói</t>
  </si>
  <si>
    <t>B362 - Eljárási illetékek</t>
  </si>
  <si>
    <t>B363 - Igazgatási szolgáltatási díj</t>
  </si>
  <si>
    <t>B3610 - Építésügyi bírság</t>
  </si>
  <si>
    <t>B3611 - Szabálysértési pénz- és helyszíni bírság</t>
  </si>
  <si>
    <t>B3612 - Egyéb bírság</t>
  </si>
  <si>
    <t>B36 - Egyéb közhatalmi bevételek</t>
  </si>
  <si>
    <t>B3 - Közhatalmi bevételek</t>
  </si>
  <si>
    <t>B402 - Szolgáltatások ellenértéke</t>
  </si>
  <si>
    <t>B403 - Közvetített szolgáltatások ellenértéke</t>
  </si>
  <si>
    <t>B4041 - Tárgyi eszköz ellenérték fejében történű vagyonkezelésbe, haszonbérbe adásából származó bevételek</t>
  </si>
  <si>
    <t>B404 - Tulajdonosi bevételek</t>
  </si>
  <si>
    <t>B405 - Ellátási díjak</t>
  </si>
  <si>
    <t>B406 - Kiszámlázott áfa</t>
  </si>
  <si>
    <t>B407 - Áfa visszatérítés</t>
  </si>
  <si>
    <t>B408 - Kamatbevételek</t>
  </si>
  <si>
    <t>B410 - Egyéb működési bevételek</t>
  </si>
  <si>
    <t>B4 - Működési bevételek</t>
  </si>
  <si>
    <t>B52 - Ingatlanok értékesítése</t>
  </si>
  <si>
    <t>B53 - Egyéb tárgyi eszközök értékesítése</t>
  </si>
  <si>
    <t>B5 - Felhalmozási bevételek</t>
  </si>
  <si>
    <t>B63 - Egyéb működési célú átvett pénzeszköz</t>
  </si>
  <si>
    <t>B6 - Működési célú átvett pénzeszköz</t>
  </si>
  <si>
    <t>B74 - Egyéb felhalmozási célú kölcsön visszatérítése</t>
  </si>
  <si>
    <t>B7 - Felhalmozási célú átvett pénzeszköz</t>
  </si>
  <si>
    <t>B8111 - Hosszú lejáratú hitelek, kölcsönök felvétele</t>
  </si>
  <si>
    <t>B811 - Hitel-, kölcsöfelévtel Áht-n kívülről</t>
  </si>
  <si>
    <t>B8131 - Előző év költségvetési maradvány igénybevétele</t>
  </si>
  <si>
    <t>B813 - Maradvány igénybevétele</t>
  </si>
  <si>
    <t>B814 - Áht-n belüli megelőlegezések</t>
  </si>
  <si>
    <t>B816 - Irányító szervi támogatás</t>
  </si>
  <si>
    <t>B81 - Belföldi finanszírozás bevétele</t>
  </si>
  <si>
    <t>B8 - Finanszírozási bevételek</t>
  </si>
  <si>
    <t>BEVÉTELEK</t>
  </si>
  <si>
    <t>Különbözet</t>
  </si>
  <si>
    <t>Támogatás</t>
  </si>
  <si>
    <t>Érdekeltségi</t>
  </si>
  <si>
    <t>Hivatal hiány</t>
  </si>
  <si>
    <t>Konyha hiány</t>
  </si>
  <si>
    <t>Szoc támogatás</t>
  </si>
  <si>
    <t>Összes támogatás</t>
  </si>
  <si>
    <t>Önkormányzati hozzájárulás</t>
  </si>
  <si>
    <t>Öttevényi Mackó-Kuckó Napközi Otthonos Óvoda és Bölcsőde</t>
  </si>
  <si>
    <t>Óvodai nevelés, ellátás szakmai feladatai (091110/999000)</t>
  </si>
  <si>
    <t>Sajátos nevelési igényű gyermekek óvodai nevelése (0911120/999000)</t>
  </si>
  <si>
    <t>Óvodai nevelés működtetése (091140/999000)</t>
  </si>
  <si>
    <t>Gyermekek napközbeni ellátása (104031/889101)</t>
  </si>
  <si>
    <t>Gyermekétkeztetés köznevelési intézményben (096015/562912)</t>
  </si>
  <si>
    <t>Gyermekétkeztetés bölcsődében (104035/889103)</t>
  </si>
  <si>
    <t>Bab Károlyné</t>
  </si>
  <si>
    <t>Érdiné Szabó Edina</t>
  </si>
  <si>
    <t>Gerencsér Tamásné</t>
  </si>
  <si>
    <t>Gősiné Köntös Marianna</t>
  </si>
  <si>
    <t>Szabóné Sánta Annamária</t>
  </si>
  <si>
    <t>Tubáné Horváth Erika</t>
  </si>
  <si>
    <t>Domján Gáborné</t>
  </si>
  <si>
    <t>Kissné Laki Renáta Ildikó</t>
  </si>
  <si>
    <t>Némethné Cordier Alíz</t>
  </si>
  <si>
    <t>Óvoda</t>
  </si>
  <si>
    <t>Balázsné Nádasi Edina</t>
  </si>
  <si>
    <t>Tamás Renáta</t>
  </si>
  <si>
    <t>Burcz Márta</t>
  </si>
  <si>
    <t>Bölcsőde</t>
  </si>
  <si>
    <t>K1110 - Egyéb költségtérítés (napidíj)</t>
  </si>
  <si>
    <t xml:space="preserve">K3113 - Papír alapú könyvek, folyóiratok </t>
  </si>
  <si>
    <t xml:space="preserve">K3115 - Elektronikus információ hordozók </t>
  </si>
  <si>
    <t>K3213 - Informatikai eszközök bérleti, karbantartása (Fax, nyomtatók karbantartása 50 000 Ft)</t>
  </si>
  <si>
    <t>K3217 - Számítógépek közötti adatátviteli célú távközlési kapcsolatok (internet előfizetés )</t>
  </si>
  <si>
    <t>K3361 - Egészségügyi, okatási, szociális, útüzemeltetési, környezetvédelmi szolgáltatások</t>
  </si>
  <si>
    <t>K3362 - Más szakmai jellegű szolgáltatás</t>
  </si>
  <si>
    <t>K3555 - Kötelező jellegű díjak</t>
  </si>
  <si>
    <t>K4215 - Egyéb pénzbeli és természetbeni gyermekvédelmi támogatások(Természetbeni gyv. T. - Erzsébet utalványok 5800 Ft x 40 fő</t>
  </si>
  <si>
    <t>Óvoda működési támogatás (8 hó)</t>
  </si>
  <si>
    <t>Bölcsődei dolgozók támogatása</t>
  </si>
  <si>
    <t>Óvoda működési támogatás (4 hó)</t>
  </si>
  <si>
    <t>Bölcsődei üzemeltetési támogatás</t>
  </si>
  <si>
    <t>Óvoda minősített pedagógus támogatás</t>
  </si>
  <si>
    <t>Szoc támogatás bölcsődére</t>
  </si>
  <si>
    <t>Molnár Imréré</t>
  </si>
  <si>
    <t>Veneszné Gecsei Fatime</t>
  </si>
  <si>
    <t>Jandó Árpádné</t>
  </si>
  <si>
    <t>Dr. Gyöngy Anna</t>
  </si>
  <si>
    <t>Czank-Kuti Adrienn</t>
  </si>
  <si>
    <t>B411 - Egyéb működési bevételek</t>
  </si>
  <si>
    <t xml:space="preserve">B411 - Egyéb működési bevétel </t>
  </si>
  <si>
    <t>K3126 - Egyéb anyag:tisztítószerek, elem, egyéb karbantartási anyagok</t>
  </si>
  <si>
    <t>K3351 - Közvetített szolgáltatások Áht-n belül (Konyha közüzemi díj)</t>
  </si>
  <si>
    <t>Farkasné Kristóf Zsuzsanna</t>
  </si>
  <si>
    <t>Dr. Királyné Szabadkai Márta</t>
  </si>
  <si>
    <t>K3116 - Egyéb szakmai anyag
(Eszközök gondozási feladathoz 95.000 Ft, fogalakozási eszközök 600.000 Ft, szakmai munkához naplók 35.000 Ft, egyéb 40.000 Ft)</t>
  </si>
  <si>
    <t>K337 - Egyéb szolgáltatások (Bank ktg 100.000 Ft, szemét szállítás 140.000 Ft, Posta 10.000 Ft, Egyéb üzemeltetési szolgáltatás - kirándulások, egyéb 450.000 Ft)</t>
  </si>
  <si>
    <t>Nagy József Gábor</t>
  </si>
  <si>
    <t xml:space="preserve">K3126 - Egyéb anyag:tisztítószerek, elem,  karbantartási anyagok, egyéb </t>
  </si>
  <si>
    <t>Önkormányzat saját hatáskörben adott természetbeni ellátás:
Segélycsomagok: 742.000 Ft</t>
  </si>
  <si>
    <t>Egyéb dologi kiadások:</t>
  </si>
  <si>
    <t>Települési támogatás:
Lakásfenntartási tám.: 5 fő * 2.500 Ft *12 hó = 150.000 Ft</t>
  </si>
  <si>
    <t>Temetési segély: 25.500 * 5 fő=127.500 Ft</t>
  </si>
  <si>
    <t>Intézményi ellátottak támogatása
résztvevők pénzbeli juttatásai
Bursa: 2 félév*200.000 Ft = 400.000 Ft</t>
  </si>
  <si>
    <t>084031 Civil szervezetek működési támogatása</t>
  </si>
  <si>
    <t>Telefon, fax, mobil díj
(27%) 5.193 Ft*12hó=62.316 Ft
(5%) 6.500 Ft*12hó=78.000 Ft
Összesen: 140.316 Ft</t>
  </si>
  <si>
    <t>Szakmai anyag:</t>
  </si>
  <si>
    <t>Üzemeltetési anyag:
Hajtó és kenőanyag: 410.278 Ft
Munkaruha: 60.000 Ft
Egyéb anyag (csavarok, kulcsok …): 738.237 Ft
Összesen: 1.208.515 Ft</t>
  </si>
  <si>
    <t>Működési célú Áfa:
1.870.096*27%=504.926 Ft</t>
  </si>
  <si>
    <t xml:space="preserve">Felújítási célú áfa </t>
  </si>
  <si>
    <t xml:space="preserve">Beruházási célú áfa </t>
  </si>
  <si>
    <t>Vagyoni értékű jog</t>
  </si>
  <si>
    <t xml:space="preserve">Működési célú áfa </t>
  </si>
  <si>
    <t>Egyéb szolgáltatások</t>
  </si>
  <si>
    <t>Üzemeltetési anyag (járda önereje)</t>
  </si>
  <si>
    <t>Szakmai tevékenységet segítő szolgáltatás
Xantus János Állatkert Közhasznú Nonprofit Kft. - gyepmesteri szolgáltatás: 50.000*12 hó = 600.000 Ft</t>
  </si>
  <si>
    <t>Működési célú Áfa:
600.000*27%=162.000 Ft</t>
  </si>
  <si>
    <t>Egyéb működési célú kiadás</t>
  </si>
  <si>
    <t>K5063</t>
  </si>
  <si>
    <t xml:space="preserve">K506 </t>
  </si>
  <si>
    <t>Egyéb működési célú kiadás Áht belülre</t>
  </si>
  <si>
    <t>B115</t>
  </si>
  <si>
    <t>Bérleti díjak</t>
  </si>
  <si>
    <t>Üzemeltetési anyagok
Nem reprezentációnak minősülő rendezvények anyagai</t>
  </si>
  <si>
    <t>Közvetített szolgáltatások</t>
  </si>
  <si>
    <t>B52</t>
  </si>
  <si>
    <t>Ingatlanok értékesítése</t>
  </si>
  <si>
    <t>Felhalmozási célú támogatás</t>
  </si>
  <si>
    <r>
      <t xml:space="preserve">Támogatások áht belül
</t>
    </r>
    <r>
      <rPr>
        <sz val="12"/>
        <rFont val="Times New Roman"/>
        <family val="1"/>
        <charset val="238"/>
      </rPr>
      <t xml:space="preserve">Szigetköz-Felső-Duna mente Társulás - tagdíj: 46.140 Ft
Győr Nagytérségi Hulladék Társulás - tagdíj: 808.408 Ft
</t>
    </r>
    <r>
      <rPr>
        <b/>
        <sz val="12"/>
        <rFont val="Times New Roman"/>
        <family val="1"/>
        <charset val="238"/>
      </rPr>
      <t>Összesen: 854.548 Ft</t>
    </r>
  </si>
  <si>
    <r>
      <t xml:space="preserve">Egyéb dologi kiadások:
Települési Önkormányzatok OSZ - tagdíj: 61.180 Ft
Magyar Limes Szövetség: díj 50.000 Ft
</t>
    </r>
    <r>
      <rPr>
        <b/>
        <sz val="12"/>
        <rFont val="Times New Roman"/>
        <family val="1"/>
        <charset val="238"/>
      </rPr>
      <t>Összesen:  111.180 Ft</t>
    </r>
  </si>
  <si>
    <t>Hiány (+)</t>
  </si>
  <si>
    <t>2020 költségvetés
(Ft)</t>
  </si>
  <si>
    <t>Választás, népszvazás (016010, 016020/999000)</t>
  </si>
  <si>
    <t>Benkő Réka anyakönyv (50%)</t>
  </si>
  <si>
    <t>Benkő Réka igazgatás (50%)</t>
  </si>
  <si>
    <t>Aljegyzői státusz</t>
  </si>
  <si>
    <t>Tallérné Kosztolányi Anita</t>
  </si>
  <si>
    <t>Fülöp Anita Andrea (75%)</t>
  </si>
  <si>
    <t>Pénzügy státusz 1 (50%)</t>
  </si>
  <si>
    <t>Turiné Török Anita</t>
  </si>
  <si>
    <t>Csöndesné Halász Erika</t>
  </si>
  <si>
    <t>Román László</t>
  </si>
  <si>
    <t>Hivatali keret</t>
  </si>
  <si>
    <t>Adó státusz</t>
  </si>
  <si>
    <t>Adó keret</t>
  </si>
  <si>
    <t>Fülöp Anita Andrea (25%)</t>
  </si>
  <si>
    <t>Szakács státusz</t>
  </si>
  <si>
    <t>Szabóné Lipót Rozália</t>
  </si>
  <si>
    <t>Konyha keret</t>
  </si>
  <si>
    <t>K1113 - Foglalkoztatottak egyéb személyi juttatásai (megbízási díj, egyéb)</t>
  </si>
  <si>
    <t>K24 - Egészségügyi hozzájárulás (reprezentáció, céges telefon)</t>
  </si>
  <si>
    <t>K3217 - Számítógépek közötti adatátviteli célú távközlési kapcsolatok (internet előfizetés Magyar Telekom)</t>
  </si>
  <si>
    <t>K3361 - Egészségügyi, okatási, szociális, útüzemeltetési, környezetvédelmi szolgáltatások (szakmai továbbképzések 1 fő mérlegképes  k. továbbképzése, 20.000 Ft x3= 60.000  Ft,egyéb konferenciák, továbbképzések 100.000 Ft)</t>
  </si>
  <si>
    <t>K337 - Egyéb szolgáltatások (Közszolgálati egyetem 200.000 Ft, Hess riasztó 70.000 Ft 12.000 Ft , számlavezetési díj 350 000 FT, Tulajdoni lapok:30 000Ft, hirdetés 50.000 Ft, Asis S. hulladék 10.000 Ft*12 hó, egyéb 90.000 Ft)</t>
  </si>
  <si>
    <t>K4215 - Egyéb pénzbeli és természetbeni gyermekvédelmi támogatások</t>
  </si>
  <si>
    <t xml:space="preserve">K64 - Egyéb tárgyi eszközök beszerzése </t>
  </si>
  <si>
    <t>Étkezés személyi támogatás</t>
  </si>
  <si>
    <t>Támogatás eredetiben nem tervezhető</t>
  </si>
  <si>
    <t>Étkezés dologi támogatás</t>
  </si>
  <si>
    <t>Inotai-Dékán Veronika</t>
  </si>
  <si>
    <t>Herenkovics Virág</t>
  </si>
  <si>
    <t>Nagy Anett Mária</t>
  </si>
  <si>
    <t>Lévainé Krejcsa Melinda</t>
  </si>
  <si>
    <t>Szili-Bárnyi Karolina</t>
  </si>
  <si>
    <t>Titkár (4 órás)</t>
  </si>
  <si>
    <t>Takácsné Benkő Hajnal Emese</t>
  </si>
  <si>
    <t>Süle Ildikó</t>
  </si>
  <si>
    <t>Tóthné Sík Aranka</t>
  </si>
  <si>
    <t>Brányi-Takács Éva (VT)</t>
  </si>
  <si>
    <t>Óvoda pedagógusok bértámogatás</t>
  </si>
  <si>
    <t>Kisegítők bértámogatása</t>
  </si>
  <si>
    <r>
      <t xml:space="preserve">K63 - Informatikai eszközök beszerzése
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</si>
  <si>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K71 - Ingatlanok felújítása
</t>
    </r>
    <r>
      <rPr>
        <sz val="11"/>
        <color theme="1"/>
        <rFont val="Calibri"/>
        <family val="2"/>
        <charset val="238"/>
        <scheme val="minor"/>
      </rPr>
      <t>(Kerítés felújítás)</t>
    </r>
  </si>
  <si>
    <r>
      <t xml:space="preserve">K64 - Egyéb tárgyi eszközök beszerzése
</t>
    </r>
    <r>
      <rPr>
        <sz val="11"/>
        <color theme="1"/>
        <rFont val="Calibri"/>
        <family val="2"/>
        <charset val="238"/>
        <scheme val="minor"/>
      </rPr>
      <t>(Keret)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/>
    </r>
  </si>
  <si>
    <t>2020. évi rovatrend</t>
  </si>
  <si>
    <t xml:space="preserve">   2020. évi fő tételek (E Ft)</t>
  </si>
  <si>
    <t>Törvény szerintri illetmény</t>
  </si>
  <si>
    <t>Közlekedési költségtérítés</t>
  </si>
  <si>
    <t>Foglalkoztatottak egyéb személyi juttatása
(betegszabadság, egyéb hozzájárulás)
2020. évi keret: 100.000 Ft</t>
  </si>
  <si>
    <t>Közlekedési költségtérítés
1 fő * 9.000 Ft * 12 hó = 108.000 Ft</t>
  </si>
  <si>
    <t>Törvény szerinti illetmények, munkabérek:
1 fő*236.000 Ft*1 hó=236.000 Ft
1 fő*255.000 Ft*11 hó = 2.805.000 Ft
1 fő*320.000 Ft*11 hó = 3.520.000 Ft
Összesen: 6.561.000 Ft</t>
  </si>
  <si>
    <t>Szociális hozzájárulási adó
6.561.000 Ft * 17,5% = 1.148.175 Ft
300.000 Ft * 1,18*17,5%=61.950 Ft
Összesen: 1.210.125 Ft</t>
  </si>
  <si>
    <t>Egészségügyi hozzájárulás</t>
  </si>
  <si>
    <t>Munkáltatót terhelő személyi jövedelem adó
Cafetéria után fizetendő: 
300.000 Ft*1,18*15%=53.100 Ft
Cégtelefon adó éves keret: 5.000 Ft
Összesen: 58.100 Ft</t>
  </si>
  <si>
    <t>Törvény szerinti illetmények, munkabérek:
1 fő*236.000 Ft*1 hó=236.000 Ft
1 fő*255.000 Ft*11 hó=2.805.000 Ft
Összesen: 3.041.000 Ft</t>
  </si>
  <si>
    <t>Szociális hozzájárulási adó
3.041.000 Ft *17,5%= 532.175 Ft
150.000 Ft*1,18*17,5%=30.975 Ft
Összesen: 563.150 Ft</t>
  </si>
  <si>
    <t>Munkáltatót terhelő személyi jövedelem adó
Cafetéria után fizetendő: 
1 fő*150.000 Ft*1,18*15%=26.550 Ft
Cégtelefon adó éves keret: 3.000 Ft
Összesen: 29.550 Ft</t>
  </si>
  <si>
    <t>Illetmény
1 fő * 149.000 Ft * 1 hó = 149.000 Ft
1 fő * 161.000 Ft *11 hó= 1.771.000 Ft
Összesen: 1.920.000 Ft</t>
  </si>
  <si>
    <t>Törvény szerinti illetmények, munkabérek:
1 fő*302.600 Ft*1 hó=302.600 Ft
1 fő*336.000 Ft*11 hó = 3.696.000 Ft
Összesen: 3.998.600 Ft</t>
  </si>
  <si>
    <t>Szociális hozzájárulási adó
3.999.000 Ft * 17,5% = 699.825 Ft
150.000 Ft*1,18*17,5%=30.975 Ft
Összesen: 730.800 Ft</t>
  </si>
  <si>
    <t>Munkáltatót terhelő személyi jövedelem adó
Cafetéria után fizetendő: 
150.000 Ft*1,18*15%=26.550 Ft
Cégtelefon adó éves keret: 5.000 Ft
Összesen: 31.550 Ft</t>
  </si>
  <si>
    <t>K1104</t>
  </si>
  <si>
    <t>Helyettesítési díj, túlóra pótlék
2020. évi keret</t>
  </si>
  <si>
    <t>Mebízási díj
2020. évi keret</t>
  </si>
  <si>
    <t>Munkáltatót terhelő személyi jövedelem adó
Cafetéria után fizetendő: 
150.000 Ft*1,18*15%= 26.550 Ft
Cégtelefon adó éves keret: 27.000 Ft
Reprezentáció után fizetendő: 200.000Ft*1,18*15%=35.400 Ft
Összesen: 88.950 Ft</t>
  </si>
  <si>
    <t>Egyéb külső személyi juttatások
Reprezentáció:  200.000 Ft</t>
  </si>
  <si>
    <t>Üzemeltetési anyag</t>
  </si>
  <si>
    <t>Informatikai szolgáltatás:
Molnár László (AM) - honlap karbantartás: 5.000*12 hó= 60.000 Ft
Localinfo - közérdekű karbantartás: 4.000*12 hó= 48.000 Ft
Web-Server Kft. - tárhely: 16.000 Ft
E-Szoft Team - eper: 15.000 Ft*12 hó=180.000 Ft
Internet díj: 71.000 Ft
Összesen: 375.000 Ft</t>
  </si>
  <si>
    <t>Egyéb szolgáltatások
Kiss Sándor(AM) - tanácsadás: 50.000*4=200.000 Ft
Bank ktg (ÁHK): 3.150.000 Ft
Magyar Posta(AM) - levélfeladás: 555.000 Ft
Összesen: 3.905.000 Ft</t>
  </si>
  <si>
    <t>Kiküldetés költségei
300.000 Ft</t>
  </si>
  <si>
    <t>Működési célú Áfa:
2.131.000*27%=575.370 Ft</t>
  </si>
  <si>
    <t>Immateriális javak</t>
  </si>
  <si>
    <r>
      <t xml:space="preserve">Egyéb működési bevétel:
</t>
    </r>
    <r>
      <rPr>
        <sz val="12"/>
        <rFont val="Times New Roman"/>
        <family val="1"/>
        <charset val="238"/>
      </rPr>
      <t>Közműfejlesztési hj: 150.000 Ft</t>
    </r>
  </si>
  <si>
    <t>Szociális hozzájárulási adó
14.772.000 Ft * 17,5% = 2.585.100 Ft</t>
  </si>
  <si>
    <t>Szolgáltatások nyújtása</t>
  </si>
  <si>
    <t>Egyéb külső személyi juttatások</t>
  </si>
  <si>
    <t>Szociális hozzájárulási adó
2.420.000 Ft * 17,5% = 423.500 Ft
150.000 Ft *1,18*17,5%=30.975 Ft
Összesen: 454.475 Ft</t>
  </si>
  <si>
    <t>Egyéb szolgáltatások
LH Patnet- riasztó: 96.000 Ft + 11.475*4=141.900 Ft
Aegon biztosító(M) - vagyon: 77.545*4=310.180 Ft
GYHG - hulladék: 4.100 * 12 hó=49.200 Ft
Hess System - vagyonvédelem: 29.729 *4=118.916 Ft
Egyéb: 2.000.000 Ft
Összesen: 2.620.196 Ft</t>
  </si>
  <si>
    <t>Működési célú Áfa:
5.346.000 Ft*27%= 1.443.420 Ft</t>
  </si>
  <si>
    <t>Szociális hozzájárulási adó
Reprezentáció után 1,18*17,5%: 82.600 Ft</t>
  </si>
  <si>
    <t>Személyi jövedelemadó
Reprezentáció után fizetendő 1,18*15%=70.800 Ft</t>
  </si>
  <si>
    <r>
      <t xml:space="preserve">Köznevelési feladatok támogatása:
Óvoda bértámogatás: 37.594.900 Ft
Kisegítők bértámogatása: 14.400.000 Ft
Óvoda működési tám.: 8.834.180 Ft
Kiegészítő támogatás minősítés: 831.000 Ft
</t>
    </r>
    <r>
      <rPr>
        <b/>
        <sz val="12"/>
        <rFont val="Times New Roman"/>
        <family val="1"/>
        <charset val="238"/>
      </rPr>
      <t>Összesen: 61.660.080 Ft</t>
    </r>
  </si>
  <si>
    <r>
      <t xml:space="preserve">Szociális feladatok támogatása:
Egyéb támogatás: 8.330.447 Ft
Bölcsődei ellátás bér: 13.398.000 Ft
Bölcsődei üzemeltetési: 1.917.000 Ft
Gyermekétkeztetés tám.: 11.264.000 Ft
Gyermekétkeztetés műk.tám.: 3.220.603 Ft
</t>
    </r>
    <r>
      <rPr>
        <b/>
        <sz val="12"/>
        <rFont val="Times New Roman"/>
        <family val="1"/>
        <charset val="238"/>
      </rPr>
      <t>Összesen: 38.130.050 Ft</t>
    </r>
  </si>
  <si>
    <t>Kulturális feladatok támogatása: 3.846.825 Ft</t>
  </si>
  <si>
    <t>Kiegészítő bérrendszeri juttatás</t>
  </si>
  <si>
    <t>Kónyi társulásnak megállapodás alapján fizetendő elszámolás: 
Házi segítségnyújtás: 3.000.000 Ft</t>
  </si>
  <si>
    <t>Áht belüli megelőlegezés visszafizetése: 6.713.595 Ft</t>
  </si>
  <si>
    <t>Törvény szerinti illetmények, munkabérek:
6 fő*81.530 Ft * 3 hó=1.467.540 Ft</t>
  </si>
  <si>
    <r>
      <t xml:space="preserve">Szociális hozzájárulási adó
</t>
    </r>
    <r>
      <rPr>
        <sz val="12"/>
        <rFont val="Times New Roman"/>
        <family val="1"/>
        <charset val="238"/>
      </rPr>
      <t>(1.467.540 Ft*9,75%=143.085 Ft)</t>
    </r>
  </si>
  <si>
    <t>Egyéb működési célú támogatás Áht. Belülről elkülőnített állami pénzalapok
1.610.625*90%=1.449.563 Ft</t>
  </si>
  <si>
    <t>Közüzemi díjak</t>
  </si>
  <si>
    <t>Működési célú Áfa</t>
  </si>
  <si>
    <t>Törvény szerinti illetmények, munkabérek</t>
  </si>
  <si>
    <t>Béren kívüli juttatás (Cafetéria)</t>
  </si>
  <si>
    <t>Szociális hozzájárulási adó</t>
  </si>
  <si>
    <t>Munkáltatót terhelő személyi jövedelem adó</t>
  </si>
  <si>
    <t>Karbantartás, kisjavítás
Tátika játszótér játék nagyjavítás, felújítás: 1.574.803 Ft</t>
  </si>
  <si>
    <t>Működési célú Áfa:
2.798.000*27%=755.460 Ft</t>
  </si>
  <si>
    <t>Egyéb működési célú támogatás Áht belülről társadalombiztosítás pénzügyi alapja:
OEP finanszírozás területi védőnői ellátás
(103.000 Ft+33.300+33.000 Ft)*12 hó= 2.031.600 Ft</t>
  </si>
  <si>
    <t>Működési célú Áfa:
203.000*27%=54.810 Ft</t>
  </si>
  <si>
    <t>Szakmai tevékenységet segítő szolgáltatások:
Mediment Kft. OEP finansz= 157.200 Ft</t>
  </si>
  <si>
    <t>Működési célú Áfa:
660.000*27%=178.200 Ft</t>
  </si>
  <si>
    <t>Egyéb működési célú támogatás Áht belülről társadalombiztosítás pénzügyi alapja:
OEP finanszírozás 
Iskola eü: 12.300 Ft*12 hó= 147.600 Ft
Védőnői ellátás: 324.000 Ft * 12 hó=3.888.000 Ft
Összesen: 4.035.600 Ft</t>
  </si>
  <si>
    <t xml:space="preserve">Szociális hozzájárulási adó
1 fő - 480.000 * 17,5%= 84.000 Ft </t>
  </si>
  <si>
    <t>Szakmai tevékenységet segítő szolgáltatás:
ÖTV üzemeltetés: 270.000 Ft*12 hó=3.240.000 Ft</t>
  </si>
  <si>
    <t>Működési célú Áfa:
4.781.000*27%=1.290.870 Ft</t>
  </si>
  <si>
    <t>Egyéb szolgáltatások
LH Patent Security Kft.-riasztó: 48.000 Ft
Előadói díjak: 1.500.000 Ft
Összesen: 1.548.000 Ft</t>
  </si>
  <si>
    <t>Egyéb működési célú támogatások bevételei Áht. Belülről egyéb fejezeti kezelésű eitől</t>
  </si>
  <si>
    <t>Személyi jövedelmadó</t>
  </si>
  <si>
    <t>Önkormányzat saját hatáskörben adott pénzügyi ellátás:
Beiskolázási támogatás: 8.000 Ft * 120 gyermek = 960.000 Ft
Szociális kölcsön: 2 fő * 100.000 = 200.000 Ft
Köztemetés: 1 fő * 150.000 Ft = 150.000 Ft</t>
  </si>
  <si>
    <t>Magánszemélyek kommunális adója</t>
  </si>
  <si>
    <t>Értéksítési és fogyasztási adók:
Iparűzési adó</t>
  </si>
  <si>
    <t>Gépjárműadó itt maradó része</t>
  </si>
  <si>
    <t>Egyéb áruhasználati és szolgáltatási adó:
Idegenforgalmi adó
Talajterhelési díj</t>
  </si>
  <si>
    <t>Egyéb közhatalmi bevételek:
Pótlék
Idegen közig. Bírság</t>
  </si>
  <si>
    <t>Magánszemélyek jövedelem adói:
Termőföld bérbeadás</t>
  </si>
  <si>
    <t>Egyéb szolgáltatások
Biztosítások: 52.210 Ft
NHKV - hulladék: 18.702 Ft*12 hó=224.424 Ft
Összesen: 276.634 Ft</t>
  </si>
  <si>
    <r>
      <t xml:space="preserve">Szolgáltatások nyújtása:
</t>
    </r>
    <r>
      <rPr>
        <sz val="12"/>
        <rFont val="Times New Roman"/>
        <family val="1"/>
        <charset val="238"/>
      </rPr>
      <t>Klik - iskola karbantartás: 56.189*10 hó=561.890 Ft
Moldvai Sándor szolgáltatás: 394 Ft*12 hó=4.728 Ft
Szabó Elemérné - lakbér: 22.400*12hó=268.800 Ft
Közterület bérlet: 107.000 Ft
Terembérlet: 1.962.000 Ft
Öttevényi Agrár Zrt. - földbérlet: 160.123 Ft</t>
    </r>
    <r>
      <rPr>
        <b/>
        <sz val="12"/>
        <rFont val="Times New Roman"/>
        <family val="1"/>
        <charset val="238"/>
      </rPr>
      <t xml:space="preserve">
</t>
    </r>
    <r>
      <rPr>
        <sz val="12"/>
        <rFont val="Times New Roman"/>
        <family val="1"/>
        <charset val="238"/>
      </rPr>
      <t>Összesen: 3.064.541 Ft</t>
    </r>
  </si>
  <si>
    <r>
      <t xml:space="preserve">Készletértékesítés:
</t>
    </r>
    <r>
      <rPr>
        <sz val="12"/>
        <rFont val="Times New Roman"/>
        <family val="1"/>
        <charset val="238"/>
      </rPr>
      <t>Büfé: 200.000 * 10 hó=2.000.000 Ft</t>
    </r>
  </si>
  <si>
    <r>
      <t xml:space="preserve">Kiszámlázott áfa:
</t>
    </r>
    <r>
      <rPr>
        <sz val="12"/>
        <rFont val="Times New Roman"/>
        <family val="1"/>
        <charset val="238"/>
      </rPr>
      <t xml:space="preserve">(2.000.000 Ft+4.728 Ft+561.890 Ft)*27%=692 986 Ft
</t>
    </r>
  </si>
  <si>
    <t>Megnevezés</t>
  </si>
  <si>
    <t>Önkormányzat</t>
  </si>
  <si>
    <t>01</t>
  </si>
  <si>
    <t>Feladat megnevezése</t>
  </si>
  <si>
    <t>Összes bevétel, kiadás</t>
  </si>
  <si>
    <t>Forintban !</t>
  </si>
  <si>
    <t>Száma</t>
  </si>
  <si>
    <t>Előirányzat-csoport, kiemelt előirányzat megnevezése</t>
  </si>
  <si>
    <t>Bevételek</t>
  </si>
  <si>
    <t>011130</t>
  </si>
  <si>
    <t>013320</t>
  </si>
  <si>
    <t>013350</t>
  </si>
  <si>
    <t>013360</t>
  </si>
  <si>
    <t>013370</t>
  </si>
  <si>
    <t>016080</t>
  </si>
  <si>
    <t>018010</t>
  </si>
  <si>
    <t>018030</t>
  </si>
  <si>
    <t>041233</t>
  </si>
  <si>
    <t>042180</t>
  </si>
  <si>
    <t>045160</t>
  </si>
  <si>
    <t>047320</t>
  </si>
  <si>
    <t>063020</t>
  </si>
  <si>
    <t>064010</t>
  </si>
  <si>
    <t>066010</t>
  </si>
  <si>
    <t>066020</t>
  </si>
  <si>
    <t>072111</t>
  </si>
  <si>
    <t>072311</t>
  </si>
  <si>
    <t>074011</t>
  </si>
  <si>
    <t>074031</t>
  </si>
  <si>
    <t>074032</t>
  </si>
  <si>
    <t>081041</t>
  </si>
  <si>
    <t>081045</t>
  </si>
  <si>
    <t>082044</t>
  </si>
  <si>
    <t>082092</t>
  </si>
  <si>
    <t>083030</t>
  </si>
  <si>
    <t>084032</t>
  </si>
  <si>
    <t>091140</t>
  </si>
  <si>
    <t>094260</t>
  </si>
  <si>
    <t>096015</t>
  </si>
  <si>
    <t>101150</t>
  </si>
  <si>
    <t>103010</t>
  </si>
  <si>
    <t>104051</t>
  </si>
  <si>
    <t>106020</t>
  </si>
  <si>
    <t>107051</t>
  </si>
  <si>
    <t>107052</t>
  </si>
  <si>
    <t>900020</t>
  </si>
  <si>
    <t>900060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</si>
  <si>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</si>
  <si>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</si>
  <si>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</si>
  <si>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</si>
  <si>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</si>
  <si>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</si>
  <si>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</si>
  <si>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</si>
  <si>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</si>
  <si>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</si>
  <si>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</si>
  <si>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</si>
  <si>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</si>
  <si>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</si>
  <si>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</si>
  <si>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</si>
  <si>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</si>
  <si>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</si>
  <si>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</si>
  <si>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</si>
  <si>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</si>
  <si>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</si>
  <si>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</si>
  <si>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</si>
  <si>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</si>
  <si>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</si>
  <si>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</si>
  <si>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</si>
  <si>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</si>
  <si>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</si>
  <si>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</si>
  <si>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</si>
  <si>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</si>
  <si>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</si>
  <si>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</si>
  <si>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</si>
  <si>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</si>
  <si>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</si>
  <si>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</si>
  <si>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</si>
  <si>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</si>
  <si>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</si>
  <si>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</si>
  <si>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(4.1.+4.2.)</t>
  </si>
  <si>
    <t>4.1.</t>
  </si>
  <si>
    <t>Helyi adók  (4.1.1.+….+4.1.4.)</t>
  </si>
  <si>
    <t>4.1.1.</t>
  </si>
  <si>
    <t>- Jövedelemadó</t>
  </si>
  <si>
    <t>4.1.2.</t>
  </si>
  <si>
    <t>- Vagyoni típusú adók</t>
  </si>
  <si>
    <t>4.1.3.</t>
  </si>
  <si>
    <t>- Értékesítési és fogyasztási adó</t>
  </si>
  <si>
    <t>4.1.4.</t>
  </si>
  <si>
    <t>- Gépjárműadó</t>
  </si>
  <si>
    <t>4.1.5.</t>
  </si>
  <si>
    <t>- Egyéb áruhasználati és szolgáltatási adók</t>
  </si>
  <si>
    <t>4.2.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</si>
  <si>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</si>
  <si>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</si>
  <si>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</si>
  <si>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</si>
  <si>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</si>
  <si>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</si>
  <si>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</si>
  <si>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</si>
  <si>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</si>
  <si>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</si>
  <si>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</si>
  <si>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</si>
  <si>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</si>
  <si>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</si>
  <si>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</si>
  <si>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</si>
  <si>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</si>
  <si>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</si>
  <si>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</si>
  <si>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</si>
  <si>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</si>
  <si>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</si>
  <si>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</si>
  <si>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</si>
  <si>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</si>
  <si>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</si>
  <si>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</si>
  <si>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</si>
  <si>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</si>
  <si>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</si>
  <si>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</si>
  <si>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</si>
  <si>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</si>
  <si>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</si>
  <si>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</si>
  <si>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</si>
  <si>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</si>
  <si>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</si>
  <si>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</si>
  <si>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</si>
  <si>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</si>
  <si>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</si>
  <si>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</si>
  <si>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</si>
  <si>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</si>
  <si>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</si>
  <si>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</si>
  <si>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</si>
  <si>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</si>
  <si>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</si>
  <si>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</si>
  <si>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</si>
  <si>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</si>
  <si>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</si>
  <si>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</si>
  <si>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</si>
  <si>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</si>
  <si>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</si>
  <si>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</si>
  <si>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</si>
  <si>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</si>
  <si>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</si>
  <si>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</si>
  <si>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</si>
  <si>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</si>
  <si>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</si>
  <si>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</si>
  <si>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</si>
  <si>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</si>
  <si>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</si>
  <si>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</si>
  <si>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</si>
  <si>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</si>
  <si>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</si>
  <si>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</si>
  <si>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</si>
  <si>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</si>
  <si>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</si>
  <si>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</si>
  <si>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</si>
  <si>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</si>
  <si>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</si>
  <si>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</si>
  <si>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</si>
  <si>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</si>
  <si>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</si>
  <si>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</si>
  <si>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</si>
  <si>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</si>
  <si>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</si>
  <si>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</si>
  <si>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</si>
  <si>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</si>
  <si>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</si>
  <si>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</si>
  <si>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</si>
  <si>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</si>
  <si>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</si>
  <si>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</si>
  <si>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</si>
  <si>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</si>
  <si>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</si>
  <si>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</si>
  <si>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</si>
  <si>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</si>
  <si>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</si>
  <si>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</si>
  <si>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</si>
  <si>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</si>
  <si>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</si>
  <si>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</si>
  <si>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</si>
  <si>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</si>
  <si>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</si>
  <si>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</si>
  <si>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</si>
  <si>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</si>
  <si>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</si>
  <si>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</si>
  <si>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</si>
  <si>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</si>
  <si>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</si>
  <si>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</si>
  <si>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</si>
  <si>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</si>
  <si>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</si>
  <si>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</si>
  <si>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</si>
  <si>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</si>
  <si>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</si>
  <si>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</si>
  <si>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</si>
  <si>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</si>
  <si>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</si>
  <si>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</si>
  <si>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</si>
  <si>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</si>
  <si>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</si>
  <si>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</si>
  <si>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</si>
  <si>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</si>
  <si>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</si>
  <si>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</si>
  <si>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</si>
  <si>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</si>
  <si>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</si>
  <si>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</si>
  <si>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</si>
  <si>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</si>
  <si>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</si>
  <si>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</si>
  <si>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</si>
  <si>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</si>
  <si>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</si>
  <si>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</si>
  <si>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</si>
  <si>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</si>
  <si>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</si>
  <si>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</si>
  <si>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</si>
  <si>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Központi irányítószervi támogatás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</si>
  <si>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</si>
  <si>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</si>
  <si>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</si>
  <si>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</si>
  <si>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</si>
  <si>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</si>
  <si>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</si>
  <si>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</si>
  <si>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</si>
  <si>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</si>
  <si>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</si>
  <si>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Éves engedélyezett létszám előirányzat (fő)</t>
  </si>
  <si>
    <t>Közfoglalkoztatottak létszáma (fő)</t>
  </si>
  <si>
    <t>2020. évi eredeti előirányzat</t>
  </si>
  <si>
    <t>2020. évi módosított előirányzat</t>
  </si>
  <si>
    <t>Elöző évi költségvetési mardvány igénybe vétele:
Állami megelőlegezés: 6.713.595 Ft
Iparűzési adó 10% (2017): 5.800.672 Ft
Iparűzési adó 10% (2018): 6.944.974 Ft
Iparőzési adó 10% (2019): 7.164.719 Ft
Biztosíték: 5.199.940 Ft
Sportcsarnok pályátzat: 20.000.000 Ft
Arany J. utca pályázat: 19.989.292 Ft
Ravatalozó pályázat: 8.890.000 Ft
Kultúrális pályázat: 1.500.000 Ft
Érdekeltségi: 151.321 Ft
általános: 15.000.000 Ft
Összesen: 97.354.513 Ft</t>
  </si>
  <si>
    <t>Kiszámlázott áfa</t>
  </si>
  <si>
    <t>K3213 - Informatikai eszközök bérleti, karbantartása (Emb-System Kft. 46.000 Ft/hó*2 és 50.000 Ft*10 hó=592.000 Ft, Euro-Profil - fénymásolók  325.000 Ft,  Vizual Regiszter 76 000 Ft, készletnyilvántartó 60.000 Ft)</t>
  </si>
  <si>
    <t>K3362 - Más szakmai jellegű szolgáltatás (Ördög konyha 240.000 * 1 hó = 240.000 Ft, új élelmezésvezető 150.000 Ft*11 hó= 1.650.000 Ft, pénzügy Ani-Vali Bt. 3.600.000 Ft, GDPR 65.000 Ft*6 hó + 35.000 Ft*5 hó=565.000 Ft, Lart-Sec információbiz. 35.000 Ft*12 hó=420.000 Ft)</t>
  </si>
  <si>
    <t>Céljuttatás, projektprémium
2020. évi keret</t>
  </si>
  <si>
    <t>Választott tisztségviselők juttatásai
1 fő illetmény:1 fő*559.966 Ft*12 hó=6.719.952 Ft
1 fő ktg általány:1 fő*82.267 Ft*12 hó=987.204 Ft
1 fő ktg általány: 1 fő*6.300 Ft*14 hó=88.200 Ft
1 fő jutalom keret: 1 fő*559.966 Ft*3 hó=1.679.898 Ft
Cafetéria éves keret: 1 fő *150.000 Ft (kedvezményes adózással)
Képviselői tiszteletdíjak: 3 fő*36.000*12 hó=1.296.000 Ft
Összesen:  10.921.254 Ft</t>
  </si>
  <si>
    <r>
      <t xml:space="preserve">Egyéb berendezés:
</t>
    </r>
    <r>
      <rPr>
        <sz val="12"/>
        <rFont val="Times New Roman"/>
        <family val="1"/>
        <charset val="238"/>
      </rPr>
      <t>Iskolának: 787.402 Ft</t>
    </r>
  </si>
  <si>
    <t>Béren kívüli juttatás
1 fő éves: 150.000 Ft (kedvezményes adózással)</t>
  </si>
  <si>
    <t>Béren kívüli juttatás
1 fő * 150.000 Ft = 150.000 Ft</t>
  </si>
  <si>
    <t>Béren kívüli juttatás
2 fő éves: 150.000 Ft * 2 = 300.000 Ft (kedvezményes adózással)</t>
  </si>
  <si>
    <t>Béren kívüli juttatás
1 fő éves: 150.000 Ft * 1 = 150.000 Ft (kedvezményes adózással)</t>
  </si>
  <si>
    <t>Egyéb működési célú támogatások Áht. Kívülre civil szervezeteknek:
Öttevény Községért Közalapítvány: (önkormányzati rendezvények) 
510.000 Ft * 12 hó = 6.120.000 Ft</t>
  </si>
  <si>
    <t>Egyéb működési célú támogatások Áht. Kívülre civil szervezeteknek
Civil szervezetek: 900.000 Ft
Móvári Vizitársulás: 120.000 Ft</t>
  </si>
  <si>
    <t>Egyéb működési célú támogatások Áht. Kívülre civil szervezeteknek:
Ifjúsági és közbiztonsági feladatok támogatása: 1.500.000 Ft
Civil pályázati keret: 2.900.000 Ft
Egyéb eseti támogatás: 400.000 Ft
Összesen: 4.800.000 Ft</t>
  </si>
  <si>
    <t>Költségv.szerv megnevezése</t>
  </si>
  <si>
    <t>Polgármesteri /közös/ hivatal</t>
  </si>
  <si>
    <t>02</t>
  </si>
  <si>
    <t>011220</t>
  </si>
  <si>
    <t>016020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</si>
  <si>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</si>
  <si>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</si>
  <si>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</si>
  <si>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</si>
  <si>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</si>
  <si>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</si>
  <si>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</si>
  <si>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</si>
  <si>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</si>
  <si>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4.3.</t>
  </si>
  <si>
    <t>- ebből EU-s támogatás</t>
  </si>
  <si>
    <t>Felhalmozási bevételek (5.1.+…+5.3.)</t>
  </si>
  <si>
    <t>Működési célú átvett pénzeszközök</t>
  </si>
  <si>
    <t>Felhalmozási célú átvett pénzeszközök</t>
  </si>
  <si>
    <t>Költségvetési bevételek összesen (1.+…+7.)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</si>
  <si>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</si>
  <si>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</si>
  <si>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</si>
  <si>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</si>
  <si>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</si>
  <si>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</si>
  <si>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</si>
  <si>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</si>
  <si>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</si>
  <si>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</si>
  <si>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</si>
  <si>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</si>
  <si>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</si>
  <si>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Napköziotthonos Óvoda és Bölcsőde</t>
  </si>
  <si>
    <t>03</t>
  </si>
  <si>
    <t>091110</t>
  </si>
  <si>
    <t>091120</t>
  </si>
  <si>
    <t>104031</t>
  </si>
  <si>
    <t>104035</t>
  </si>
  <si>
    <t>Közhatalmi bevételek (4.1.+4.2.+4.3.+4.4.)</t>
  </si>
  <si>
    <t>KÖLTSÉGVETÉSI, FINANSZÍROZÁSI BEVÉTELEK ÉS KIADÁSOK EGYENLEGE</t>
  </si>
  <si>
    <t>Forintban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</si>
  <si>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</si>
  <si>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</si>
  <si>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</si>
  <si>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 xml:space="preserve"> Forintban !</t>
  </si>
  <si>
    <t>Sor-
szám</t>
  </si>
  <si>
    <t>Önkormányzatok működési támogatásai</t>
  </si>
  <si>
    <t>Működési célú támogatások államháztartáson belülről</t>
  </si>
  <si>
    <t>2.-ból EU-s támogatás</t>
  </si>
  <si>
    <t xml:space="preserve">Dologi kiadások </t>
  </si>
  <si>
    <t>Tartalékok</t>
  </si>
  <si>
    <t>4.-ből EU-s támogatás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</si>
  <si>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</si>
  <si>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</si>
  <si>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</si>
  <si>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</si>
  <si>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</si>
  <si>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</si>
  <si>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</si>
  <si>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</si>
  <si>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</si>
  <si>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</si>
  <si>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</si>
  <si>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</si>
  <si>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</si>
  <si>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</si>
  <si>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</si>
  <si>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</si>
  <si>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</si>
  <si>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</si>
  <si>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</si>
  <si>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</si>
  <si>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</si>
  <si>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</si>
  <si>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</si>
  <si>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</si>
  <si>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</si>
  <si>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</si>
  <si>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</si>
  <si>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</si>
  <si>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Áht. Belüli megelőlegezés visszafizetése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</si>
  <si>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</si>
  <si>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</si>
  <si>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</si>
  <si>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</si>
  <si>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</si>
  <si>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</si>
  <si>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</si>
  <si>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</si>
  <si>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</si>
  <si>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</si>
  <si>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</si>
  <si>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</si>
  <si>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28.</t>
  </si>
  <si>
    <t>27.</t>
  </si>
  <si>
    <t>KIADÁSOK ÖSSZESEN (12+25)</t>
  </si>
  <si>
    <t>BEVÉTEL ÖSSZESEN (12+25)</t>
  </si>
  <si>
    <t>26.</t>
  </si>
  <si>
    <t>Felhalmozási célú finanszírozási kiadások összesen
(13.+...+24.)</t>
  </si>
  <si>
    <t>Felhalmozási célú finanszírozási bevételek összesen (13.+19.)</t>
  </si>
  <si>
    <t>Egyéb külső finanszírozási bevételek</t>
  </si>
  <si>
    <t>Értékpapírok kibocsátása</t>
  </si>
  <si>
    <t>Rövid lejáratú hitelek, kölcsönök felvétele</t>
  </si>
  <si>
    <t>Likviditási célú hitelek, kölcsönök felvétele</t>
  </si>
  <si>
    <t>Pénzügyi lízing kiadásai</t>
  </si>
  <si>
    <t>Hosszú lejáratú hitelek, kölcsönök felvétele</t>
  </si>
  <si>
    <t>Hiány külső finanszírozásának bevételei (20+…+24 )</t>
  </si>
  <si>
    <t>Befektetési célú belföldi, külföldi értékpapírok vásárlása</t>
  </si>
  <si>
    <t>Egyéb belső finanszírozási bevételek</t>
  </si>
  <si>
    <t>Értékpapír értékesítése</t>
  </si>
  <si>
    <t xml:space="preserve">Betét visszavonásából származó bevétel </t>
  </si>
  <si>
    <t xml:space="preserve">Vállalkozási maradvány igénybevétele </t>
  </si>
  <si>
    <t>Hitelek törlesztése</t>
  </si>
  <si>
    <t>Hiány belső finanszírozás bevételei ( 14+…+18)</t>
  </si>
  <si>
    <t>Költségvetési kiadások összesen: (1.+3.+5.+...+11.)</t>
  </si>
  <si>
    <t>Költségvetési bevételek összesen: (1.+3.+4.+6.+…+11.)</t>
  </si>
  <si>
    <t>Egyéb felhalmozási célú bevételek</t>
  </si>
  <si>
    <t>4.-ből EU-s támogatás (közvetlen)</t>
  </si>
  <si>
    <t>3.-ból EU-s forrásból megvalósuló felújítás</t>
  </si>
  <si>
    <t>Felhalmozási célú átvett pénzeszközök átvétele</t>
  </si>
  <si>
    <t>1.-ből EU-s forrásból megvalósuló beruházás</t>
  </si>
  <si>
    <t>1.-ből EU-s támogatás</t>
  </si>
  <si>
    <t>Felhalmozási célú támogatások államháztartáson belülről</t>
  </si>
  <si>
    <t>II. Felhalmozási célú bevételek és kiadások mérlege
(Önkormányzati szinten)</t>
  </si>
  <si>
    <t>2020. évi erdeti előirányzat</t>
  </si>
  <si>
    <t>Forintban!</t>
  </si>
  <si>
    <t>Öttevény Község Önkormányzata adósságot keletkeztető ügyletekből és kezességvállalásokból fennálló kötelezettségei</t>
  </si>
  <si>
    <t>Sor-szám</t>
  </si>
  <si>
    <t>MEGNEVEZÉS</t>
  </si>
  <si>
    <t>Évek</t>
  </si>
  <si>
    <t>Összesen
(6=3+4+5)</t>
  </si>
  <si>
    <t>2019.</t>
  </si>
  <si>
    <t>Magyar Államkincstár megelőlegezés</t>
  </si>
  <si>
    <t>ÖSSZES KÖTELEZETTSÉG</t>
  </si>
  <si>
    <t>2020.</t>
  </si>
  <si>
    <t>Öttevény Község Önkormányzata saját bevételeinek részletezése az adósságot keletkeztető ügyletből származó tárgyévi fizetési kötelezettség megállapításához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</si>
  <si>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</si>
  <si>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</si>
  <si>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</si>
  <si>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</si>
  <si>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</si>
  <si>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</si>
  <si>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</si>
  <si>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</si>
  <si>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</si>
  <si>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</si>
  <si>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</si>
  <si>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</si>
  <si>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6=(2-4-5)</t>
  </si>
  <si>
    <t>Kisértékű egyéb berendezések</t>
  </si>
  <si>
    <t>Öttevényi Mackó-Kuckó Napköziotthonos Óvoda és Bölcsőde</t>
  </si>
  <si>
    <t>ÖSSZESEN:</t>
  </si>
  <si>
    <t>Felhasználás
2019. XII.31-ig</t>
  </si>
  <si>
    <t>2020. évi előirányzat</t>
  </si>
  <si>
    <t xml:space="preserve">
2020. év utáni szükséglet</t>
  </si>
  <si>
    <t>2020</t>
  </si>
  <si>
    <t>Iskolának bútorok</t>
  </si>
  <si>
    <t>Felújítási kiadások előirányzata felújításonként</t>
  </si>
  <si>
    <t>Felújítás  megnevezése</t>
  </si>
  <si>
    <t>Óvoda kerítés felújítása</t>
  </si>
  <si>
    <t>2020. évi teljesítés</t>
  </si>
  <si>
    <t>Óvoda thermoszelepek</t>
  </si>
  <si>
    <t>Arany J. utca felújítás</t>
  </si>
  <si>
    <t>Jókai utca felújításának folytatása</t>
  </si>
  <si>
    <t>Utcabútorok (turizmus fejl.)</t>
  </si>
  <si>
    <t>Komposztáló kialakítása</t>
  </si>
  <si>
    <t>Ifjúsági park kialakítása</t>
  </si>
  <si>
    <r>
      <t xml:space="preserve">
a 2013. évi tervezett tartalékokról   (</t>
    </r>
    <r>
      <rPr>
        <b/>
        <sz val="11"/>
        <rFont val="Times New Roman"/>
        <family val="1"/>
        <charset val="238"/>
      </rPr>
      <t>E Ft!)</t>
    </r>
  </si>
  <si>
    <t>Ft!</t>
  </si>
  <si>
    <t>Szakfeladat</t>
  </si>
  <si>
    <t>Általános</t>
  </si>
  <si>
    <t>működési tartalék</t>
  </si>
  <si>
    <t>működésre</t>
  </si>
  <si>
    <t>felhalmozásra</t>
  </si>
  <si>
    <t>Sportcsarnok felújítása</t>
  </si>
  <si>
    <t>2017. évi iparűzésiadó bevétel 10% felhasználása</t>
  </si>
  <si>
    <t>2018. évi iparűzésiadó bevétel 10% felhasználása</t>
  </si>
  <si>
    <t>Biztosíték (Za&amp;Zé és Szabó)</t>
  </si>
  <si>
    <t>Önkormányzat összesen</t>
  </si>
  <si>
    <t>2019. évi iparűzésiadó bevétel 10% felhasználása</t>
  </si>
  <si>
    <t>Magyar Falu Program - ravatalozó</t>
  </si>
  <si>
    <t>Képviselői keret</t>
  </si>
  <si>
    <t>Adatszolgáltatás 
az elismert tartozásállományról</t>
  </si>
  <si>
    <t>Költségvetési szerv neve:</t>
  </si>
  <si>
    <t xml:space="preserve">Éves eredeti kiadási előirányzat: </t>
  </si>
  <si>
    <t>30 napon túli elismert tartozásállomány összesen: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</si>
  <si>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</si>
  <si>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</si>
  <si>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</si>
  <si>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</si>
  <si>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</si>
  <si>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Összesen: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</si>
  <si>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</si>
  <si>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</si>
  <si>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</si>
  <si>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</si>
  <si>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</si>
  <si>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Dr. Bider Zsolt</t>
  </si>
  <si>
    <t>költségvetési szerv vezetője</t>
  </si>
  <si>
    <t>dr. Földesi Tamás</t>
  </si>
  <si>
    <t>Molnár Imréné</t>
  </si>
  <si>
    <t>Egyéb tartozásállomány (szállítók)</t>
  </si>
  <si>
    <t>Öttevény, 2020. február 10.</t>
  </si>
  <si>
    <t>Egyéb tartozásállomány (Szállítók)</t>
  </si>
  <si>
    <t>Ssz.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</si>
  <si>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</si>
  <si>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</si>
  <si>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</si>
  <si>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</si>
  <si>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</si>
  <si>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</si>
  <si>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</si>
  <si>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</si>
  <si>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</si>
  <si>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</si>
  <si>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</si>
  <si>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</si>
  <si>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</si>
  <si>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</si>
  <si>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Bevételek összesen:</t>
  </si>
  <si>
    <t xml:space="preserve"> Egyéb működési célú kiadások</t>
  </si>
  <si>
    <t>Kiadások összesen:</t>
  </si>
  <si>
    <t>Egyenleg</t>
  </si>
  <si>
    <t>Előirányzat-felhasználási terv
2020. évre</t>
  </si>
  <si>
    <t>Támogatott szervezet neve</t>
  </si>
  <si>
    <t>Támogatás célja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</si>
  <si>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</si>
  <si>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</si>
  <si>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</si>
  <si>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</si>
  <si>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</si>
  <si>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</si>
  <si>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</si>
  <si>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</si>
  <si>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………………….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</si>
  <si>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</si>
  <si>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</si>
  <si>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</si>
  <si>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</si>
  <si>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2020 előtti kifizetés</t>
  </si>
  <si>
    <t>Magyar Falu Program ravatalozó</t>
  </si>
  <si>
    <t>Za&amp;Zé, Szabó</t>
  </si>
  <si>
    <t>Az önkormányzat által adott közvetett támogatások
(kedvezmények)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</si>
  <si>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</si>
  <si>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</si>
  <si>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</si>
  <si>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</si>
  <si>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</si>
  <si>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</si>
  <si>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</si>
  <si>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</si>
  <si>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</si>
  <si>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>Jövedelemadó</t>
  </si>
  <si>
    <t xml:space="preserve">Magánszemélyek kommunális adója </t>
  </si>
  <si>
    <t xml:space="preserve">Idegenforgalmi adó tartózkodás után </t>
  </si>
  <si>
    <t xml:space="preserve">Talajterhelési díj után </t>
  </si>
  <si>
    <t xml:space="preserve">Iparűzési adó állandó jelleggel végzett iparűzési tevékenység után </t>
  </si>
  <si>
    <t>Gépjárműadóból biztosított kedvezmény, mentesség</t>
  </si>
  <si>
    <t>Egyéb áruhasználati és szolgáltatrási adó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</si>
  <si>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</si>
  <si>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</si>
  <si>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</si>
  <si>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</si>
  <si>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Öttevény Község Önkormányzat likviditási terve
2017. évre</t>
  </si>
  <si>
    <t>Nyitó pénzkészlet</t>
  </si>
  <si>
    <t>-----</t>
  </si>
  <si>
    <t>Ellátottak pénzbeli juttatása</t>
  </si>
  <si>
    <t>Egyenleg (11-21)</t>
  </si>
  <si>
    <t>Kötelező feladatok bevétele, kiadása</t>
  </si>
  <si>
    <t>Államigazgatási feladatok bevétele, kiadása</t>
  </si>
  <si>
    <t>Önként vállalt feladatok bevétele, kiadása</t>
  </si>
  <si>
    <r>
      <t xml:space="preserve">Ingatlan felújítás
</t>
    </r>
    <r>
      <rPr>
        <sz val="12"/>
        <rFont val="Times New Roman"/>
        <family val="1"/>
        <charset val="238"/>
      </rPr>
      <t>Sportcsarnok felújítás (önerő + támogatás + kieg.)
24.038.907 Ft</t>
    </r>
  </si>
  <si>
    <t>Ingatalnok beruházása</t>
  </si>
  <si>
    <r>
      <t xml:space="preserve">Ingatlanok felújítás
</t>
    </r>
    <r>
      <rPr>
        <sz val="12"/>
        <rFont val="Times New Roman"/>
        <family val="1"/>
        <charset val="238"/>
      </rPr>
      <t>Arany J. utca felújítása: 15.739.600 Ft
Jókai utca folytatása: 1.410.360 Ft
Összesen: 17.149.960 Ft</t>
    </r>
  </si>
  <si>
    <r>
      <t xml:space="preserve">Egyéb berendezések beszerzése
</t>
    </r>
    <r>
      <rPr>
        <sz val="12"/>
        <rFont val="Times New Roman"/>
        <family val="1"/>
        <charset val="238"/>
      </rPr>
      <t>Utca bútorok: 337.402 Ft</t>
    </r>
  </si>
  <si>
    <t>Egyéb gépek, berendezések, járművek:</t>
  </si>
  <si>
    <r>
      <t xml:space="preserve">Ingatlan beszerzés, létesítés:
</t>
    </r>
    <r>
      <rPr>
        <sz val="12"/>
        <rFont val="Times New Roman"/>
        <family val="1"/>
        <charset val="238"/>
      </rPr>
      <t>Komposztáló kialakítása: 856.988 Ft
Ifjúsági park kialakítása: 856.988 Ft
Összesen: 1.713.976 Ft</t>
    </r>
  </si>
  <si>
    <t>Finanszírozás Óvoda
(Normatív támogatás=  80.534.473 Ft
Önkorm. Finanszírozás=  17.037.195 Ft)</t>
  </si>
  <si>
    <t>Finanszírozás Hivatal
(Normatív támogatás= 60.150.019 Ft
Önkorm. Finanszírozás=   9.617.435 Ft)</t>
  </si>
  <si>
    <t>Lieder (Fő tér) önerő</t>
  </si>
  <si>
    <r>
      <t xml:space="preserve">Helyi önkormányzatok működésének általános támogatása
Hivatal működési támogatása: 37.601.800 Ft +7.197.200 Ft
Település-üzemeltetési támogatás: 17.317.331 Ft
Egyéb önkormányzati feladatok: 8.302.500 Ft
Üdülőhelyi feladatok támogatása: 140.500 Ft
Polgármesteri illetmény támogatása: 840.800 Ft
</t>
    </r>
    <r>
      <rPr>
        <b/>
        <sz val="12"/>
        <rFont val="Times New Roman"/>
        <family val="1"/>
        <charset val="238"/>
      </rPr>
      <t>Összesen: 64.202.931 Ft</t>
    </r>
  </si>
  <si>
    <r>
      <t xml:space="preserve">Egyéb működési célú támogatások:
</t>
    </r>
    <r>
      <rPr>
        <sz val="12"/>
        <rFont val="Times New Roman"/>
        <family val="1"/>
        <charset val="238"/>
      </rPr>
      <t>Abdai Önkormányzat-telefonra: 50.000 Ft
Mosonszentmiklós - telefonra: 50.000 Ft
Kunsziget - telefonra: 40.000 Ft
Összesen: 140.000 Ft</t>
    </r>
  </si>
  <si>
    <t>2021</t>
  </si>
  <si>
    <r>
      <t>Tartalék:
Általános tartalék: 5.661.481 Ft</t>
    </r>
    <r>
      <rPr>
        <sz val="12"/>
        <rFont val="Times New Roman"/>
        <family val="1"/>
        <charset val="238"/>
      </rPr>
      <t xml:space="preserve">
</t>
    </r>
    <r>
      <rPr>
        <b/>
        <sz val="12"/>
        <rFont val="Times New Roman"/>
        <family val="1"/>
        <charset val="238"/>
      </rPr>
      <t>Céltartalék: 42.149.499 Ft</t>
    </r>
    <r>
      <rPr>
        <sz val="12"/>
        <rFont val="Times New Roman"/>
        <family val="1"/>
        <charset val="238"/>
      </rPr>
      <t xml:space="preserve">
Iparűzési 2017 10% (Óvoda gyalogátkelőhely+ parkoló): 
5.800.672 Ft
Iparűzési 2018 10% (Óvoda gyalogátkelőhely+ parkoló):
6.944.974 Ft
Iparűzési 2019 10% ( Óvodai előtető és udvari csapadékvíz elvezetés megoldása): 7.164.719 Ft
Magyar Falu Program - ravatalozó építése (támogatás): 8.890.000 Ft
Lieder pályézati önerő+ kiegészítés (Fő tér): 4.567.914 Ft
Biztosíték (Za&amp;Zé és Szabó): 5.199.940 Ft
Képviselői keret: 
42.300 Ft*12 hó *2 fő=1.015.200 Ft
49.350 Ft * 12 hó= 592.200 Ft
3 hó*657.960 =1.973.880 Ft 
</t>
    </r>
    <r>
      <rPr>
        <b/>
        <sz val="12"/>
        <rFont val="Times New Roman"/>
        <family val="1"/>
        <charset val="238"/>
      </rPr>
      <t>Összesen:  47.810.981 Ft</t>
    </r>
  </si>
  <si>
    <t>7.1.1 melléklet a 2/2020. (II.28.) önkormányzati rendelethez</t>
  </si>
  <si>
    <t>7.1.2 melléklet a 2/2020. (II.28.) önkormányzati rendelethez</t>
  </si>
  <si>
    <t>7.1.3 melléklet a 2/2020. (II.28.) önkormányzati rendelethez</t>
  </si>
  <si>
    <t>7.2.1 melléklet a 2/2020. (II.28.) önkormányzati rendelethez</t>
  </si>
  <si>
    <t>7.2.2 melléklet a 2/2020. (II.28.) önkormányzati rendelethez</t>
  </si>
  <si>
    <t>7.3.1 melléklet a .../2020. (…..) önkormányzati rendelethez</t>
  </si>
  <si>
    <t>Öttevényi Járványügyi Alap</t>
  </si>
  <si>
    <t>Egyéb kisértékű gépek, berendezések</t>
  </si>
  <si>
    <t>Óvoda irattár kialakítás</t>
  </si>
  <si>
    <t>Felosztható keret</t>
  </si>
  <si>
    <t>Eredeti támogatás összge 
(Ft)</t>
  </si>
  <si>
    <t>Módosított támogatás összge 
(Ft)</t>
  </si>
  <si>
    <t>Visszatérítés</t>
  </si>
  <si>
    <t>8. számú melléklet a 7/2020 (VII.06.) önkormányzati rendelethez</t>
  </si>
  <si>
    <t>7.3. melléklet a 7/2020 (VII.06.) önkormányzati rendelethez</t>
  </si>
  <si>
    <t>7.2. melléklet a 7/2020 (VII.06.) önkormányzati rendelethez</t>
  </si>
  <si>
    <t>7.1. melléklet a 7/2020 (VII.06.) önkormányzati rendelethez</t>
  </si>
  <si>
    <t>1.1. melléklet a 7/2020 (VII.06.)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</si>
</sst>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Ft&quot;;[Red]\-#,##0\ &quot;Ft&quot;"/>
    <numFmt numFmtId="164" formatCode="_-* #,##0.00\ _F_t_-;\-* #,##0.00\ _F_t_-;_-* &quot;-&quot;??\ _F_t_-;_-@_-"/>
    <numFmt numFmtId="165" formatCode="#,##0\ &quot;Ft&quot;"/>
    <numFmt numFmtId="166" formatCode="#,###"/>
    <numFmt numFmtId="167" formatCode="_-* #,##0\ _F_t_-;\-* #,##0\ _F_t_-;_-* &quot;-&quot;??\ _F_t_-;_-@_-"/>
  </numFmts>
  <fonts count="8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30"/>
      <name val="Times New Roman"/>
      <family val="1"/>
      <charset val="238"/>
    </font>
    <font>
      <b/>
      <sz val="12"/>
      <color indexed="30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color rgb="FF00B050"/>
      <name val="Times New Roman"/>
      <family val="1"/>
      <charset val="238"/>
    </font>
    <font>
      <b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rgb="FF0070C0"/>
      <name val="Calibri"/>
      <family val="2"/>
      <charset val="238"/>
    </font>
    <font>
      <b/>
      <sz val="12"/>
      <color rgb="FF0070C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</font>
    <font>
      <i/>
      <sz val="11"/>
      <name val="Calibri"/>
      <family val="2"/>
      <charset val="238"/>
      <scheme val="minor"/>
    </font>
    <font>
      <i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0066FF"/>
      <name val="Calibri"/>
      <family val="2"/>
      <charset val="238"/>
    </font>
    <font>
      <b/>
      <sz val="12"/>
      <color rgb="FF00B0F0"/>
      <name val="Calibri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sz val="10"/>
      <name val="Times New Roman CE"/>
      <charset val="238"/>
    </font>
    <font>
      <sz val="9"/>
      <name val="Times New Roman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9"/>
      <name val="Times New Roman CE"/>
      <family val="1"/>
      <charset val="238"/>
    </font>
    <font>
      <i/>
      <sz val="10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 CE"/>
      <charset val="238"/>
    </font>
    <font>
      <i/>
      <sz val="11"/>
      <color rgb="FFFF0000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b/>
      <sz val="11"/>
      <name val="Calibri"/>
      <family val="2"/>
      <charset val="238"/>
    </font>
    <font>
      <b/>
      <sz val="9"/>
      <color indexed="8"/>
      <name val="Times New Roman"/>
      <family val="1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i/>
      <sz val="8"/>
      <name val="Times New Roman CE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9"/>
      <color indexed="10"/>
      <name val="Times New Roman CE"/>
      <charset val="238"/>
    </font>
    <font>
      <sz val="10"/>
      <name val="MS Sans Serif"/>
      <family val="2"/>
      <charset val="238"/>
    </font>
    <font>
      <b/>
      <i/>
      <sz val="8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</font>
    <font>
      <sz val="12"/>
      <name val="Times New Roman"/>
      <family val="1"/>
    </font>
    <font>
      <b/>
      <sz val="10"/>
      <name val="MS Sans Serif"/>
      <family val="2"/>
      <charset val="238"/>
    </font>
    <font>
      <b/>
      <sz val="12"/>
      <name val="Times New Roman"/>
      <family val="1"/>
    </font>
    <font>
      <sz val="11"/>
      <color indexed="8"/>
      <name val="Times New Roman"/>
      <family val="1"/>
    </font>
    <font>
      <b/>
      <i/>
      <sz val="12"/>
      <name val="Times New Roman CE"/>
      <family val="1"/>
      <charset val="238"/>
    </font>
    <font>
      <sz val="10"/>
      <color theme="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Horizontal">
        <bgColor theme="0"/>
      </patternFill>
    </fill>
    <fill>
      <patternFill patternType="darkHorizontal"/>
    </fill>
    <fill>
      <patternFill patternType="lightHorizontal"/>
    </fill>
  </fills>
  <borders count="9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8">
    <xf numFmtId="0" fontId="0" fillId="0" borderId="0"/>
    <xf numFmtId="0" fontId="3" fillId="0" borderId="0"/>
    <xf numFmtId="0" fontId="33" fillId="0" borderId="0"/>
    <xf numFmtId="0" fontId="35" fillId="0" borderId="0"/>
    <xf numFmtId="164" fontId="33" fillId="0" borderId="0" applyFont="0" applyFill="0" applyBorder="0" applyAlignment="0" applyProtection="0"/>
    <xf numFmtId="0" fontId="71" fillId="0" borderId="0"/>
    <xf numFmtId="0" fontId="15" fillId="0" borderId="0"/>
    <xf numFmtId="0" fontId="35" fillId="0" borderId="0"/>
  </cellStyleXfs>
  <cellXfs count="1915">
    <xf numFmtId="0" fontId="0" fillId="0" borderId="0" xfId="0"/>
    <xf numFmtId="0" fontId="3" fillId="0" borderId="0" xfId="1"/>
    <xf numFmtId="0" fontId="5" fillId="0" borderId="0" xfId="1" applyFont="1"/>
    <xf numFmtId="3" fontId="4" fillId="2" borderId="10" xfId="1" applyNumberFormat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left" vertical="center" wrapText="1"/>
    </xf>
    <xf numFmtId="3" fontId="7" fillId="3" borderId="16" xfId="1" applyNumberFormat="1" applyFont="1" applyFill="1" applyBorder="1" applyAlignment="1">
      <alignment horizontal="right" vertical="center" wrapText="1"/>
    </xf>
    <xf numFmtId="0" fontId="7" fillId="3" borderId="16" xfId="1" applyFont="1" applyFill="1" applyBorder="1" applyAlignment="1">
      <alignment horizontal="center" vertical="center" wrapText="1"/>
    </xf>
    <xf numFmtId="0" fontId="7" fillId="3" borderId="17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left" vertical="center" wrapText="1"/>
    </xf>
    <xf numFmtId="3" fontId="4" fillId="3" borderId="16" xfId="1" applyNumberFormat="1" applyFont="1" applyFill="1" applyBorder="1" applyAlignment="1">
      <alignment horizontal="right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right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vertical="center" wrapText="1"/>
    </xf>
    <xf numFmtId="3" fontId="7" fillId="3" borderId="19" xfId="1" applyNumberFormat="1" applyFont="1" applyFill="1" applyBorder="1" applyAlignment="1">
      <alignment vertical="center"/>
    </xf>
    <xf numFmtId="3" fontId="7" fillId="3" borderId="19" xfId="1" applyNumberFormat="1" applyFont="1" applyFill="1" applyBorder="1" applyAlignment="1">
      <alignment horizontal="right" vertical="center" wrapText="1"/>
    </xf>
    <xf numFmtId="3" fontId="7" fillId="3" borderId="20" xfId="1" applyNumberFormat="1" applyFont="1" applyFill="1" applyBorder="1" applyAlignment="1">
      <alignment horizontal="right" vertical="center" wrapText="1"/>
    </xf>
    <xf numFmtId="0" fontId="7" fillId="3" borderId="19" xfId="1" applyNumberFormat="1" applyFont="1" applyFill="1" applyBorder="1" applyAlignment="1">
      <alignment vertical="center" wrapText="1"/>
    </xf>
    <xf numFmtId="3" fontId="7" fillId="3" borderId="20" xfId="1" applyNumberFormat="1" applyFont="1" applyFill="1" applyBorder="1" applyAlignment="1">
      <alignment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vertical="center" wrapText="1"/>
    </xf>
    <xf numFmtId="3" fontId="4" fillId="3" borderId="19" xfId="1" applyNumberFormat="1" applyFont="1" applyFill="1" applyBorder="1" applyAlignment="1">
      <alignment vertical="center"/>
    </xf>
    <xf numFmtId="3" fontId="4" fillId="3" borderId="19" xfId="1" applyNumberFormat="1" applyFont="1" applyFill="1" applyBorder="1" applyAlignment="1">
      <alignment horizontal="right" vertical="center" wrapText="1"/>
    </xf>
    <xf numFmtId="3" fontId="8" fillId="3" borderId="20" xfId="1" applyNumberFormat="1" applyFont="1" applyFill="1" applyBorder="1" applyAlignment="1">
      <alignment vertical="center" wrapText="1"/>
    </xf>
    <xf numFmtId="0" fontId="9" fillId="3" borderId="18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vertical="center" wrapText="1"/>
    </xf>
    <xf numFmtId="3" fontId="9" fillId="3" borderId="19" xfId="1" applyNumberFormat="1" applyFont="1" applyFill="1" applyBorder="1" applyAlignment="1">
      <alignment vertical="center"/>
    </xf>
    <xf numFmtId="3" fontId="9" fillId="3" borderId="19" xfId="1" applyNumberFormat="1" applyFont="1" applyFill="1" applyBorder="1" applyAlignment="1">
      <alignment horizontal="right" vertical="center" wrapText="1"/>
    </xf>
    <xf numFmtId="3" fontId="9" fillId="3" borderId="20" xfId="1" applyNumberFormat="1" applyFont="1" applyFill="1" applyBorder="1" applyAlignment="1">
      <alignment vertical="center" wrapText="1"/>
    </xf>
    <xf numFmtId="0" fontId="11" fillId="0" borderId="0" xfId="1" applyFont="1"/>
    <xf numFmtId="0" fontId="9" fillId="3" borderId="19" xfId="1" applyFont="1" applyFill="1" applyBorder="1" applyAlignment="1">
      <alignment vertical="center" wrapText="1"/>
    </xf>
    <xf numFmtId="3" fontId="9" fillId="3" borderId="20" xfId="1" applyNumberFormat="1" applyFont="1" applyFill="1" applyBorder="1" applyAlignment="1">
      <alignment horizontal="right" vertical="center" wrapText="1"/>
    </xf>
    <xf numFmtId="0" fontId="7" fillId="3" borderId="21" xfId="1" applyFont="1" applyFill="1" applyBorder="1" applyAlignment="1">
      <alignment horizontal="center" vertical="center" wrapText="1"/>
    </xf>
    <xf numFmtId="0" fontId="7" fillId="3" borderId="22" xfId="1" applyFont="1" applyFill="1" applyBorder="1" applyAlignment="1">
      <alignment vertical="center" wrapText="1"/>
    </xf>
    <xf numFmtId="3" fontId="7" fillId="3" borderId="22" xfId="1" applyNumberFormat="1" applyFont="1" applyFill="1" applyBorder="1" applyAlignment="1">
      <alignment vertical="center"/>
    </xf>
    <xf numFmtId="3" fontId="7" fillId="3" borderId="22" xfId="1" applyNumberFormat="1" applyFont="1" applyFill="1" applyBorder="1" applyAlignment="1">
      <alignment horizontal="right" vertical="center" wrapText="1"/>
    </xf>
    <xf numFmtId="3" fontId="7" fillId="3" borderId="23" xfId="1" applyNumberFormat="1" applyFont="1" applyFill="1" applyBorder="1" applyAlignment="1">
      <alignment horizontal="right" vertical="center" wrapText="1"/>
    </xf>
    <xf numFmtId="3" fontId="7" fillId="3" borderId="22" xfId="1" applyNumberFormat="1" applyFont="1" applyFill="1" applyBorder="1" applyAlignment="1">
      <alignment vertical="center" wrapText="1"/>
    </xf>
    <xf numFmtId="3" fontId="3" fillId="0" borderId="0" xfId="1" applyNumberFormat="1"/>
    <xf numFmtId="0" fontId="4" fillId="3" borderId="21" xfId="1" applyFont="1" applyFill="1" applyBorder="1" applyAlignment="1">
      <alignment horizontal="center" vertical="center" wrapText="1"/>
    </xf>
    <xf numFmtId="0" fontId="4" fillId="3" borderId="22" xfId="1" applyFont="1" applyFill="1" applyBorder="1" applyAlignment="1">
      <alignment vertical="center" wrapText="1"/>
    </xf>
    <xf numFmtId="3" fontId="4" fillId="3" borderId="22" xfId="1" applyNumberFormat="1" applyFont="1" applyFill="1" applyBorder="1" applyAlignment="1">
      <alignment vertical="center" wrapText="1"/>
    </xf>
    <xf numFmtId="3" fontId="4" fillId="3" borderId="23" xfId="1" applyNumberFormat="1" applyFont="1" applyFill="1" applyBorder="1" applyAlignment="1">
      <alignment horizontal="right" vertical="center" wrapText="1"/>
    </xf>
    <xf numFmtId="3" fontId="5" fillId="0" borderId="0" xfId="1" applyNumberFormat="1" applyFont="1"/>
    <xf numFmtId="0" fontId="10" fillId="3" borderId="18" xfId="1" applyFont="1" applyFill="1" applyBorder="1" applyAlignment="1">
      <alignment horizontal="center" vertical="center" wrapText="1"/>
    </xf>
    <xf numFmtId="3" fontId="10" fillId="3" borderId="19" xfId="1" applyNumberFormat="1" applyFont="1" applyFill="1" applyBorder="1" applyAlignment="1">
      <alignment vertical="center"/>
    </xf>
    <xf numFmtId="3" fontId="10" fillId="3" borderId="19" xfId="1" applyNumberFormat="1" applyFont="1" applyFill="1" applyBorder="1" applyAlignment="1">
      <alignment horizontal="right" vertical="center" wrapText="1"/>
    </xf>
    <xf numFmtId="3" fontId="10" fillId="3" borderId="20" xfId="1" applyNumberFormat="1" applyFont="1" applyFill="1" applyBorder="1" applyAlignment="1">
      <alignment horizontal="right" vertical="center" wrapText="1"/>
    </xf>
    <xf numFmtId="3" fontId="4" fillId="3" borderId="20" xfId="1" applyNumberFormat="1" applyFont="1" applyFill="1" applyBorder="1" applyAlignment="1">
      <alignment horizontal="right" vertical="center" wrapText="1"/>
    </xf>
    <xf numFmtId="3" fontId="4" fillId="4" borderId="25" xfId="1" applyNumberFormat="1" applyFont="1" applyFill="1" applyBorder="1" applyAlignment="1">
      <alignment horizontal="right" vertical="center" wrapText="1"/>
    </xf>
    <xf numFmtId="0" fontId="4" fillId="5" borderId="18" xfId="1" applyFont="1" applyFill="1" applyBorder="1" applyAlignment="1">
      <alignment horizontal="center" vertical="center" wrapText="1"/>
    </xf>
    <xf numFmtId="0" fontId="4" fillId="5" borderId="19" xfId="1" applyFont="1" applyFill="1" applyBorder="1" applyAlignment="1">
      <alignment vertical="center" wrapText="1"/>
    </xf>
    <xf numFmtId="3" fontId="4" fillId="5" borderId="19" xfId="1" applyNumberFormat="1" applyFont="1" applyFill="1" applyBorder="1" applyAlignment="1">
      <alignment vertical="center"/>
    </xf>
    <xf numFmtId="3" fontId="4" fillId="5" borderId="19" xfId="1" applyNumberFormat="1" applyFont="1" applyFill="1" applyBorder="1" applyAlignment="1">
      <alignment vertical="center" wrapText="1"/>
    </xf>
    <xf numFmtId="3" fontId="7" fillId="5" borderId="20" xfId="1" applyNumberFormat="1" applyFont="1" applyFill="1" applyBorder="1" applyAlignment="1">
      <alignment horizontal="right" vertical="center" wrapText="1"/>
    </xf>
    <xf numFmtId="0" fontId="12" fillId="5" borderId="18" xfId="1" applyFont="1" applyFill="1" applyBorder="1" applyAlignment="1">
      <alignment horizontal="center" vertical="center" wrapText="1"/>
    </xf>
    <xf numFmtId="0" fontId="12" fillId="5" borderId="19" xfId="1" applyNumberFormat="1" applyFont="1" applyFill="1" applyBorder="1" applyAlignment="1">
      <alignment vertical="center" wrapText="1"/>
    </xf>
    <xf numFmtId="3" fontId="12" fillId="5" borderId="19" xfId="1" applyNumberFormat="1" applyFont="1" applyFill="1" applyBorder="1" applyAlignment="1">
      <alignment vertical="center"/>
    </xf>
    <xf numFmtId="3" fontId="12" fillId="5" borderId="19" xfId="1" applyNumberFormat="1" applyFont="1" applyFill="1" applyBorder="1" applyAlignment="1">
      <alignment horizontal="right" vertical="center" wrapText="1"/>
    </xf>
    <xf numFmtId="3" fontId="12" fillId="5" borderId="20" xfId="1" applyNumberFormat="1" applyFont="1" applyFill="1" applyBorder="1" applyAlignment="1">
      <alignment vertical="center" wrapText="1"/>
    </xf>
    <xf numFmtId="0" fontId="4" fillId="5" borderId="19" xfId="1" applyNumberFormat="1" applyFont="1" applyFill="1" applyBorder="1" applyAlignment="1">
      <alignment vertical="center" wrapText="1"/>
    </xf>
    <xf numFmtId="3" fontId="4" fillId="5" borderId="19" xfId="1" applyNumberFormat="1" applyFont="1" applyFill="1" applyBorder="1" applyAlignment="1">
      <alignment horizontal="right" vertical="center" wrapText="1"/>
    </xf>
    <xf numFmtId="3" fontId="4" fillId="5" borderId="20" xfId="1" applyNumberFormat="1" applyFont="1" applyFill="1" applyBorder="1" applyAlignment="1">
      <alignment vertical="center" wrapText="1"/>
    </xf>
    <xf numFmtId="3" fontId="12" fillId="5" borderId="20" xfId="1" applyNumberFormat="1" applyFont="1" applyFill="1" applyBorder="1" applyAlignment="1">
      <alignment horizontal="right" vertical="center" wrapText="1"/>
    </xf>
    <xf numFmtId="3" fontId="4" fillId="6" borderId="25" xfId="1" applyNumberFormat="1" applyFont="1" applyFill="1" applyBorder="1" applyAlignment="1">
      <alignment horizontal="right" vertical="center" wrapText="1"/>
    </xf>
    <xf numFmtId="0" fontId="4" fillId="3" borderId="26" xfId="1" applyFont="1" applyFill="1" applyBorder="1" applyAlignment="1">
      <alignment horizontal="center" vertical="center" wrapText="1"/>
    </xf>
    <xf numFmtId="3" fontId="4" fillId="3" borderId="26" xfId="1" applyNumberFormat="1" applyFont="1" applyFill="1" applyBorder="1" applyAlignment="1">
      <alignment horizontal="right" vertical="center" wrapText="1"/>
    </xf>
    <xf numFmtId="0" fontId="9" fillId="3" borderId="21" xfId="1" applyFont="1" applyFill="1" applyBorder="1" applyAlignment="1">
      <alignment horizontal="center" vertical="center" wrapText="1"/>
    </xf>
    <xf numFmtId="0" fontId="9" fillId="3" borderId="22" xfId="1" applyFont="1" applyFill="1" applyBorder="1" applyAlignment="1">
      <alignment vertical="center" wrapText="1"/>
    </xf>
    <xf numFmtId="3" fontId="9" fillId="3" borderId="22" xfId="1" applyNumberFormat="1" applyFont="1" applyFill="1" applyBorder="1" applyAlignment="1">
      <alignment vertical="center" wrapText="1"/>
    </xf>
    <xf numFmtId="3" fontId="9" fillId="3" borderId="23" xfId="1" applyNumberFormat="1" applyFont="1" applyFill="1" applyBorder="1" applyAlignment="1">
      <alignment horizontal="right" vertical="center" wrapText="1"/>
    </xf>
    <xf numFmtId="0" fontId="4" fillId="5" borderId="22" xfId="1" applyFont="1" applyFill="1" applyBorder="1" applyAlignment="1">
      <alignment vertical="center" wrapText="1"/>
    </xf>
    <xf numFmtId="0" fontId="12" fillId="5" borderId="22" xfId="1" applyFont="1" applyFill="1" applyBorder="1" applyAlignment="1">
      <alignment vertical="center" wrapText="1"/>
    </xf>
    <xf numFmtId="3" fontId="12" fillId="5" borderId="19" xfId="1" applyNumberFormat="1" applyFont="1" applyFill="1" applyBorder="1" applyAlignment="1">
      <alignment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vertical="center" wrapText="1"/>
    </xf>
    <xf numFmtId="3" fontId="7" fillId="0" borderId="22" xfId="1" applyNumberFormat="1" applyFont="1" applyBorder="1" applyAlignment="1">
      <alignment vertical="center" wrapText="1"/>
    </xf>
    <xf numFmtId="3" fontId="7" fillId="0" borderId="23" xfId="1" applyNumberFormat="1" applyFont="1" applyBorder="1" applyAlignment="1">
      <alignment horizontal="right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2" xfId="1" applyFont="1" applyBorder="1" applyAlignment="1">
      <alignment vertical="center" wrapText="1"/>
    </xf>
    <xf numFmtId="3" fontId="4" fillId="0" borderId="22" xfId="1" applyNumberFormat="1" applyFont="1" applyBorder="1" applyAlignment="1">
      <alignment vertical="center" wrapText="1"/>
    </xf>
    <xf numFmtId="3" fontId="4" fillId="0" borderId="23" xfId="1" applyNumberFormat="1" applyFont="1" applyBorder="1" applyAlignment="1">
      <alignment horizontal="right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19" xfId="1" applyFont="1" applyBorder="1" applyAlignment="1">
      <alignment vertical="center" wrapText="1"/>
    </xf>
    <xf numFmtId="3" fontId="10" fillId="0" borderId="19" xfId="1" applyNumberFormat="1" applyFont="1" applyBorder="1" applyAlignment="1">
      <alignment vertical="center"/>
    </xf>
    <xf numFmtId="3" fontId="10" fillId="0" borderId="19" xfId="1" applyNumberFormat="1" applyFont="1" applyBorder="1" applyAlignment="1">
      <alignment horizontal="right" vertical="center" wrapText="1"/>
    </xf>
    <xf numFmtId="3" fontId="10" fillId="0" borderId="20" xfId="1" applyNumberFormat="1" applyFont="1" applyBorder="1" applyAlignment="1">
      <alignment horizontal="right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vertical="center" wrapText="1"/>
    </xf>
    <xf numFmtId="3" fontId="4" fillId="0" borderId="19" xfId="1" applyNumberFormat="1" applyFont="1" applyBorder="1" applyAlignment="1">
      <alignment vertical="center"/>
    </xf>
    <xf numFmtId="3" fontId="4" fillId="0" borderId="19" xfId="1" applyNumberFormat="1" applyFont="1" applyBorder="1" applyAlignment="1">
      <alignment horizontal="right" vertical="center" wrapText="1"/>
    </xf>
    <xf numFmtId="3" fontId="7" fillId="0" borderId="20" xfId="1" applyNumberFormat="1" applyFont="1" applyBorder="1" applyAlignment="1">
      <alignment horizontal="right" vertical="center" wrapText="1"/>
    </xf>
    <xf numFmtId="0" fontId="4" fillId="0" borderId="26" xfId="1" applyFont="1" applyFill="1" applyBorder="1" applyAlignment="1">
      <alignment horizontal="center" vertical="center" wrapText="1"/>
    </xf>
    <xf numFmtId="3" fontId="4" fillId="0" borderId="26" xfId="1" applyNumberFormat="1" applyFont="1" applyFill="1" applyBorder="1" applyAlignment="1">
      <alignment horizontal="right" vertical="center" wrapText="1"/>
    </xf>
    <xf numFmtId="3" fontId="4" fillId="0" borderId="20" xfId="1" applyNumberFormat="1" applyFont="1" applyBorder="1" applyAlignment="1">
      <alignment horizontal="right" vertical="center" wrapText="1"/>
    </xf>
    <xf numFmtId="3" fontId="4" fillId="3" borderId="22" xfId="1" applyNumberFormat="1" applyFont="1" applyFill="1" applyBorder="1" applyAlignment="1">
      <alignment vertical="center"/>
    </xf>
    <xf numFmtId="3" fontId="4" fillId="3" borderId="22" xfId="1" applyNumberFormat="1" applyFont="1" applyFill="1" applyBorder="1" applyAlignment="1">
      <alignment horizontal="right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vertical="center" wrapText="1"/>
    </xf>
    <xf numFmtId="3" fontId="10" fillId="3" borderId="9" xfId="1" applyNumberFormat="1" applyFont="1" applyFill="1" applyBorder="1" applyAlignment="1">
      <alignment vertical="center" wrapText="1"/>
    </xf>
    <xf numFmtId="3" fontId="10" fillId="3" borderId="25" xfId="1" applyNumberFormat="1" applyFont="1" applyFill="1" applyBorder="1" applyAlignment="1">
      <alignment horizontal="right" vertical="center" wrapText="1"/>
    </xf>
    <xf numFmtId="0" fontId="7" fillId="5" borderId="18" xfId="1" applyNumberFormat="1" applyFont="1" applyFill="1" applyBorder="1" applyAlignment="1">
      <alignment horizontal="center" vertical="center"/>
    </xf>
    <xf numFmtId="0" fontId="7" fillId="5" borderId="19" xfId="1" applyFont="1" applyFill="1" applyBorder="1" applyAlignment="1">
      <alignment vertical="center" wrapText="1"/>
    </xf>
    <xf numFmtId="3" fontId="7" fillId="5" borderId="19" xfId="1" applyNumberFormat="1" applyFont="1" applyFill="1" applyBorder="1" applyAlignment="1">
      <alignment vertical="center"/>
    </xf>
    <xf numFmtId="3" fontId="7" fillId="5" borderId="19" xfId="1" applyNumberFormat="1" applyFont="1" applyFill="1" applyBorder="1" applyAlignment="1">
      <alignment horizontal="right" vertical="center" wrapText="1"/>
    </xf>
    <xf numFmtId="3" fontId="4" fillId="5" borderId="20" xfId="1" applyNumberFormat="1" applyFont="1" applyFill="1" applyBorder="1" applyAlignment="1">
      <alignment horizontal="right" vertical="center" wrapText="1"/>
    </xf>
    <xf numFmtId="0" fontId="4" fillId="5" borderId="18" xfId="1" applyNumberFormat="1" applyFont="1" applyFill="1" applyBorder="1" applyAlignment="1">
      <alignment horizontal="center" vertical="center"/>
    </xf>
    <xf numFmtId="0" fontId="12" fillId="5" borderId="18" xfId="1" applyNumberFormat="1" applyFont="1" applyFill="1" applyBorder="1" applyAlignment="1">
      <alignment horizontal="center" vertical="center"/>
    </xf>
    <xf numFmtId="0" fontId="12" fillId="5" borderId="19" xfId="1" applyFont="1" applyFill="1" applyBorder="1" applyAlignment="1">
      <alignment vertical="center" wrapText="1"/>
    </xf>
    <xf numFmtId="0" fontId="4" fillId="0" borderId="30" xfId="1" applyFont="1" applyBorder="1" applyAlignment="1">
      <alignment horizontal="center" vertical="center" wrapText="1"/>
    </xf>
    <xf numFmtId="0" fontId="6" fillId="0" borderId="30" xfId="1" applyFont="1" applyBorder="1" applyAlignment="1">
      <alignment vertical="center" wrapText="1"/>
    </xf>
    <xf numFmtId="3" fontId="7" fillId="0" borderId="30" xfId="1" applyNumberFormat="1" applyFont="1" applyBorder="1" applyAlignment="1">
      <alignment vertical="center"/>
    </xf>
    <xf numFmtId="3" fontId="4" fillId="0" borderId="30" xfId="1" applyNumberFormat="1" applyFont="1" applyBorder="1" applyAlignment="1">
      <alignment horizontal="right" vertical="center" wrapText="1"/>
    </xf>
    <xf numFmtId="0" fontId="7" fillId="3" borderId="18" xfId="1" applyNumberFormat="1" applyFont="1" applyFill="1" applyBorder="1" applyAlignment="1">
      <alignment horizontal="center" vertical="center" wrapText="1"/>
    </xf>
    <xf numFmtId="0" fontId="7" fillId="3" borderId="19" xfId="1" applyNumberFormat="1" applyFont="1" applyFill="1" applyBorder="1" applyAlignment="1">
      <alignment horizontal="left" vertical="center" wrapText="1"/>
    </xf>
    <xf numFmtId="0" fontId="7" fillId="3" borderId="19" xfId="1" applyNumberFormat="1" applyFont="1" applyFill="1" applyBorder="1" applyAlignment="1">
      <alignment horizontal="center" vertical="center" wrapText="1"/>
    </xf>
    <xf numFmtId="3" fontId="7" fillId="3" borderId="19" xfId="1" applyNumberFormat="1" applyFont="1" applyFill="1" applyBorder="1" applyAlignment="1">
      <alignment horizontal="center" vertical="center" wrapText="1"/>
    </xf>
    <xf numFmtId="3" fontId="7" fillId="3" borderId="20" xfId="1" applyNumberFormat="1" applyFont="1" applyFill="1" applyBorder="1" applyAlignment="1">
      <alignment horizontal="center" vertical="center" wrapText="1"/>
    </xf>
    <xf numFmtId="0" fontId="4" fillId="5" borderId="21" xfId="1" applyNumberFormat="1" applyFont="1" applyFill="1" applyBorder="1" applyAlignment="1">
      <alignment horizontal="center" vertical="center" wrapText="1"/>
    </xf>
    <xf numFmtId="0" fontId="4" fillId="5" borderId="22" xfId="1" applyNumberFormat="1" applyFont="1" applyFill="1" applyBorder="1" applyAlignment="1">
      <alignment horizontal="left" vertical="center" wrapText="1"/>
    </xf>
    <xf numFmtId="0" fontId="4" fillId="5" borderId="22" xfId="1" applyNumberFormat="1" applyFont="1" applyFill="1" applyBorder="1" applyAlignment="1">
      <alignment horizontal="center" vertical="center" wrapText="1"/>
    </xf>
    <xf numFmtId="3" fontId="4" fillId="5" borderId="22" xfId="1" applyNumberFormat="1" applyFont="1" applyFill="1" applyBorder="1" applyAlignment="1">
      <alignment horizontal="center" vertical="center" wrapText="1"/>
    </xf>
    <xf numFmtId="3" fontId="4" fillId="5" borderId="23" xfId="1" applyNumberFormat="1" applyFont="1" applyFill="1" applyBorder="1" applyAlignment="1">
      <alignment horizontal="center" vertical="center" wrapText="1"/>
    </xf>
    <xf numFmtId="0" fontId="12" fillId="5" borderId="21" xfId="1" applyNumberFormat="1" applyFont="1" applyFill="1" applyBorder="1" applyAlignment="1">
      <alignment horizontal="center" vertical="center" wrapText="1"/>
    </xf>
    <xf numFmtId="0" fontId="12" fillId="5" borderId="22" xfId="1" applyNumberFormat="1" applyFont="1" applyFill="1" applyBorder="1" applyAlignment="1">
      <alignment horizontal="left" vertical="center" wrapText="1"/>
    </xf>
    <xf numFmtId="0" fontId="12" fillId="5" borderId="22" xfId="1" applyNumberFormat="1" applyFont="1" applyFill="1" applyBorder="1" applyAlignment="1">
      <alignment horizontal="center" vertical="center" wrapText="1"/>
    </xf>
    <xf numFmtId="3" fontId="12" fillId="5" borderId="22" xfId="1" applyNumberFormat="1" applyFont="1" applyFill="1" applyBorder="1" applyAlignment="1">
      <alignment horizontal="center" vertical="center" wrapText="1"/>
    </xf>
    <xf numFmtId="3" fontId="12" fillId="5" borderId="23" xfId="1" applyNumberFormat="1" applyFont="1" applyFill="1" applyBorder="1" applyAlignment="1">
      <alignment horizontal="right" vertical="center" wrapText="1"/>
    </xf>
    <xf numFmtId="0" fontId="4" fillId="3" borderId="18" xfId="1" applyNumberFormat="1" applyFont="1" applyFill="1" applyBorder="1" applyAlignment="1">
      <alignment horizontal="center" vertical="center"/>
    </xf>
    <xf numFmtId="0" fontId="10" fillId="3" borderId="18" xfId="1" applyNumberFormat="1" applyFont="1" applyFill="1" applyBorder="1" applyAlignment="1">
      <alignment horizontal="center" vertical="center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2" xfId="1" applyFont="1" applyFill="1" applyBorder="1" applyAlignment="1">
      <alignment vertical="center" wrapText="1"/>
    </xf>
    <xf numFmtId="3" fontId="10" fillId="3" borderId="22" xfId="1" applyNumberFormat="1" applyFont="1" applyFill="1" applyBorder="1" applyAlignment="1">
      <alignment vertical="center" wrapText="1"/>
    </xf>
    <xf numFmtId="3" fontId="10" fillId="3" borderId="23" xfId="1" applyNumberFormat="1" applyFont="1" applyFill="1" applyBorder="1" applyAlignment="1">
      <alignment horizontal="right" vertical="center" wrapText="1"/>
    </xf>
    <xf numFmtId="0" fontId="7" fillId="5" borderId="18" xfId="1" applyFont="1" applyFill="1" applyBorder="1" applyAlignment="1">
      <alignment horizontal="center" vertical="center" wrapText="1"/>
    </xf>
    <xf numFmtId="3" fontId="7" fillId="5" borderId="19" xfId="1" applyNumberFormat="1" applyFont="1" applyFill="1" applyBorder="1" applyAlignment="1">
      <alignment vertical="center" wrapText="1"/>
    </xf>
    <xf numFmtId="0" fontId="4" fillId="5" borderId="21" xfId="1" applyNumberFormat="1" applyFont="1" applyFill="1" applyBorder="1" applyAlignment="1">
      <alignment horizontal="center" vertical="center"/>
    </xf>
    <xf numFmtId="3" fontId="4" fillId="5" borderId="22" xfId="1" applyNumberFormat="1" applyFont="1" applyFill="1" applyBorder="1" applyAlignment="1">
      <alignment vertical="center"/>
    </xf>
    <xf numFmtId="3" fontId="4" fillId="5" borderId="22" xfId="1" applyNumberFormat="1" applyFont="1" applyFill="1" applyBorder="1" applyAlignment="1">
      <alignment horizontal="right" vertical="center" wrapText="1"/>
    </xf>
    <xf numFmtId="3" fontId="7" fillId="5" borderId="23" xfId="1" applyNumberFormat="1" applyFont="1" applyFill="1" applyBorder="1" applyAlignment="1">
      <alignment horizontal="right" vertical="center" wrapText="1"/>
    </xf>
    <xf numFmtId="0" fontId="12" fillId="5" borderId="21" xfId="1" applyNumberFormat="1" applyFont="1" applyFill="1" applyBorder="1" applyAlignment="1">
      <alignment horizontal="center" vertical="center"/>
    </xf>
    <xf numFmtId="3" fontId="12" fillId="5" borderId="22" xfId="1" applyNumberFormat="1" applyFont="1" applyFill="1" applyBorder="1" applyAlignment="1">
      <alignment vertical="center"/>
    </xf>
    <xf numFmtId="3" fontId="12" fillId="5" borderId="22" xfId="1" applyNumberFormat="1" applyFont="1" applyFill="1" applyBorder="1" applyAlignment="1">
      <alignment horizontal="right" vertical="center" wrapText="1"/>
    </xf>
    <xf numFmtId="0" fontId="9" fillId="3" borderId="24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vertical="center" wrapText="1"/>
    </xf>
    <xf numFmtId="3" fontId="9" fillId="3" borderId="9" xfId="1" applyNumberFormat="1" applyFont="1" applyFill="1" applyBorder="1" applyAlignment="1">
      <alignment vertical="center" wrapText="1"/>
    </xf>
    <xf numFmtId="3" fontId="9" fillId="3" borderId="25" xfId="1" applyNumberFormat="1" applyFont="1" applyFill="1" applyBorder="1" applyAlignment="1">
      <alignment horizontal="right" vertical="center" wrapText="1"/>
    </xf>
    <xf numFmtId="3" fontId="7" fillId="0" borderId="19" xfId="1" applyNumberFormat="1" applyFont="1" applyBorder="1" applyAlignment="1">
      <alignment vertical="center"/>
    </xf>
    <xf numFmtId="3" fontId="7" fillId="0" borderId="19" xfId="1" applyNumberFormat="1" applyFont="1" applyBorder="1" applyAlignment="1">
      <alignment horizontal="right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vertical="center" wrapText="1"/>
    </xf>
    <xf numFmtId="0" fontId="7" fillId="5" borderId="22" xfId="1" applyFont="1" applyFill="1" applyBorder="1" applyAlignment="1">
      <alignment vertical="center" wrapText="1"/>
    </xf>
    <xf numFmtId="0" fontId="3" fillId="3" borderId="0" xfId="1" applyFill="1"/>
    <xf numFmtId="3" fontId="3" fillId="3" borderId="0" xfId="1" applyNumberFormat="1" applyFill="1"/>
    <xf numFmtId="0" fontId="5" fillId="0" borderId="0" xfId="1" applyFont="1" applyAlignment="1">
      <alignment horizontal="left"/>
    </xf>
    <xf numFmtId="3" fontId="5" fillId="0" borderId="0" xfId="1" applyNumberFormat="1" applyFont="1" applyAlignment="1">
      <alignment horizontal="left"/>
    </xf>
    <xf numFmtId="0" fontId="4" fillId="3" borderId="31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3" fontId="4" fillId="3" borderId="32" xfId="1" applyNumberFormat="1" applyFont="1" applyFill="1" applyBorder="1" applyAlignment="1">
      <alignment horizontal="right" vertical="center" wrapText="1"/>
    </xf>
    <xf numFmtId="0" fontId="4" fillId="3" borderId="19" xfId="1" applyNumberFormat="1" applyFont="1" applyFill="1" applyBorder="1" applyAlignment="1">
      <alignment vertical="center" wrapText="1"/>
    </xf>
    <xf numFmtId="3" fontId="9" fillId="3" borderId="9" xfId="1" applyNumberFormat="1" applyFont="1" applyFill="1" applyBorder="1" applyAlignment="1">
      <alignment vertical="center"/>
    </xf>
    <xf numFmtId="3" fontId="9" fillId="3" borderId="9" xfId="1" applyNumberFormat="1" applyFont="1" applyFill="1" applyBorder="1" applyAlignment="1">
      <alignment horizontal="right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 wrapText="1"/>
    </xf>
    <xf numFmtId="0" fontId="4" fillId="3" borderId="22" xfId="1" applyNumberFormat="1" applyFont="1" applyFill="1" applyBorder="1" applyAlignment="1">
      <alignment vertical="center" wrapText="1"/>
    </xf>
    <xf numFmtId="0" fontId="7" fillId="5" borderId="19" xfId="1" applyFont="1" applyFill="1" applyBorder="1" applyAlignment="1">
      <alignment horizontal="left" vertical="center" wrapText="1"/>
    </xf>
    <xf numFmtId="0" fontId="4" fillId="5" borderId="19" xfId="1" applyFont="1" applyFill="1" applyBorder="1" applyAlignment="1">
      <alignment horizontal="left" vertical="center" wrapText="1"/>
    </xf>
    <xf numFmtId="0" fontId="12" fillId="5" borderId="19" xfId="1" applyFont="1" applyFill="1" applyBorder="1" applyAlignment="1">
      <alignment horizontal="left" vertical="center" wrapText="1"/>
    </xf>
    <xf numFmtId="0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3" fontId="14" fillId="13" borderId="24" xfId="0" applyNumberFormat="1" applyFont="1" applyFill="1" applyBorder="1" applyAlignment="1">
      <alignment horizontal="center" vertical="center" wrapText="1"/>
    </xf>
    <xf numFmtId="3" fontId="14" fillId="7" borderId="9" xfId="0" applyNumberFormat="1" applyFont="1" applyFill="1" applyBorder="1" applyAlignment="1">
      <alignment horizontal="center" vertical="center" wrapText="1"/>
    </xf>
    <xf numFmtId="3" fontId="14" fillId="7" borderId="25" xfId="0" applyNumberFormat="1" applyFont="1" applyFill="1" applyBorder="1" applyAlignment="1">
      <alignment horizontal="center" vertical="center" wrapText="1"/>
    </xf>
    <xf numFmtId="3" fontId="14" fillId="8" borderId="24" xfId="0" applyNumberFormat="1" applyFont="1" applyFill="1" applyBorder="1" applyAlignment="1">
      <alignment horizontal="center" vertical="center" wrapText="1"/>
    </xf>
    <xf numFmtId="3" fontId="14" fillId="8" borderId="9" xfId="0" applyNumberFormat="1" applyFont="1" applyFill="1" applyBorder="1" applyAlignment="1">
      <alignment horizontal="center" vertical="center" wrapText="1"/>
    </xf>
    <xf numFmtId="3" fontId="14" fillId="8" borderId="25" xfId="0" applyNumberFormat="1" applyFont="1" applyFill="1" applyBorder="1" applyAlignment="1">
      <alignment horizontal="center" vertical="center" wrapText="1"/>
    </xf>
    <xf numFmtId="3" fontId="14" fillId="9" borderId="24" xfId="0" applyNumberFormat="1" applyFont="1" applyFill="1" applyBorder="1" applyAlignment="1">
      <alignment horizontal="center" vertical="center" wrapText="1"/>
    </xf>
    <xf numFmtId="3" fontId="14" fillId="9" borderId="25" xfId="0" applyNumberFormat="1" applyFont="1" applyFill="1" applyBorder="1" applyAlignment="1">
      <alignment horizontal="center" vertical="center" wrapText="1"/>
    </xf>
    <xf numFmtId="3" fontId="14" fillId="10" borderId="24" xfId="0" applyNumberFormat="1" applyFont="1" applyFill="1" applyBorder="1" applyAlignment="1">
      <alignment horizontal="center" vertical="center" wrapText="1"/>
    </xf>
    <xf numFmtId="3" fontId="14" fillId="10" borderId="9" xfId="0" applyNumberFormat="1" applyFont="1" applyFill="1" applyBorder="1" applyAlignment="1">
      <alignment horizontal="center" vertical="center" wrapText="1"/>
    </xf>
    <xf numFmtId="3" fontId="14" fillId="10" borderId="25" xfId="0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left" vertical="center" wrapText="1"/>
    </xf>
    <xf numFmtId="3" fontId="0" fillId="13" borderId="15" xfId="0" applyNumberFormat="1" applyFill="1" applyBorder="1" applyAlignment="1">
      <alignment vertical="center"/>
    </xf>
    <xf numFmtId="3" fontId="0" fillId="7" borderId="16" xfId="0" applyNumberFormat="1" applyFill="1" applyBorder="1" applyAlignment="1">
      <alignment vertical="center"/>
    </xf>
    <xf numFmtId="3" fontId="15" fillId="7" borderId="7" xfId="0" applyNumberFormat="1" applyFont="1" applyFill="1" applyBorder="1" applyAlignment="1">
      <alignment vertical="center"/>
    </xf>
    <xf numFmtId="3" fontId="15" fillId="8" borderId="13" xfId="0" applyNumberFormat="1" applyFont="1" applyFill="1" applyBorder="1" applyAlignment="1">
      <alignment vertical="center"/>
    </xf>
    <xf numFmtId="3" fontId="15" fillId="8" borderId="3" xfId="0" applyNumberFormat="1" applyFont="1" applyFill="1" applyBorder="1" applyAlignment="1">
      <alignment vertical="center"/>
    </xf>
    <xf numFmtId="3" fontId="0" fillId="8" borderId="14" xfId="0" applyNumberFormat="1" applyFont="1" applyFill="1" applyBorder="1" applyAlignment="1">
      <alignment vertical="center"/>
    </xf>
    <xf numFmtId="3" fontId="15" fillId="9" borderId="13" xfId="0" applyNumberFormat="1" applyFont="1" applyFill="1" applyBorder="1" applyAlignment="1">
      <alignment vertical="center"/>
    </xf>
    <xf numFmtId="3" fontId="0" fillId="9" borderId="14" xfId="0" applyNumberFormat="1" applyFont="1" applyFill="1" applyBorder="1" applyAlignment="1">
      <alignment vertical="center"/>
    </xf>
    <xf numFmtId="3" fontId="15" fillId="5" borderId="27" xfId="0" applyNumberFormat="1" applyFont="1" applyFill="1" applyBorder="1" applyAlignment="1">
      <alignment vertical="center"/>
    </xf>
    <xf numFmtId="3" fontId="15" fillId="10" borderId="13" xfId="0" applyNumberFormat="1" applyFont="1" applyFill="1" applyBorder="1" applyAlignment="1">
      <alignment vertical="center"/>
    </xf>
    <xf numFmtId="3" fontId="15" fillId="10" borderId="3" xfId="0" applyNumberFormat="1" applyFont="1" applyFill="1" applyBorder="1" applyAlignment="1">
      <alignment vertical="center"/>
    </xf>
    <xf numFmtId="3" fontId="0" fillId="10" borderId="14" xfId="0" applyNumberFormat="1" applyFont="1" applyFill="1" applyBorder="1" applyAlignment="1">
      <alignment vertical="center"/>
    </xf>
    <xf numFmtId="3" fontId="15" fillId="11" borderId="40" xfId="0" applyNumberFormat="1" applyFont="1" applyFill="1" applyBorder="1" applyAlignment="1">
      <alignment vertical="center"/>
    </xf>
    <xf numFmtId="3" fontId="15" fillId="12" borderId="41" xfId="0" applyNumberFormat="1" applyFont="1" applyFill="1" applyBorder="1" applyAlignment="1">
      <alignment vertical="center"/>
    </xf>
    <xf numFmtId="3" fontId="14" fillId="3" borderId="41" xfId="0" applyNumberFormat="1" applyFont="1" applyFill="1" applyBorder="1" applyAlignment="1">
      <alignment vertical="center"/>
    </xf>
    <xf numFmtId="3" fontId="14" fillId="3" borderId="40" xfId="0" applyNumberFormat="1" applyFont="1" applyFill="1" applyBorder="1" applyAlignment="1">
      <alignment vertical="center"/>
    </xf>
    <xf numFmtId="0" fontId="0" fillId="0" borderId="41" xfId="0" applyBorder="1" applyAlignment="1">
      <alignment horizontal="left" vertical="center" wrapText="1"/>
    </xf>
    <xf numFmtId="3" fontId="15" fillId="7" borderId="20" xfId="0" applyNumberFormat="1" applyFont="1" applyFill="1" applyBorder="1" applyAlignment="1">
      <alignment vertical="center"/>
    </xf>
    <xf numFmtId="3" fontId="15" fillId="8" borderId="15" xfId="0" applyNumberFormat="1" applyFont="1" applyFill="1" applyBorder="1" applyAlignment="1">
      <alignment vertical="center"/>
    </xf>
    <xf numFmtId="3" fontId="15" fillId="8" borderId="16" xfId="0" applyNumberFormat="1" applyFont="1" applyFill="1" applyBorder="1" applyAlignment="1">
      <alignment vertical="center"/>
    </xf>
    <xf numFmtId="3" fontId="0" fillId="8" borderId="20" xfId="0" applyNumberFormat="1" applyFont="1" applyFill="1" applyBorder="1" applyAlignment="1">
      <alignment vertical="center"/>
    </xf>
    <xf numFmtId="3" fontId="15" fillId="9" borderId="15" xfId="0" applyNumberFormat="1" applyFont="1" applyFill="1" applyBorder="1" applyAlignment="1">
      <alignment vertical="center"/>
    </xf>
    <xf numFmtId="3" fontId="0" fillId="9" borderId="20" xfId="0" applyNumberFormat="1" applyFont="1" applyFill="1" applyBorder="1" applyAlignment="1">
      <alignment vertical="center"/>
    </xf>
    <xf numFmtId="3" fontId="15" fillId="5" borderId="42" xfId="0" applyNumberFormat="1" applyFont="1" applyFill="1" applyBorder="1" applyAlignment="1">
      <alignment vertical="center"/>
    </xf>
    <xf numFmtId="3" fontId="15" fillId="10" borderId="15" xfId="0" applyNumberFormat="1" applyFont="1" applyFill="1" applyBorder="1" applyAlignment="1">
      <alignment vertical="center"/>
    </xf>
    <xf numFmtId="3" fontId="15" fillId="10" borderId="16" xfId="0" applyNumberFormat="1" applyFont="1" applyFill="1" applyBorder="1" applyAlignment="1">
      <alignment vertical="center"/>
    </xf>
    <xf numFmtId="3" fontId="0" fillId="10" borderId="20" xfId="0" applyNumberFormat="1" applyFont="1" applyFill="1" applyBorder="1" applyAlignment="1">
      <alignment vertical="center"/>
    </xf>
    <xf numFmtId="3" fontId="15" fillId="11" borderId="43" xfId="0" applyNumberFormat="1" applyFont="1" applyFill="1" applyBorder="1" applyAlignment="1">
      <alignment vertical="center"/>
    </xf>
    <xf numFmtId="3" fontId="14" fillId="3" borderId="43" xfId="0" applyNumberFormat="1" applyFont="1" applyFill="1" applyBorder="1" applyAlignment="1">
      <alignment vertical="center"/>
    </xf>
    <xf numFmtId="0" fontId="0" fillId="0" borderId="43" xfId="0" applyBorder="1" applyAlignment="1">
      <alignment vertical="center" wrapText="1"/>
    </xf>
    <xf numFmtId="3" fontId="0" fillId="13" borderId="18" xfId="0" applyNumberFormat="1" applyFill="1" applyBorder="1" applyAlignment="1">
      <alignment vertical="center"/>
    </xf>
    <xf numFmtId="3" fontId="0" fillId="7" borderId="19" xfId="0" applyNumberFormat="1" applyFill="1" applyBorder="1" applyAlignment="1">
      <alignment vertical="center"/>
    </xf>
    <xf numFmtId="3" fontId="15" fillId="7" borderId="17" xfId="0" applyNumberFormat="1" applyFont="1" applyFill="1" applyBorder="1" applyAlignment="1">
      <alignment vertical="center"/>
    </xf>
    <xf numFmtId="3" fontId="15" fillId="8" borderId="18" xfId="0" applyNumberFormat="1" applyFont="1" applyFill="1" applyBorder="1" applyAlignment="1">
      <alignment vertical="center"/>
    </xf>
    <xf numFmtId="3" fontId="15" fillId="8" borderId="19" xfId="0" applyNumberFormat="1" applyFont="1" applyFill="1" applyBorder="1" applyAlignment="1">
      <alignment vertical="center"/>
    </xf>
    <xf numFmtId="3" fontId="15" fillId="9" borderId="18" xfId="0" applyNumberFormat="1" applyFont="1" applyFill="1" applyBorder="1" applyAlignment="1">
      <alignment vertical="center"/>
    </xf>
    <xf numFmtId="3" fontId="15" fillId="10" borderId="18" xfId="0" applyNumberFormat="1" applyFont="1" applyFill="1" applyBorder="1" applyAlignment="1">
      <alignment vertical="center"/>
    </xf>
    <xf numFmtId="3" fontId="15" fillId="10" borderId="19" xfId="0" applyNumberFormat="1" applyFont="1" applyFill="1" applyBorder="1" applyAlignment="1">
      <alignment vertical="center"/>
    </xf>
    <xf numFmtId="3" fontId="15" fillId="12" borderId="43" xfId="0" applyNumberFormat="1" applyFont="1" applyFill="1" applyBorder="1" applyAlignment="1">
      <alignment vertical="center"/>
    </xf>
    <xf numFmtId="0" fontId="0" fillId="0" borderId="44" xfId="0" applyBorder="1" applyAlignment="1">
      <alignment vertical="center" wrapText="1"/>
    </xf>
    <xf numFmtId="3" fontId="0" fillId="13" borderId="21" xfId="0" applyNumberFormat="1" applyFill="1" applyBorder="1" applyAlignment="1">
      <alignment vertical="center"/>
    </xf>
    <xf numFmtId="3" fontId="0" fillId="7" borderId="22" xfId="0" applyNumberFormat="1" applyFill="1" applyBorder="1" applyAlignment="1">
      <alignment vertical="center"/>
    </xf>
    <xf numFmtId="3" fontId="15" fillId="7" borderId="23" xfId="0" applyNumberFormat="1" applyFont="1" applyFill="1" applyBorder="1" applyAlignment="1">
      <alignment vertical="center"/>
    </xf>
    <xf numFmtId="3" fontId="15" fillId="8" borderId="21" xfId="0" applyNumberFormat="1" applyFont="1" applyFill="1" applyBorder="1" applyAlignment="1">
      <alignment vertical="center"/>
    </xf>
    <xf numFmtId="3" fontId="15" fillId="8" borderId="22" xfId="0" applyNumberFormat="1" applyFont="1" applyFill="1" applyBorder="1" applyAlignment="1">
      <alignment vertical="center"/>
    </xf>
    <xf numFmtId="3" fontId="0" fillId="8" borderId="23" xfId="0" applyNumberFormat="1" applyFont="1" applyFill="1" applyBorder="1" applyAlignment="1">
      <alignment vertical="center"/>
    </xf>
    <xf numFmtId="3" fontId="15" fillId="9" borderId="21" xfId="0" applyNumberFormat="1" applyFont="1" applyFill="1" applyBorder="1" applyAlignment="1">
      <alignment vertical="center"/>
    </xf>
    <xf numFmtId="3" fontId="0" fillId="9" borderId="23" xfId="0" applyNumberFormat="1" applyFont="1" applyFill="1" applyBorder="1" applyAlignment="1">
      <alignment vertical="center"/>
    </xf>
    <xf numFmtId="3" fontId="15" fillId="5" borderId="45" xfId="0" applyNumberFormat="1" applyFont="1" applyFill="1" applyBorder="1" applyAlignment="1">
      <alignment vertical="center"/>
    </xf>
    <xf numFmtId="3" fontId="15" fillId="10" borderId="21" xfId="0" applyNumberFormat="1" applyFont="1" applyFill="1" applyBorder="1" applyAlignment="1">
      <alignment vertical="center"/>
    </xf>
    <xf numFmtId="3" fontId="15" fillId="10" borderId="22" xfId="0" applyNumberFormat="1" applyFont="1" applyFill="1" applyBorder="1" applyAlignment="1">
      <alignment vertical="center"/>
    </xf>
    <xf numFmtId="3" fontId="0" fillId="10" borderId="23" xfId="0" applyNumberFormat="1" applyFont="1" applyFill="1" applyBorder="1" applyAlignment="1">
      <alignment vertical="center"/>
    </xf>
    <xf numFmtId="3" fontId="15" fillId="11" borderId="44" xfId="0" applyNumberFormat="1" applyFont="1" applyFill="1" applyBorder="1" applyAlignment="1">
      <alignment vertical="center"/>
    </xf>
    <xf numFmtId="3" fontId="15" fillId="12" borderId="44" xfId="0" applyNumberFormat="1" applyFont="1" applyFill="1" applyBorder="1" applyAlignment="1">
      <alignment vertical="center"/>
    </xf>
    <xf numFmtId="3" fontId="14" fillId="3" borderId="44" xfId="0" applyNumberFormat="1" applyFont="1" applyFill="1" applyBorder="1" applyAlignment="1">
      <alignment vertical="center"/>
    </xf>
    <xf numFmtId="3" fontId="14" fillId="3" borderId="46" xfId="0" applyNumberFormat="1" applyFont="1" applyFill="1" applyBorder="1" applyAlignment="1">
      <alignment vertical="center"/>
    </xf>
    <xf numFmtId="0" fontId="14" fillId="0" borderId="47" xfId="0" applyFont="1" applyBorder="1" applyAlignment="1">
      <alignment vertical="center" wrapText="1"/>
    </xf>
    <xf numFmtId="3" fontId="14" fillId="13" borderId="48" xfId="0" applyNumberFormat="1" applyFont="1" applyFill="1" applyBorder="1" applyAlignment="1">
      <alignment vertical="center"/>
    </xf>
    <xf numFmtId="3" fontId="14" fillId="7" borderId="49" xfId="0" applyNumberFormat="1" applyFont="1" applyFill="1" applyBorder="1" applyAlignment="1">
      <alignment vertical="center"/>
    </xf>
    <xf numFmtId="3" fontId="14" fillId="7" borderId="50" xfId="0" applyNumberFormat="1" applyFont="1" applyFill="1" applyBorder="1" applyAlignment="1">
      <alignment vertical="center"/>
    </xf>
    <xf numFmtId="3" fontId="14" fillId="8" borderId="48" xfId="0" applyNumberFormat="1" applyFont="1" applyFill="1" applyBorder="1" applyAlignment="1">
      <alignment vertical="center"/>
    </xf>
    <xf numFmtId="3" fontId="14" fillId="8" borderId="49" xfId="0" applyNumberFormat="1" applyFont="1" applyFill="1" applyBorder="1" applyAlignment="1">
      <alignment vertical="center"/>
    </xf>
    <xf numFmtId="3" fontId="2" fillId="8" borderId="50" xfId="0" applyNumberFormat="1" applyFont="1" applyFill="1" applyBorder="1" applyAlignment="1">
      <alignment vertical="center"/>
    </xf>
    <xf numFmtId="3" fontId="14" fillId="9" borderId="48" xfId="0" applyNumberFormat="1" applyFont="1" applyFill="1" applyBorder="1" applyAlignment="1">
      <alignment vertical="center"/>
    </xf>
    <xf numFmtId="3" fontId="2" fillId="9" borderId="50" xfId="0" applyNumberFormat="1" applyFont="1" applyFill="1" applyBorder="1" applyAlignment="1">
      <alignment vertical="center"/>
    </xf>
    <xf numFmtId="3" fontId="14" fillId="5" borderId="34" xfId="0" applyNumberFormat="1" applyFont="1" applyFill="1" applyBorder="1" applyAlignment="1">
      <alignment vertical="center"/>
    </xf>
    <xf numFmtId="3" fontId="14" fillId="10" borderId="48" xfId="0" applyNumberFormat="1" applyFont="1" applyFill="1" applyBorder="1" applyAlignment="1">
      <alignment vertical="center"/>
    </xf>
    <xf numFmtId="3" fontId="14" fillId="10" borderId="49" xfId="0" applyNumberFormat="1" applyFont="1" applyFill="1" applyBorder="1" applyAlignment="1">
      <alignment vertical="center"/>
    </xf>
    <xf numFmtId="3" fontId="2" fillId="10" borderId="50" xfId="0" applyNumberFormat="1" applyFont="1" applyFill="1" applyBorder="1" applyAlignment="1">
      <alignment vertical="center"/>
    </xf>
    <xf numFmtId="3" fontId="14" fillId="11" borderId="47" xfId="0" applyNumberFormat="1" applyFont="1" applyFill="1" applyBorder="1" applyAlignment="1">
      <alignment vertical="center"/>
    </xf>
    <xf numFmtId="3" fontId="14" fillId="12" borderId="47" xfId="0" applyNumberFormat="1" applyFont="1" applyFill="1" applyBorder="1" applyAlignment="1">
      <alignment vertical="center"/>
    </xf>
    <xf numFmtId="3" fontId="14" fillId="3" borderId="47" xfId="0" applyNumberFormat="1" applyFont="1" applyFill="1" applyBorder="1" applyAlignment="1">
      <alignment vertical="center"/>
    </xf>
    <xf numFmtId="0" fontId="0" fillId="0" borderId="44" xfId="0" applyFont="1" applyBorder="1" applyAlignment="1">
      <alignment vertical="center" wrapText="1"/>
    </xf>
    <xf numFmtId="3" fontId="15" fillId="13" borderId="21" xfId="0" applyNumberFormat="1" applyFont="1" applyFill="1" applyBorder="1" applyAlignment="1">
      <alignment vertical="center"/>
    </xf>
    <xf numFmtId="3" fontId="14" fillId="7" borderId="22" xfId="0" applyNumberFormat="1" applyFont="1" applyFill="1" applyBorder="1" applyAlignment="1">
      <alignment vertical="center"/>
    </xf>
    <xf numFmtId="3" fontId="15" fillId="7" borderId="22" xfId="0" applyNumberFormat="1" applyFont="1" applyFill="1" applyBorder="1" applyAlignment="1">
      <alignment vertical="center"/>
    </xf>
    <xf numFmtId="3" fontId="15" fillId="12" borderId="36" xfId="0" applyNumberFormat="1" applyFont="1" applyFill="1" applyBorder="1" applyAlignment="1">
      <alignment vertical="center"/>
    </xf>
    <xf numFmtId="3" fontId="14" fillId="3" borderId="36" xfId="0" applyNumberFormat="1" applyFont="1" applyFill="1" applyBorder="1" applyAlignment="1">
      <alignment vertical="center"/>
    </xf>
    <xf numFmtId="3" fontId="15" fillId="8" borderId="51" xfId="0" applyNumberFormat="1" applyFont="1" applyFill="1" applyBorder="1" applyAlignment="1">
      <alignment vertical="center"/>
    </xf>
    <xf numFmtId="3" fontId="15" fillId="8" borderId="52" xfId="0" applyNumberFormat="1" applyFont="1" applyFill="1" applyBorder="1" applyAlignment="1">
      <alignment vertical="center"/>
    </xf>
    <xf numFmtId="3" fontId="15" fillId="9" borderId="24" xfId="0" applyNumberFormat="1" applyFont="1" applyFill="1" applyBorder="1" applyAlignment="1">
      <alignment vertical="center"/>
    </xf>
    <xf numFmtId="3" fontId="15" fillId="10" borderId="24" xfId="0" applyNumberFormat="1" applyFont="1" applyFill="1" applyBorder="1" applyAlignment="1">
      <alignment vertical="center"/>
    </xf>
    <xf numFmtId="3" fontId="15" fillId="10" borderId="9" xfId="0" applyNumberFormat="1" applyFont="1" applyFill="1" applyBorder="1" applyAlignment="1">
      <alignment vertical="center"/>
    </xf>
    <xf numFmtId="0" fontId="16" fillId="0" borderId="46" xfId="0" applyFont="1" applyFill="1" applyBorder="1" applyAlignment="1">
      <alignment vertical="center" wrapText="1"/>
    </xf>
    <xf numFmtId="3" fontId="16" fillId="13" borderId="48" xfId="0" applyNumberFormat="1" applyFont="1" applyFill="1" applyBorder="1" applyAlignment="1">
      <alignment vertical="center"/>
    </xf>
    <xf numFmtId="3" fontId="16" fillId="7" borderId="49" xfId="0" applyNumberFormat="1" applyFont="1" applyFill="1" applyBorder="1" applyAlignment="1">
      <alignment vertical="center"/>
    </xf>
    <xf numFmtId="3" fontId="16" fillId="7" borderId="50" xfId="0" applyNumberFormat="1" applyFont="1" applyFill="1" applyBorder="1" applyAlignment="1">
      <alignment vertical="center"/>
    </xf>
    <xf numFmtId="3" fontId="16" fillId="8" borderId="48" xfId="0" applyNumberFormat="1" applyFont="1" applyFill="1" applyBorder="1" applyAlignment="1">
      <alignment vertical="center"/>
    </xf>
    <xf numFmtId="3" fontId="16" fillId="8" borderId="49" xfId="0" applyNumberFormat="1" applyFont="1" applyFill="1" applyBorder="1" applyAlignment="1">
      <alignment vertical="center"/>
    </xf>
    <xf numFmtId="3" fontId="17" fillId="8" borderId="14" xfId="0" applyNumberFormat="1" applyFont="1" applyFill="1" applyBorder="1" applyAlignment="1">
      <alignment vertical="center"/>
    </xf>
    <xf numFmtId="3" fontId="16" fillId="9" borderId="48" xfId="0" applyNumberFormat="1" applyFont="1" applyFill="1" applyBorder="1" applyAlignment="1">
      <alignment vertical="center"/>
    </xf>
    <xf numFmtId="3" fontId="17" fillId="9" borderId="14" xfId="0" applyNumberFormat="1" applyFont="1" applyFill="1" applyBorder="1" applyAlignment="1">
      <alignment vertical="center"/>
    </xf>
    <xf numFmtId="3" fontId="16" fillId="5" borderId="53" xfId="0" applyNumberFormat="1" applyFont="1" applyFill="1" applyBorder="1" applyAlignment="1">
      <alignment vertical="center"/>
    </xf>
    <xf numFmtId="3" fontId="16" fillId="10" borderId="48" xfId="0" applyNumberFormat="1" applyFont="1" applyFill="1" applyBorder="1" applyAlignment="1">
      <alignment vertical="center"/>
    </xf>
    <xf numFmtId="3" fontId="16" fillId="10" borderId="49" xfId="0" applyNumberFormat="1" applyFont="1" applyFill="1" applyBorder="1" applyAlignment="1">
      <alignment vertical="center"/>
    </xf>
    <xf numFmtId="3" fontId="17" fillId="10" borderId="14" xfId="0" applyNumberFormat="1" applyFont="1" applyFill="1" applyBorder="1" applyAlignment="1">
      <alignment vertical="center"/>
    </xf>
    <xf numFmtId="3" fontId="16" fillId="11" borderId="50" xfId="0" applyNumberFormat="1" applyFont="1" applyFill="1" applyBorder="1" applyAlignment="1">
      <alignment vertical="center"/>
    </xf>
    <xf numFmtId="3" fontId="16" fillId="12" borderId="50" xfId="0" applyNumberFormat="1" applyFont="1" applyFill="1" applyBorder="1" applyAlignment="1">
      <alignment vertical="center"/>
    </xf>
    <xf numFmtId="3" fontId="16" fillId="3" borderId="50" xfId="0" applyNumberFormat="1" applyFont="1" applyFill="1" applyBorder="1" applyAlignment="1">
      <alignment vertical="center"/>
    </xf>
    <xf numFmtId="3" fontId="16" fillId="3" borderId="7" xfId="0" applyNumberFormat="1" applyFont="1" applyFill="1" applyBorder="1" applyAlignment="1">
      <alignment vertical="center"/>
    </xf>
    <xf numFmtId="3" fontId="1" fillId="0" borderId="0" xfId="0" applyNumberFormat="1" applyFont="1"/>
    <xf numFmtId="3" fontId="0" fillId="13" borderId="13" xfId="0" applyNumberFormat="1" applyFill="1" applyBorder="1" applyAlignment="1">
      <alignment vertical="center"/>
    </xf>
    <xf numFmtId="3" fontId="0" fillId="7" borderId="3" xfId="0" applyNumberFormat="1" applyFill="1" applyBorder="1" applyAlignment="1">
      <alignment vertical="center"/>
    </xf>
    <xf numFmtId="3" fontId="15" fillId="7" borderId="14" xfId="0" applyNumberFormat="1" applyFont="1" applyFill="1" applyBorder="1" applyAlignment="1">
      <alignment vertical="center"/>
    </xf>
    <xf numFmtId="3" fontId="15" fillId="12" borderId="40" xfId="0" applyNumberFormat="1" applyFont="1" applyFill="1" applyBorder="1" applyAlignment="1">
      <alignment vertical="center"/>
    </xf>
    <xf numFmtId="3" fontId="15" fillId="3" borderId="40" xfId="0" applyNumberFormat="1" applyFont="1" applyFill="1" applyBorder="1" applyAlignment="1">
      <alignment vertical="center"/>
    </xf>
    <xf numFmtId="3" fontId="15" fillId="3" borderId="41" xfId="0" applyNumberFormat="1" applyFont="1" applyFill="1" applyBorder="1" applyAlignment="1">
      <alignment vertical="center"/>
    </xf>
    <xf numFmtId="3" fontId="15" fillId="3" borderId="43" xfId="0" applyNumberFormat="1" applyFont="1" applyFill="1" applyBorder="1" applyAlignment="1">
      <alignment vertical="center"/>
    </xf>
    <xf numFmtId="3" fontId="0" fillId="13" borderId="24" xfId="0" applyNumberFormat="1" applyFill="1" applyBorder="1" applyAlignment="1">
      <alignment vertical="center"/>
    </xf>
    <xf numFmtId="3" fontId="0" fillId="7" borderId="9" xfId="0" applyNumberFormat="1" applyFill="1" applyBorder="1" applyAlignment="1">
      <alignment vertical="center"/>
    </xf>
    <xf numFmtId="3" fontId="0" fillId="8" borderId="25" xfId="0" applyNumberFormat="1" applyFont="1" applyFill="1" applyBorder="1" applyAlignment="1">
      <alignment vertical="center"/>
    </xf>
    <xf numFmtId="3" fontId="0" fillId="9" borderId="25" xfId="0" applyNumberFormat="1" applyFont="1" applyFill="1" applyBorder="1" applyAlignment="1">
      <alignment vertical="center"/>
    </xf>
    <xf numFmtId="3" fontId="0" fillId="10" borderId="25" xfId="0" applyNumberFormat="1" applyFont="1" applyFill="1" applyBorder="1" applyAlignment="1">
      <alignment vertical="center"/>
    </xf>
    <xf numFmtId="3" fontId="15" fillId="3" borderId="44" xfId="0" applyNumberFormat="1" applyFont="1" applyFill="1" applyBorder="1" applyAlignment="1">
      <alignment vertical="center"/>
    </xf>
    <xf numFmtId="0" fontId="16" fillId="0" borderId="47" xfId="0" applyFont="1" applyFill="1" applyBorder="1" applyAlignment="1">
      <alignment vertical="center" wrapText="1"/>
    </xf>
    <xf numFmtId="3" fontId="16" fillId="5" borderId="34" xfId="0" applyNumberFormat="1" applyFont="1" applyFill="1" applyBorder="1" applyAlignment="1">
      <alignment vertical="center"/>
    </xf>
    <xf numFmtId="3" fontId="16" fillId="11" borderId="47" xfId="0" applyNumberFormat="1" applyFont="1" applyFill="1" applyBorder="1" applyAlignment="1">
      <alignment vertical="center"/>
    </xf>
    <xf numFmtId="3" fontId="16" fillId="12" borderId="47" xfId="0" applyNumberFormat="1" applyFont="1" applyFill="1" applyBorder="1" applyAlignment="1">
      <alignment vertical="center"/>
    </xf>
    <xf numFmtId="3" fontId="16" fillId="3" borderId="47" xfId="0" applyNumberFormat="1" applyFont="1" applyFill="1" applyBorder="1" applyAlignment="1">
      <alignment vertical="center"/>
    </xf>
    <xf numFmtId="0" fontId="0" fillId="0" borderId="40" xfId="0" applyBorder="1" applyAlignment="1">
      <alignment vertical="center" wrapText="1"/>
    </xf>
    <xf numFmtId="3" fontId="14" fillId="3" borderId="27" xfId="0" applyNumberFormat="1" applyFont="1" applyFill="1" applyBorder="1" applyAlignment="1">
      <alignment vertical="center"/>
    </xf>
    <xf numFmtId="3" fontId="14" fillId="3" borderId="42" xfId="0" applyNumberFormat="1" applyFont="1" applyFill="1" applyBorder="1" applyAlignment="1">
      <alignment vertical="center"/>
    </xf>
    <xf numFmtId="3" fontId="0" fillId="14" borderId="43" xfId="0" applyNumberFormat="1" applyFill="1" applyBorder="1" applyAlignment="1">
      <alignment horizontal="left" vertical="center" wrapText="1"/>
    </xf>
    <xf numFmtId="0" fontId="18" fillId="0" borderId="43" xfId="0" applyFont="1" applyBorder="1" applyAlignment="1">
      <alignment vertical="center" wrapText="1"/>
    </xf>
    <xf numFmtId="3" fontId="18" fillId="13" borderId="18" xfId="0" applyNumberFormat="1" applyFont="1" applyFill="1" applyBorder="1" applyAlignment="1">
      <alignment vertical="center"/>
    </xf>
    <xf numFmtId="3" fontId="18" fillId="7" borderId="19" xfId="0" applyNumberFormat="1" applyFont="1" applyFill="1" applyBorder="1" applyAlignment="1">
      <alignment vertical="center"/>
    </xf>
    <xf numFmtId="3" fontId="18" fillId="7" borderId="20" xfId="0" applyNumberFormat="1" applyFont="1" applyFill="1" applyBorder="1" applyAlignment="1">
      <alignment vertical="center"/>
    </xf>
    <xf numFmtId="3" fontId="18" fillId="8" borderId="18" xfId="0" applyNumberFormat="1" applyFont="1" applyFill="1" applyBorder="1" applyAlignment="1">
      <alignment vertical="center"/>
    </xf>
    <xf numFmtId="3" fontId="18" fillId="8" borderId="19" xfId="0" applyNumberFormat="1" applyFont="1" applyFill="1" applyBorder="1" applyAlignment="1">
      <alignment vertical="center"/>
    </xf>
    <xf numFmtId="3" fontId="18" fillId="9" borderId="18" xfId="0" applyNumberFormat="1" applyFont="1" applyFill="1" applyBorder="1" applyAlignment="1">
      <alignment vertical="center"/>
    </xf>
    <xf numFmtId="3" fontId="18" fillId="9" borderId="19" xfId="0" applyNumberFormat="1" applyFont="1" applyFill="1" applyBorder="1" applyAlignment="1">
      <alignment vertical="center"/>
    </xf>
    <xf numFmtId="3" fontId="18" fillId="5" borderId="54" xfId="0" applyNumberFormat="1" applyFont="1" applyFill="1" applyBorder="1" applyAlignment="1">
      <alignment vertical="center"/>
    </xf>
    <xf numFmtId="3" fontId="18" fillId="10" borderId="18" xfId="0" applyNumberFormat="1" applyFont="1" applyFill="1" applyBorder="1" applyAlignment="1">
      <alignment vertical="center"/>
    </xf>
    <xf numFmtId="3" fontId="18" fillId="10" borderId="19" xfId="0" applyNumberFormat="1" applyFont="1" applyFill="1" applyBorder="1" applyAlignment="1">
      <alignment vertical="center"/>
    </xf>
    <xf numFmtId="3" fontId="18" fillId="11" borderId="20" xfId="0" applyNumberFormat="1" applyFont="1" applyFill="1" applyBorder="1" applyAlignment="1">
      <alignment vertical="center"/>
    </xf>
    <xf numFmtId="3" fontId="18" fillId="12" borderId="20" xfId="0" applyNumberFormat="1" applyFont="1" applyFill="1" applyBorder="1" applyAlignment="1">
      <alignment vertical="center"/>
    </xf>
    <xf numFmtId="3" fontId="18" fillId="3" borderId="20" xfId="0" applyNumberFormat="1" applyFont="1" applyFill="1" applyBorder="1" applyAlignment="1">
      <alignment vertical="center"/>
    </xf>
    <xf numFmtId="3" fontId="19" fillId="3" borderId="20" xfId="0" applyNumberFormat="1" applyFont="1" applyFill="1" applyBorder="1" applyAlignment="1">
      <alignment vertical="center"/>
    </xf>
    <xf numFmtId="0" fontId="18" fillId="0" borderId="44" xfId="0" applyFont="1" applyBorder="1" applyAlignment="1">
      <alignment vertical="center" wrapText="1"/>
    </xf>
    <xf numFmtId="3" fontId="18" fillId="13" borderId="21" xfId="0" applyNumberFormat="1" applyFont="1" applyFill="1" applyBorder="1" applyAlignment="1">
      <alignment vertical="center"/>
    </xf>
    <xf numFmtId="3" fontId="18" fillId="7" borderId="22" xfId="0" applyNumberFormat="1" applyFont="1" applyFill="1" applyBorder="1" applyAlignment="1">
      <alignment vertical="center"/>
    </xf>
    <xf numFmtId="3" fontId="18" fillId="7" borderId="23" xfId="0" applyNumberFormat="1" applyFont="1" applyFill="1" applyBorder="1" applyAlignment="1">
      <alignment vertical="center"/>
    </xf>
    <xf numFmtId="3" fontId="18" fillId="8" borderId="21" xfId="0" applyNumberFormat="1" applyFont="1" applyFill="1" applyBorder="1" applyAlignment="1">
      <alignment vertical="center"/>
    </xf>
    <xf numFmtId="3" fontId="18" fillId="8" borderId="22" xfId="0" applyNumberFormat="1" applyFont="1" applyFill="1" applyBorder="1" applyAlignment="1">
      <alignment vertical="center"/>
    </xf>
    <xf numFmtId="3" fontId="18" fillId="9" borderId="21" xfId="0" applyNumberFormat="1" applyFont="1" applyFill="1" applyBorder="1" applyAlignment="1">
      <alignment vertical="center"/>
    </xf>
    <xf numFmtId="3" fontId="18" fillId="5" borderId="45" xfId="0" applyNumberFormat="1" applyFont="1" applyFill="1" applyBorder="1" applyAlignment="1">
      <alignment vertical="center"/>
    </xf>
    <xf numFmtId="3" fontId="18" fillId="10" borderId="21" xfId="0" applyNumberFormat="1" applyFont="1" applyFill="1" applyBorder="1" applyAlignment="1">
      <alignment vertical="center"/>
    </xf>
    <xf numFmtId="3" fontId="18" fillId="10" borderId="22" xfId="0" applyNumberFormat="1" applyFont="1" applyFill="1" applyBorder="1" applyAlignment="1">
      <alignment vertical="center"/>
    </xf>
    <xf numFmtId="3" fontId="18" fillId="11" borderId="44" xfId="0" applyNumberFormat="1" applyFont="1" applyFill="1" applyBorder="1" applyAlignment="1">
      <alignment vertical="center"/>
    </xf>
    <xf numFmtId="3" fontId="18" fillId="12" borderId="44" xfId="0" applyNumberFormat="1" applyFont="1" applyFill="1" applyBorder="1" applyAlignment="1">
      <alignment vertical="center"/>
    </xf>
    <xf numFmtId="3" fontId="18" fillId="3" borderId="45" xfId="0" applyNumberFormat="1" applyFont="1" applyFill="1" applyBorder="1" applyAlignment="1">
      <alignment vertical="center"/>
    </xf>
    <xf numFmtId="3" fontId="19" fillId="3" borderId="44" xfId="0" applyNumberFormat="1" applyFont="1" applyFill="1" applyBorder="1" applyAlignment="1">
      <alignment vertical="center"/>
    </xf>
    <xf numFmtId="0" fontId="2" fillId="0" borderId="47" xfId="0" applyFont="1" applyBorder="1" applyAlignment="1">
      <alignment vertical="center" wrapText="1"/>
    </xf>
    <xf numFmtId="3" fontId="2" fillId="13" borderId="48" xfId="0" applyNumberFormat="1" applyFont="1" applyFill="1" applyBorder="1" applyAlignment="1">
      <alignment vertical="center"/>
    </xf>
    <xf numFmtId="3" fontId="2" fillId="7" borderId="49" xfId="0" applyNumberFormat="1" applyFont="1" applyFill="1" applyBorder="1" applyAlignment="1">
      <alignment vertical="center"/>
    </xf>
    <xf numFmtId="3" fontId="2" fillId="7" borderId="50" xfId="0" applyNumberFormat="1" applyFont="1" applyFill="1" applyBorder="1" applyAlignment="1">
      <alignment vertical="center"/>
    </xf>
    <xf numFmtId="3" fontId="2" fillId="8" borderId="49" xfId="0" applyNumberFormat="1" applyFont="1" applyFill="1" applyBorder="1" applyAlignment="1">
      <alignment vertical="center"/>
    </xf>
    <xf numFmtId="3" fontId="2" fillId="9" borderId="49" xfId="0" applyNumberFormat="1" applyFont="1" applyFill="1" applyBorder="1" applyAlignment="1">
      <alignment vertical="center"/>
    </xf>
    <xf numFmtId="3" fontId="2" fillId="5" borderId="34" xfId="0" applyNumberFormat="1" applyFont="1" applyFill="1" applyBorder="1" applyAlignment="1">
      <alignment vertical="center"/>
    </xf>
    <xf numFmtId="3" fontId="2" fillId="10" borderId="48" xfId="0" applyNumberFormat="1" applyFont="1" applyFill="1" applyBorder="1" applyAlignment="1">
      <alignment vertical="center"/>
    </xf>
    <xf numFmtId="3" fontId="2" fillId="10" borderId="49" xfId="0" applyNumberFormat="1" applyFont="1" applyFill="1" applyBorder="1" applyAlignment="1">
      <alignment vertical="center"/>
    </xf>
    <xf numFmtId="3" fontId="2" fillId="11" borderId="47" xfId="0" applyNumberFormat="1" applyFont="1" applyFill="1" applyBorder="1" applyAlignment="1">
      <alignment vertical="center"/>
    </xf>
    <xf numFmtId="3" fontId="2" fillId="12" borderId="47" xfId="0" applyNumberFormat="1" applyFont="1" applyFill="1" applyBorder="1" applyAlignment="1">
      <alignment vertical="center"/>
    </xf>
    <xf numFmtId="3" fontId="2" fillId="3" borderId="34" xfId="0" applyNumberFormat="1" applyFont="1" applyFill="1" applyBorder="1" applyAlignment="1">
      <alignment vertical="center"/>
    </xf>
    <xf numFmtId="3" fontId="2" fillId="3" borderId="47" xfId="0" applyNumberFormat="1" applyFont="1" applyFill="1" applyBorder="1" applyAlignment="1">
      <alignment vertical="center"/>
    </xf>
    <xf numFmtId="0" fontId="0" fillId="0" borderId="41" xfId="0" applyBorder="1" applyAlignment="1">
      <alignment vertical="center" wrapText="1"/>
    </xf>
    <xf numFmtId="3" fontId="0" fillId="8" borderId="17" xfId="0" applyNumberFormat="1" applyFont="1" applyFill="1" applyBorder="1" applyAlignment="1">
      <alignment vertical="center"/>
    </xf>
    <xf numFmtId="3" fontId="0" fillId="9" borderId="17" xfId="0" applyNumberFormat="1" applyFont="1" applyFill="1" applyBorder="1" applyAlignment="1">
      <alignment vertical="center"/>
    </xf>
    <xf numFmtId="3" fontId="15" fillId="5" borderId="55" xfId="0" applyNumberFormat="1" applyFont="1" applyFill="1" applyBorder="1" applyAlignment="1">
      <alignment vertical="center"/>
    </xf>
    <xf numFmtId="3" fontId="0" fillId="10" borderId="17" xfId="0" applyNumberFormat="1" applyFont="1" applyFill="1" applyBorder="1" applyAlignment="1">
      <alignment vertical="center"/>
    </xf>
    <xf numFmtId="3" fontId="15" fillId="11" borderId="41" xfId="0" applyNumberFormat="1" applyFont="1" applyFill="1" applyBorder="1" applyAlignment="1">
      <alignment vertical="center"/>
    </xf>
    <xf numFmtId="3" fontId="14" fillId="3" borderId="55" xfId="0" applyNumberFormat="1" applyFont="1" applyFill="1" applyBorder="1" applyAlignment="1">
      <alignment vertical="center"/>
    </xf>
    <xf numFmtId="3" fontId="18" fillId="5" borderId="42" xfId="0" applyNumberFormat="1" applyFont="1" applyFill="1" applyBorder="1" applyAlignment="1">
      <alignment vertical="center"/>
    </xf>
    <xf numFmtId="3" fontId="18" fillId="11" borderId="43" xfId="0" applyNumberFormat="1" applyFont="1" applyFill="1" applyBorder="1" applyAlignment="1">
      <alignment vertical="center"/>
    </xf>
    <xf numFmtId="3" fontId="18" fillId="12" borderId="43" xfId="0" applyNumberFormat="1" applyFont="1" applyFill="1" applyBorder="1" applyAlignment="1">
      <alignment vertical="center"/>
    </xf>
    <xf numFmtId="3" fontId="18" fillId="3" borderId="42" xfId="0" applyNumberFormat="1" applyFont="1" applyFill="1" applyBorder="1" applyAlignment="1">
      <alignment vertical="center"/>
    </xf>
    <xf numFmtId="3" fontId="20" fillId="7" borderId="23" xfId="0" applyNumberFormat="1" applyFont="1" applyFill="1" applyBorder="1" applyAlignment="1">
      <alignment vertical="center"/>
    </xf>
    <xf numFmtId="3" fontId="20" fillId="8" borderId="21" xfId="0" applyNumberFormat="1" applyFont="1" applyFill="1" applyBorder="1" applyAlignment="1">
      <alignment vertical="center"/>
    </xf>
    <xf numFmtId="3" fontId="20" fillId="8" borderId="22" xfId="0" applyNumberFormat="1" applyFont="1" applyFill="1" applyBorder="1" applyAlignment="1">
      <alignment vertical="center"/>
    </xf>
    <xf numFmtId="3" fontId="18" fillId="8" borderId="23" xfId="0" applyNumberFormat="1" applyFont="1" applyFill="1" applyBorder="1" applyAlignment="1">
      <alignment vertical="center"/>
    </xf>
    <xf numFmtId="3" fontId="20" fillId="9" borderId="21" xfId="0" applyNumberFormat="1" applyFont="1" applyFill="1" applyBorder="1" applyAlignment="1">
      <alignment vertical="center"/>
    </xf>
    <xf numFmtId="3" fontId="18" fillId="9" borderId="23" xfId="0" applyNumberFormat="1" applyFont="1" applyFill="1" applyBorder="1" applyAlignment="1">
      <alignment vertical="center"/>
    </xf>
    <xf numFmtId="3" fontId="20" fillId="5" borderId="45" xfId="0" applyNumberFormat="1" applyFont="1" applyFill="1" applyBorder="1" applyAlignment="1">
      <alignment vertical="center"/>
    </xf>
    <xf numFmtId="3" fontId="20" fillId="10" borderId="21" xfId="0" applyNumberFormat="1" applyFont="1" applyFill="1" applyBorder="1" applyAlignment="1">
      <alignment vertical="center"/>
    </xf>
    <xf numFmtId="3" fontId="20" fillId="10" borderId="22" xfId="0" applyNumberFormat="1" applyFont="1" applyFill="1" applyBorder="1" applyAlignment="1">
      <alignment vertical="center"/>
    </xf>
    <xf numFmtId="3" fontId="18" fillId="10" borderId="23" xfId="0" applyNumberFormat="1" applyFont="1" applyFill="1" applyBorder="1" applyAlignment="1">
      <alignment vertical="center"/>
    </xf>
    <xf numFmtId="3" fontId="20" fillId="11" borderId="44" xfId="0" applyNumberFormat="1" applyFont="1" applyFill="1" applyBorder="1" applyAlignment="1">
      <alignment vertical="center"/>
    </xf>
    <xf numFmtId="3" fontId="20" fillId="12" borderId="44" xfId="0" applyNumberFormat="1" applyFont="1" applyFill="1" applyBorder="1" applyAlignment="1">
      <alignment vertical="center"/>
    </xf>
    <xf numFmtId="3" fontId="21" fillId="3" borderId="45" xfId="0" applyNumberFormat="1" applyFont="1" applyFill="1" applyBorder="1" applyAlignment="1">
      <alignment vertical="center"/>
    </xf>
    <xf numFmtId="0" fontId="18" fillId="0" borderId="0" xfId="0" applyFont="1"/>
    <xf numFmtId="3" fontId="2" fillId="9" borderId="48" xfId="0" applyNumberFormat="1" applyFont="1" applyFill="1" applyBorder="1" applyAlignment="1">
      <alignment vertical="center"/>
    </xf>
    <xf numFmtId="3" fontId="15" fillId="5" borderId="28" xfId="0" applyNumberFormat="1" applyFont="1" applyFill="1" applyBorder="1" applyAlignment="1">
      <alignment vertical="center"/>
    </xf>
    <xf numFmtId="3" fontId="15" fillId="5" borderId="56" xfId="0" applyNumberFormat="1" applyFont="1" applyFill="1" applyBorder="1" applyAlignment="1">
      <alignment vertical="center"/>
    </xf>
    <xf numFmtId="3" fontId="18" fillId="8" borderId="20" xfId="0" applyNumberFormat="1" applyFont="1" applyFill="1" applyBorder="1" applyAlignment="1">
      <alignment vertical="center"/>
    </xf>
    <xf numFmtId="3" fontId="18" fillId="9" borderId="20" xfId="0" applyNumberFormat="1" applyFont="1" applyFill="1" applyBorder="1" applyAlignment="1">
      <alignment vertical="center"/>
    </xf>
    <xf numFmtId="3" fontId="18" fillId="5" borderId="56" xfId="0" applyNumberFormat="1" applyFont="1" applyFill="1" applyBorder="1" applyAlignment="1">
      <alignment vertical="center"/>
    </xf>
    <xf numFmtId="3" fontId="18" fillId="10" borderId="20" xfId="0" applyNumberFormat="1" applyFont="1" applyFill="1" applyBorder="1" applyAlignment="1">
      <alignment vertical="center"/>
    </xf>
    <xf numFmtId="3" fontId="19" fillId="3" borderId="43" xfId="0" applyNumberFormat="1" applyFont="1" applyFill="1" applyBorder="1" applyAlignment="1">
      <alignment vertical="center"/>
    </xf>
    <xf numFmtId="3" fontId="20" fillId="5" borderId="56" xfId="0" applyNumberFormat="1" applyFont="1" applyFill="1" applyBorder="1" applyAlignment="1">
      <alignment vertical="center"/>
    </xf>
    <xf numFmtId="3" fontId="20" fillId="11" borderId="43" xfId="0" applyNumberFormat="1" applyFont="1" applyFill="1" applyBorder="1" applyAlignment="1">
      <alignment vertical="center"/>
    </xf>
    <xf numFmtId="3" fontId="20" fillId="12" borderId="43" xfId="0" applyNumberFormat="1" applyFont="1" applyFill="1" applyBorder="1" applyAlignment="1">
      <alignment vertical="center"/>
    </xf>
    <xf numFmtId="3" fontId="21" fillId="3" borderId="42" xfId="0" applyNumberFormat="1" applyFont="1" applyFill="1" applyBorder="1" applyAlignment="1">
      <alignment vertical="center"/>
    </xf>
    <xf numFmtId="0" fontId="18" fillId="0" borderId="43" xfId="0" applyFont="1" applyBorder="1" applyAlignment="1">
      <alignment vertical="center"/>
    </xf>
    <xf numFmtId="3" fontId="18" fillId="3" borderId="56" xfId="0" applyNumberFormat="1" applyFont="1" applyFill="1" applyBorder="1" applyAlignment="1">
      <alignment vertical="center"/>
    </xf>
    <xf numFmtId="3" fontId="18" fillId="3" borderId="43" xfId="0" applyNumberFormat="1" applyFont="1" applyFill="1" applyBorder="1" applyAlignment="1">
      <alignment vertical="center"/>
    </xf>
    <xf numFmtId="3" fontId="20" fillId="5" borderId="57" xfId="0" applyNumberFormat="1" applyFont="1" applyFill="1" applyBorder="1" applyAlignment="1">
      <alignment vertical="center"/>
    </xf>
    <xf numFmtId="0" fontId="22" fillId="0" borderId="47" xfId="0" applyFont="1" applyBorder="1" applyAlignment="1">
      <alignment vertical="center" wrapText="1"/>
    </xf>
    <xf numFmtId="3" fontId="22" fillId="13" borderId="48" xfId="0" applyNumberFormat="1" applyFont="1" applyFill="1" applyBorder="1" applyAlignment="1">
      <alignment vertical="center"/>
    </xf>
    <xf numFmtId="3" fontId="22" fillId="7" borderId="49" xfId="0" applyNumberFormat="1" applyFont="1" applyFill="1" applyBorder="1" applyAlignment="1">
      <alignment vertical="center"/>
    </xf>
    <xf numFmtId="3" fontId="22" fillId="7" borderId="50" xfId="0" applyNumberFormat="1" applyFont="1" applyFill="1" applyBorder="1" applyAlignment="1">
      <alignment vertical="center"/>
    </xf>
    <xf numFmtId="3" fontId="22" fillId="8" borderId="48" xfId="0" applyNumberFormat="1" applyFont="1" applyFill="1" applyBorder="1" applyAlignment="1">
      <alignment vertical="center"/>
    </xf>
    <xf numFmtId="3" fontId="22" fillId="8" borderId="49" xfId="0" applyNumberFormat="1" applyFont="1" applyFill="1" applyBorder="1" applyAlignment="1">
      <alignment vertical="center"/>
    </xf>
    <xf numFmtId="3" fontId="22" fillId="8" borderId="50" xfId="0" applyNumberFormat="1" applyFont="1" applyFill="1" applyBorder="1" applyAlignment="1">
      <alignment vertical="center"/>
    </xf>
    <xf numFmtId="3" fontId="22" fillId="9" borderId="48" xfId="0" applyNumberFormat="1" applyFont="1" applyFill="1" applyBorder="1" applyAlignment="1">
      <alignment vertical="center"/>
    </xf>
    <xf numFmtId="3" fontId="22" fillId="9" borderId="50" xfId="0" applyNumberFormat="1" applyFont="1" applyFill="1" applyBorder="1" applyAlignment="1">
      <alignment vertical="center"/>
    </xf>
    <xf numFmtId="3" fontId="22" fillId="5" borderId="26" xfId="0" applyNumberFormat="1" applyFont="1" applyFill="1" applyBorder="1" applyAlignment="1">
      <alignment vertical="center"/>
    </xf>
    <xf numFmtId="3" fontId="22" fillId="10" borderId="48" xfId="0" applyNumberFormat="1" applyFont="1" applyFill="1" applyBorder="1" applyAlignment="1">
      <alignment vertical="center"/>
    </xf>
    <xf numFmtId="3" fontId="22" fillId="10" borderId="49" xfId="0" applyNumberFormat="1" applyFont="1" applyFill="1" applyBorder="1" applyAlignment="1">
      <alignment vertical="center"/>
    </xf>
    <xf numFmtId="3" fontId="22" fillId="10" borderId="50" xfId="0" applyNumberFormat="1" applyFont="1" applyFill="1" applyBorder="1" applyAlignment="1">
      <alignment vertical="center"/>
    </xf>
    <xf numFmtId="3" fontId="22" fillId="11" borderId="47" xfId="0" applyNumberFormat="1" applyFont="1" applyFill="1" applyBorder="1" applyAlignment="1">
      <alignment vertical="center"/>
    </xf>
    <xf numFmtId="3" fontId="22" fillId="12" borderId="47" xfId="0" applyNumberFormat="1" applyFont="1" applyFill="1" applyBorder="1" applyAlignment="1">
      <alignment vertical="center"/>
    </xf>
    <xf numFmtId="3" fontId="22" fillId="3" borderId="26" xfId="0" applyNumberFormat="1" applyFont="1" applyFill="1" applyBorder="1" applyAlignment="1">
      <alignment vertical="center"/>
    </xf>
    <xf numFmtId="3" fontId="22" fillId="3" borderId="50" xfId="0" applyNumberFormat="1" applyFont="1" applyFill="1" applyBorder="1" applyAlignment="1">
      <alignment vertical="center"/>
    </xf>
    <xf numFmtId="3" fontId="2" fillId="8" borderId="48" xfId="0" applyNumberFormat="1" applyFont="1" applyFill="1" applyBorder="1" applyAlignment="1">
      <alignment vertical="center"/>
    </xf>
    <xf numFmtId="0" fontId="18" fillId="0" borderId="41" xfId="0" applyFont="1" applyBorder="1" applyAlignment="1">
      <alignment vertical="center" wrapText="1"/>
    </xf>
    <xf numFmtId="3" fontId="18" fillId="13" borderId="15" xfId="0" applyNumberFormat="1" applyFont="1" applyFill="1" applyBorder="1" applyAlignment="1">
      <alignment vertical="center"/>
    </xf>
    <xf numFmtId="3" fontId="18" fillId="7" borderId="16" xfId="0" applyNumberFormat="1" applyFont="1" applyFill="1" applyBorder="1" applyAlignment="1">
      <alignment vertical="center"/>
    </xf>
    <xf numFmtId="3" fontId="0" fillId="7" borderId="16" xfId="0" applyNumberFormat="1" applyFont="1" applyFill="1" applyBorder="1" applyAlignment="1">
      <alignment vertical="center"/>
    </xf>
    <xf numFmtId="3" fontId="0" fillId="7" borderId="17" xfId="0" applyNumberFormat="1" applyFont="1" applyFill="1" applyBorder="1" applyAlignment="1">
      <alignment vertical="center"/>
    </xf>
    <xf numFmtId="3" fontId="0" fillId="8" borderId="15" xfId="0" applyNumberFormat="1" applyFont="1" applyFill="1" applyBorder="1" applyAlignment="1">
      <alignment vertical="center"/>
    </xf>
    <xf numFmtId="3" fontId="0" fillId="8" borderId="16" xfId="0" applyNumberFormat="1" applyFont="1" applyFill="1" applyBorder="1" applyAlignment="1">
      <alignment vertical="center"/>
    </xf>
    <xf numFmtId="3" fontId="0" fillId="9" borderId="15" xfId="0" applyNumberFormat="1" applyFont="1" applyFill="1" applyBorder="1" applyAlignment="1">
      <alignment vertical="center"/>
    </xf>
    <xf numFmtId="3" fontId="20" fillId="5" borderId="55" xfId="0" applyNumberFormat="1" applyFont="1" applyFill="1" applyBorder="1" applyAlignment="1">
      <alignment vertical="center"/>
    </xf>
    <xf numFmtId="3" fontId="0" fillId="10" borderId="15" xfId="0" applyNumberFormat="1" applyFont="1" applyFill="1" applyBorder="1" applyAlignment="1">
      <alignment vertical="center"/>
    </xf>
    <xf numFmtId="3" fontId="0" fillId="10" borderId="16" xfId="0" applyNumberFormat="1" applyFont="1" applyFill="1" applyBorder="1" applyAlignment="1">
      <alignment vertical="center"/>
    </xf>
    <xf numFmtId="3" fontId="20" fillId="11" borderId="41" xfId="0" applyNumberFormat="1" applyFont="1" applyFill="1" applyBorder="1" applyAlignment="1">
      <alignment vertical="center"/>
    </xf>
    <xf numFmtId="3" fontId="20" fillId="12" borderId="41" xfId="0" applyNumberFormat="1" applyFont="1" applyFill="1" applyBorder="1" applyAlignment="1">
      <alignment vertical="center"/>
    </xf>
    <xf numFmtId="3" fontId="21" fillId="3" borderId="55" xfId="0" applyNumberFormat="1" applyFont="1" applyFill="1" applyBorder="1" applyAlignment="1">
      <alignment vertical="center"/>
    </xf>
    <xf numFmtId="3" fontId="0" fillId="7" borderId="19" xfId="0" applyNumberFormat="1" applyFont="1" applyFill="1" applyBorder="1" applyAlignment="1">
      <alignment vertical="center"/>
    </xf>
    <xf numFmtId="3" fontId="0" fillId="7" borderId="20" xfId="0" applyNumberFormat="1" applyFont="1" applyFill="1" applyBorder="1" applyAlignment="1">
      <alignment vertical="center"/>
    </xf>
    <xf numFmtId="3" fontId="0" fillId="8" borderId="18" xfId="0" applyNumberFormat="1" applyFont="1" applyFill="1" applyBorder="1" applyAlignment="1">
      <alignment vertical="center"/>
    </xf>
    <xf numFmtId="3" fontId="0" fillId="8" borderId="19" xfId="0" applyNumberFormat="1" applyFont="1" applyFill="1" applyBorder="1" applyAlignment="1">
      <alignment vertical="center"/>
    </xf>
    <xf numFmtId="3" fontId="0" fillId="9" borderId="18" xfId="0" applyNumberFormat="1" applyFont="1" applyFill="1" applyBorder="1" applyAlignment="1">
      <alignment vertical="center"/>
    </xf>
    <xf numFmtId="3" fontId="20" fillId="5" borderId="42" xfId="0" applyNumberFormat="1" applyFont="1" applyFill="1" applyBorder="1" applyAlignment="1">
      <alignment vertical="center"/>
    </xf>
    <xf numFmtId="3" fontId="0" fillId="10" borderId="18" xfId="0" applyNumberFormat="1" applyFont="1" applyFill="1" applyBorder="1" applyAlignment="1">
      <alignment vertical="center"/>
    </xf>
    <xf numFmtId="3" fontId="0" fillId="10" borderId="19" xfId="0" applyNumberFormat="1" applyFont="1" applyFill="1" applyBorder="1" applyAlignment="1">
      <alignment vertical="center"/>
    </xf>
    <xf numFmtId="0" fontId="17" fillId="0" borderId="47" xfId="0" applyFont="1" applyBorder="1" applyAlignment="1">
      <alignment vertical="center" wrapText="1"/>
    </xf>
    <xf numFmtId="3" fontId="17" fillId="13" borderId="48" xfId="0" applyNumberFormat="1" applyFont="1" applyFill="1" applyBorder="1" applyAlignment="1">
      <alignment vertical="center"/>
    </xf>
    <xf numFmtId="3" fontId="17" fillId="7" borderId="49" xfId="0" applyNumberFormat="1" applyFont="1" applyFill="1" applyBorder="1" applyAlignment="1">
      <alignment vertical="center"/>
    </xf>
    <xf numFmtId="3" fontId="17" fillId="7" borderId="50" xfId="0" applyNumberFormat="1" applyFont="1" applyFill="1" applyBorder="1" applyAlignment="1">
      <alignment vertical="center"/>
    </xf>
    <xf numFmtId="3" fontId="17" fillId="8" borderId="48" xfId="0" applyNumberFormat="1" applyFont="1" applyFill="1" applyBorder="1" applyAlignment="1">
      <alignment vertical="center"/>
    </xf>
    <xf numFmtId="3" fontId="17" fillId="8" borderId="49" xfId="0" applyNumberFormat="1" applyFont="1" applyFill="1" applyBorder="1" applyAlignment="1">
      <alignment vertical="center"/>
    </xf>
    <xf numFmtId="3" fontId="17" fillId="8" borderId="50" xfId="0" applyNumberFormat="1" applyFont="1" applyFill="1" applyBorder="1" applyAlignment="1">
      <alignment vertical="center"/>
    </xf>
    <xf numFmtId="3" fontId="17" fillId="9" borderId="48" xfId="0" applyNumberFormat="1" applyFont="1" applyFill="1" applyBorder="1" applyAlignment="1">
      <alignment vertical="center"/>
    </xf>
    <xf numFmtId="3" fontId="17" fillId="9" borderId="50" xfId="0" applyNumberFormat="1" applyFont="1" applyFill="1" applyBorder="1" applyAlignment="1">
      <alignment vertical="center"/>
    </xf>
    <xf numFmtId="3" fontId="17" fillId="5" borderId="34" xfId="0" applyNumberFormat="1" applyFont="1" applyFill="1" applyBorder="1" applyAlignment="1">
      <alignment vertical="center"/>
    </xf>
    <xf numFmtId="3" fontId="17" fillId="10" borderId="48" xfId="0" applyNumberFormat="1" applyFont="1" applyFill="1" applyBorder="1" applyAlignment="1">
      <alignment vertical="center"/>
    </xf>
    <xf numFmtId="3" fontId="17" fillId="10" borderId="49" xfId="0" applyNumberFormat="1" applyFont="1" applyFill="1" applyBorder="1" applyAlignment="1">
      <alignment vertical="center"/>
    </xf>
    <xf numFmtId="3" fontId="17" fillId="10" borderId="50" xfId="0" applyNumberFormat="1" applyFont="1" applyFill="1" applyBorder="1" applyAlignment="1">
      <alignment vertical="center"/>
    </xf>
    <xf numFmtId="3" fontId="17" fillId="11" borderId="47" xfId="0" applyNumberFormat="1" applyFont="1" applyFill="1" applyBorder="1" applyAlignment="1">
      <alignment vertical="center"/>
    </xf>
    <xf numFmtId="3" fontId="17" fillId="12" borderId="47" xfId="0" applyNumberFormat="1" applyFont="1" applyFill="1" applyBorder="1" applyAlignment="1">
      <alignment vertical="center"/>
    </xf>
    <xf numFmtId="3" fontId="17" fillId="3" borderId="47" xfId="0" applyNumberFormat="1" applyFont="1" applyFill="1" applyBorder="1" applyAlignment="1">
      <alignment vertical="center"/>
    </xf>
    <xf numFmtId="0" fontId="18" fillId="0" borderId="36" xfId="0" applyFont="1" applyBorder="1" applyAlignment="1">
      <alignment vertical="center" wrapText="1"/>
    </xf>
    <xf numFmtId="3" fontId="18" fillId="13" borderId="51" xfId="0" applyNumberFormat="1" applyFont="1" applyFill="1" applyBorder="1" applyAlignment="1">
      <alignment vertical="center"/>
    </xf>
    <xf numFmtId="3" fontId="18" fillId="7" borderId="52" xfId="0" applyNumberFormat="1" applyFont="1" applyFill="1" applyBorder="1" applyAlignment="1">
      <alignment vertical="center"/>
    </xf>
    <xf numFmtId="3" fontId="21" fillId="7" borderId="58" xfId="0" applyNumberFormat="1" applyFont="1" applyFill="1" applyBorder="1" applyAlignment="1">
      <alignment vertical="center"/>
    </xf>
    <xf numFmtId="3" fontId="21" fillId="8" borderId="51" xfId="0" applyNumberFormat="1" applyFont="1" applyFill="1" applyBorder="1" applyAlignment="1">
      <alignment vertical="center"/>
    </xf>
    <xf numFmtId="3" fontId="21" fillId="8" borderId="52" xfId="0" applyNumberFormat="1" applyFont="1" applyFill="1" applyBorder="1" applyAlignment="1">
      <alignment vertical="center"/>
    </xf>
    <xf numFmtId="3" fontId="18" fillId="8" borderId="58" xfId="0" applyNumberFormat="1" applyFont="1" applyFill="1" applyBorder="1" applyAlignment="1">
      <alignment vertical="center"/>
    </xf>
    <xf numFmtId="3" fontId="21" fillId="9" borderId="51" xfId="0" applyNumberFormat="1" applyFont="1" applyFill="1" applyBorder="1" applyAlignment="1">
      <alignment vertical="center"/>
    </xf>
    <xf numFmtId="3" fontId="18" fillId="9" borderId="58" xfId="0" applyNumberFormat="1" applyFont="1" applyFill="1" applyBorder="1" applyAlignment="1">
      <alignment vertical="center"/>
    </xf>
    <xf numFmtId="3" fontId="21" fillId="5" borderId="31" xfId="0" applyNumberFormat="1" applyFont="1" applyFill="1" applyBorder="1" applyAlignment="1">
      <alignment vertical="center"/>
    </xf>
    <xf numFmtId="3" fontId="21" fillId="10" borderId="51" xfId="0" applyNumberFormat="1" applyFont="1" applyFill="1" applyBorder="1" applyAlignment="1">
      <alignment vertical="center"/>
    </xf>
    <xf numFmtId="3" fontId="21" fillId="10" borderId="52" xfId="0" applyNumberFormat="1" applyFont="1" applyFill="1" applyBorder="1" applyAlignment="1">
      <alignment vertical="center"/>
    </xf>
    <xf numFmtId="3" fontId="18" fillId="10" borderId="58" xfId="0" applyNumberFormat="1" applyFont="1" applyFill="1" applyBorder="1" applyAlignment="1">
      <alignment vertical="center"/>
    </xf>
    <xf numFmtId="3" fontId="20" fillId="11" borderId="36" xfId="0" applyNumberFormat="1" applyFont="1" applyFill="1" applyBorder="1" applyAlignment="1">
      <alignment vertical="center"/>
    </xf>
    <xf numFmtId="3" fontId="21" fillId="12" borderId="36" xfId="0" applyNumberFormat="1" applyFont="1" applyFill="1" applyBorder="1" applyAlignment="1">
      <alignment vertical="center"/>
    </xf>
    <xf numFmtId="3" fontId="21" fillId="3" borderId="31" xfId="0" applyNumberFormat="1" applyFont="1" applyFill="1" applyBorder="1" applyAlignment="1">
      <alignment vertical="center"/>
    </xf>
    <xf numFmtId="3" fontId="21" fillId="3" borderId="36" xfId="0" applyNumberFormat="1" applyFont="1" applyFill="1" applyBorder="1" applyAlignment="1">
      <alignment vertical="center"/>
    </xf>
    <xf numFmtId="3" fontId="14" fillId="7" borderId="17" xfId="0" applyNumberFormat="1" applyFont="1" applyFill="1" applyBorder="1" applyAlignment="1">
      <alignment vertical="center"/>
    </xf>
    <xf numFmtId="3" fontId="14" fillId="8" borderId="15" xfId="0" applyNumberFormat="1" applyFont="1" applyFill="1" applyBorder="1" applyAlignment="1">
      <alignment vertical="center"/>
    </xf>
    <xf numFmtId="3" fontId="14" fillId="8" borderId="16" xfId="0" applyNumberFormat="1" applyFont="1" applyFill="1" applyBorder="1" applyAlignment="1">
      <alignment vertical="center"/>
    </xf>
    <xf numFmtId="3" fontId="18" fillId="8" borderId="17" xfId="0" applyNumberFormat="1" applyFont="1" applyFill="1" applyBorder="1" applyAlignment="1">
      <alignment vertical="center"/>
    </xf>
    <xf numFmtId="3" fontId="14" fillId="9" borderId="15" xfId="0" applyNumberFormat="1" applyFont="1" applyFill="1" applyBorder="1" applyAlignment="1">
      <alignment vertical="center"/>
    </xf>
    <xf numFmtId="3" fontId="18" fillId="9" borderId="17" xfId="0" applyNumberFormat="1" applyFont="1" applyFill="1" applyBorder="1" applyAlignment="1">
      <alignment vertical="center"/>
    </xf>
    <xf numFmtId="3" fontId="21" fillId="5" borderId="55" xfId="0" applyNumberFormat="1" applyFont="1" applyFill="1" applyBorder="1" applyAlignment="1">
      <alignment vertical="center"/>
    </xf>
    <xf numFmtId="3" fontId="14" fillId="10" borderId="15" xfId="0" applyNumberFormat="1" applyFont="1" applyFill="1" applyBorder="1" applyAlignment="1">
      <alignment vertical="center"/>
    </xf>
    <xf numFmtId="3" fontId="14" fillId="10" borderId="16" xfId="0" applyNumberFormat="1" applyFont="1" applyFill="1" applyBorder="1" applyAlignment="1">
      <alignment vertical="center"/>
    </xf>
    <xf numFmtId="3" fontId="18" fillId="10" borderId="17" xfId="0" applyNumberFormat="1" applyFont="1" applyFill="1" applyBorder="1" applyAlignment="1">
      <alignment vertical="center"/>
    </xf>
    <xf numFmtId="3" fontId="21" fillId="11" borderId="41" xfId="0" applyNumberFormat="1" applyFont="1" applyFill="1" applyBorder="1" applyAlignment="1">
      <alignment vertical="center"/>
    </xf>
    <xf numFmtId="3" fontId="21" fillId="12" borderId="41" xfId="0" applyNumberFormat="1" applyFont="1" applyFill="1" applyBorder="1" applyAlignment="1">
      <alignment vertical="center"/>
    </xf>
    <xf numFmtId="0" fontId="2" fillId="0" borderId="43" xfId="0" applyFont="1" applyBorder="1" applyAlignment="1">
      <alignment vertical="center" wrapText="1"/>
    </xf>
    <xf numFmtId="3" fontId="2" fillId="13" borderId="18" xfId="0" applyNumberFormat="1" applyFont="1" applyFill="1" applyBorder="1" applyAlignment="1">
      <alignment vertical="center"/>
    </xf>
    <xf numFmtId="3" fontId="2" fillId="7" borderId="19" xfId="0" applyNumberFormat="1" applyFont="1" applyFill="1" applyBorder="1" applyAlignment="1">
      <alignment vertical="center"/>
    </xf>
    <xf numFmtId="3" fontId="2" fillId="7" borderId="20" xfId="0" applyNumberFormat="1" applyFont="1" applyFill="1" applyBorder="1" applyAlignment="1">
      <alignment vertical="center"/>
    </xf>
    <xf numFmtId="3" fontId="2" fillId="8" borderId="18" xfId="0" applyNumberFormat="1" applyFont="1" applyFill="1" applyBorder="1" applyAlignment="1">
      <alignment vertical="center"/>
    </xf>
    <xf numFmtId="3" fontId="2" fillId="8" borderId="19" xfId="0" applyNumberFormat="1" applyFont="1" applyFill="1" applyBorder="1" applyAlignment="1">
      <alignment vertical="center"/>
    </xf>
    <xf numFmtId="3" fontId="2" fillId="8" borderId="20" xfId="0" applyNumberFormat="1" applyFont="1" applyFill="1" applyBorder="1" applyAlignment="1">
      <alignment vertical="center"/>
    </xf>
    <xf numFmtId="3" fontId="2" fillId="9" borderId="18" xfId="0" applyNumberFormat="1" applyFont="1" applyFill="1" applyBorder="1" applyAlignment="1">
      <alignment vertical="center"/>
    </xf>
    <xf numFmtId="3" fontId="2" fillId="9" borderId="20" xfId="0" applyNumberFormat="1" applyFont="1" applyFill="1" applyBorder="1" applyAlignment="1">
      <alignment vertical="center"/>
    </xf>
    <xf numFmtId="3" fontId="2" fillId="5" borderId="42" xfId="0" applyNumberFormat="1" applyFont="1" applyFill="1" applyBorder="1" applyAlignment="1">
      <alignment vertical="center"/>
    </xf>
    <xf numFmtId="3" fontId="2" fillId="10" borderId="18" xfId="0" applyNumberFormat="1" applyFont="1" applyFill="1" applyBorder="1" applyAlignment="1">
      <alignment vertical="center"/>
    </xf>
    <xf numFmtId="3" fontId="2" fillId="10" borderId="19" xfId="0" applyNumberFormat="1" applyFont="1" applyFill="1" applyBorder="1" applyAlignment="1">
      <alignment vertical="center"/>
    </xf>
    <xf numFmtId="3" fontId="2" fillId="10" borderId="20" xfId="0" applyNumberFormat="1" applyFont="1" applyFill="1" applyBorder="1" applyAlignment="1">
      <alignment vertical="center"/>
    </xf>
    <xf numFmtId="3" fontId="2" fillId="11" borderId="43" xfId="0" applyNumberFormat="1" applyFont="1" applyFill="1" applyBorder="1" applyAlignment="1">
      <alignment vertical="center"/>
    </xf>
    <xf numFmtId="3" fontId="2" fillId="12" borderId="43" xfId="0" applyNumberFormat="1" applyFont="1" applyFill="1" applyBorder="1" applyAlignment="1">
      <alignment vertical="center"/>
    </xf>
    <xf numFmtId="3" fontId="2" fillId="3" borderId="42" xfId="0" applyNumberFormat="1" applyFont="1" applyFill="1" applyBorder="1" applyAlignment="1">
      <alignment vertical="center"/>
    </xf>
    <xf numFmtId="3" fontId="14" fillId="7" borderId="20" xfId="0" applyNumberFormat="1" applyFont="1" applyFill="1" applyBorder="1" applyAlignment="1">
      <alignment vertical="center"/>
    </xf>
    <xf numFmtId="3" fontId="14" fillId="8" borderId="18" xfId="0" applyNumberFormat="1" applyFont="1" applyFill="1" applyBorder="1" applyAlignment="1">
      <alignment vertical="center"/>
    </xf>
    <xf numFmtId="3" fontId="14" fillId="8" borderId="19" xfId="0" applyNumberFormat="1" applyFont="1" applyFill="1" applyBorder="1" applyAlignment="1">
      <alignment vertical="center"/>
    </xf>
    <xf numFmtId="3" fontId="14" fillId="9" borderId="18" xfId="0" applyNumberFormat="1" applyFont="1" applyFill="1" applyBorder="1" applyAlignment="1">
      <alignment vertical="center"/>
    </xf>
    <xf numFmtId="3" fontId="21" fillId="5" borderId="42" xfId="0" applyNumberFormat="1" applyFont="1" applyFill="1" applyBorder="1" applyAlignment="1">
      <alignment vertical="center"/>
    </xf>
    <xf numFmtId="3" fontId="14" fillId="10" borderId="18" xfId="0" applyNumberFormat="1" applyFont="1" applyFill="1" applyBorder="1" applyAlignment="1">
      <alignment vertical="center"/>
    </xf>
    <xf numFmtId="3" fontId="14" fillId="10" borderId="19" xfId="0" applyNumberFormat="1" applyFont="1" applyFill="1" applyBorder="1" applyAlignment="1">
      <alignment vertical="center"/>
    </xf>
    <xf numFmtId="3" fontId="21" fillId="11" borderId="43" xfId="0" applyNumberFormat="1" applyFont="1" applyFill="1" applyBorder="1" applyAlignment="1">
      <alignment vertical="center"/>
    </xf>
    <xf numFmtId="3" fontId="21" fillId="12" borderId="43" xfId="0" applyNumberFormat="1" applyFont="1" applyFill="1" applyBorder="1" applyAlignment="1">
      <alignment vertical="center"/>
    </xf>
    <xf numFmtId="3" fontId="20" fillId="3" borderId="42" xfId="0" applyNumberFormat="1" applyFont="1" applyFill="1" applyBorder="1" applyAlignment="1">
      <alignment vertical="center"/>
    </xf>
    <xf numFmtId="0" fontId="17" fillId="0" borderId="46" xfId="0" applyFont="1" applyBorder="1" applyAlignment="1">
      <alignment vertical="center" wrapText="1"/>
    </xf>
    <xf numFmtId="3" fontId="17" fillId="13" borderId="24" xfId="0" applyNumberFormat="1" applyFont="1" applyFill="1" applyBorder="1" applyAlignment="1">
      <alignment vertical="center"/>
    </xf>
    <xf numFmtId="3" fontId="17" fillId="7" borderId="9" xfId="0" applyNumberFormat="1" applyFont="1" applyFill="1" applyBorder="1" applyAlignment="1">
      <alignment vertical="center"/>
    </xf>
    <xf numFmtId="3" fontId="17" fillId="7" borderId="25" xfId="0" applyNumberFormat="1" applyFont="1" applyFill="1" applyBorder="1" applyAlignment="1">
      <alignment vertical="center"/>
    </xf>
    <xf numFmtId="3" fontId="17" fillId="8" borderId="24" xfId="0" applyNumberFormat="1" applyFont="1" applyFill="1" applyBorder="1" applyAlignment="1">
      <alignment vertical="center"/>
    </xf>
    <xf numFmtId="3" fontId="17" fillId="8" borderId="9" xfId="0" applyNumberFormat="1" applyFont="1" applyFill="1" applyBorder="1" applyAlignment="1">
      <alignment vertical="center"/>
    </xf>
    <xf numFmtId="3" fontId="17" fillId="8" borderId="25" xfId="0" applyNumberFormat="1" applyFont="1" applyFill="1" applyBorder="1" applyAlignment="1">
      <alignment vertical="center"/>
    </xf>
    <xf numFmtId="3" fontId="17" fillId="9" borderId="24" xfId="0" applyNumberFormat="1" applyFont="1" applyFill="1" applyBorder="1" applyAlignment="1">
      <alignment vertical="center"/>
    </xf>
    <xf numFmtId="3" fontId="17" fillId="9" borderId="25" xfId="0" applyNumberFormat="1" applyFont="1" applyFill="1" applyBorder="1" applyAlignment="1">
      <alignment vertical="center"/>
    </xf>
    <xf numFmtId="3" fontId="17" fillId="5" borderId="59" xfId="0" applyNumberFormat="1" applyFont="1" applyFill="1" applyBorder="1" applyAlignment="1">
      <alignment vertical="center"/>
    </xf>
    <xf numFmtId="3" fontId="17" fillId="10" borderId="24" xfId="0" applyNumberFormat="1" applyFont="1" applyFill="1" applyBorder="1" applyAlignment="1">
      <alignment vertical="center"/>
    </xf>
    <xf numFmtId="3" fontId="17" fillId="10" borderId="9" xfId="0" applyNumberFormat="1" applyFont="1" applyFill="1" applyBorder="1" applyAlignment="1">
      <alignment vertical="center"/>
    </xf>
    <xf numFmtId="3" fontId="17" fillId="10" borderId="25" xfId="0" applyNumberFormat="1" applyFont="1" applyFill="1" applyBorder="1" applyAlignment="1">
      <alignment vertical="center"/>
    </xf>
    <xf numFmtId="3" fontId="17" fillId="11" borderId="46" xfId="0" applyNumberFormat="1" applyFont="1" applyFill="1" applyBorder="1" applyAlignment="1">
      <alignment vertical="center"/>
    </xf>
    <xf numFmtId="3" fontId="17" fillId="12" borderId="46" xfId="0" applyNumberFormat="1" applyFont="1" applyFill="1" applyBorder="1" applyAlignment="1">
      <alignment vertical="center"/>
    </xf>
    <xf numFmtId="3" fontId="17" fillId="3" borderId="59" xfId="0" applyNumberFormat="1" applyFont="1" applyFill="1" applyBorder="1" applyAlignment="1">
      <alignment vertical="center"/>
    </xf>
    <xf numFmtId="3" fontId="16" fillId="3" borderId="46" xfId="0" applyNumberFormat="1" applyFont="1" applyFill="1" applyBorder="1" applyAlignment="1">
      <alignment vertical="center"/>
    </xf>
    <xf numFmtId="0" fontId="18" fillId="0" borderId="40" xfId="0" applyFont="1" applyBorder="1" applyAlignment="1">
      <alignment vertical="center" wrapText="1"/>
    </xf>
    <xf numFmtId="3" fontId="18" fillId="13" borderId="13" xfId="0" applyNumberFormat="1" applyFont="1" applyFill="1" applyBorder="1" applyAlignment="1">
      <alignment vertical="center"/>
    </xf>
    <xf numFmtId="3" fontId="18" fillId="7" borderId="3" xfId="0" applyNumberFormat="1" applyFont="1" applyFill="1" applyBorder="1" applyAlignment="1">
      <alignment vertical="center"/>
    </xf>
    <xf numFmtId="3" fontId="14" fillId="7" borderId="14" xfId="0" applyNumberFormat="1" applyFont="1" applyFill="1" applyBorder="1" applyAlignment="1">
      <alignment vertical="center"/>
    </xf>
    <xf numFmtId="3" fontId="14" fillId="8" borderId="13" xfId="0" applyNumberFormat="1" applyFont="1" applyFill="1" applyBorder="1" applyAlignment="1">
      <alignment vertical="center"/>
    </xf>
    <xf numFmtId="3" fontId="14" fillId="8" borderId="3" xfId="0" applyNumberFormat="1" applyFont="1" applyFill="1" applyBorder="1" applyAlignment="1">
      <alignment vertical="center"/>
    </xf>
    <xf numFmtId="3" fontId="18" fillId="8" borderId="14" xfId="0" applyNumberFormat="1" applyFont="1" applyFill="1" applyBorder="1" applyAlignment="1">
      <alignment vertical="center"/>
    </xf>
    <xf numFmtId="3" fontId="14" fillId="9" borderId="13" xfId="0" applyNumberFormat="1" applyFont="1" applyFill="1" applyBorder="1" applyAlignment="1">
      <alignment vertical="center"/>
    </xf>
    <xf numFmtId="3" fontId="18" fillId="9" borderId="14" xfId="0" applyNumberFormat="1" applyFont="1" applyFill="1" applyBorder="1" applyAlignment="1">
      <alignment vertical="center"/>
    </xf>
    <xf numFmtId="3" fontId="21" fillId="5" borderId="27" xfId="0" applyNumberFormat="1" applyFont="1" applyFill="1" applyBorder="1" applyAlignment="1">
      <alignment vertical="center"/>
    </xf>
    <xf numFmtId="3" fontId="14" fillId="10" borderId="13" xfId="0" applyNumberFormat="1" applyFont="1" applyFill="1" applyBorder="1" applyAlignment="1">
      <alignment vertical="center"/>
    </xf>
    <xf numFmtId="3" fontId="14" fillId="10" borderId="3" xfId="0" applyNumberFormat="1" applyFont="1" applyFill="1" applyBorder="1" applyAlignment="1">
      <alignment vertical="center"/>
    </xf>
    <xf numFmtId="3" fontId="18" fillId="10" borderId="14" xfId="0" applyNumberFormat="1" applyFont="1" applyFill="1" applyBorder="1" applyAlignment="1">
      <alignment vertical="center"/>
    </xf>
    <xf numFmtId="3" fontId="21" fillId="11" borderId="40" xfId="0" applyNumberFormat="1" applyFont="1" applyFill="1" applyBorder="1" applyAlignment="1">
      <alignment vertical="center"/>
    </xf>
    <xf numFmtId="3" fontId="21" fillId="12" borderId="40" xfId="0" applyNumberFormat="1" applyFont="1" applyFill="1" applyBorder="1" applyAlignment="1">
      <alignment vertical="center"/>
    </xf>
    <xf numFmtId="3" fontId="21" fillId="3" borderId="27" xfId="0" applyNumberFormat="1" applyFont="1" applyFill="1" applyBorder="1" applyAlignment="1">
      <alignment vertical="center"/>
    </xf>
    <xf numFmtId="3" fontId="14" fillId="5" borderId="42" xfId="0" applyNumberFormat="1" applyFont="1" applyFill="1" applyBorder="1" applyAlignment="1">
      <alignment vertical="center"/>
    </xf>
    <xf numFmtId="3" fontId="14" fillId="11" borderId="43" xfId="0" applyNumberFormat="1" applyFont="1" applyFill="1" applyBorder="1" applyAlignment="1">
      <alignment vertical="center"/>
    </xf>
    <xf numFmtId="3" fontId="14" fillId="12" borderId="43" xfId="0" applyNumberFormat="1" applyFont="1" applyFill="1" applyBorder="1" applyAlignment="1">
      <alignment vertical="center"/>
    </xf>
    <xf numFmtId="0" fontId="2" fillId="0" borderId="44" xfId="0" applyFont="1" applyBorder="1" applyAlignment="1">
      <alignment vertical="center" wrapText="1"/>
    </xf>
    <xf numFmtId="3" fontId="2" fillId="13" borderId="21" xfId="0" applyNumberFormat="1" applyFont="1" applyFill="1" applyBorder="1" applyAlignment="1">
      <alignment vertical="center"/>
    </xf>
    <xf numFmtId="3" fontId="2" fillId="7" borderId="22" xfId="0" applyNumberFormat="1" applyFont="1" applyFill="1" applyBorder="1" applyAlignment="1">
      <alignment vertical="center"/>
    </xf>
    <xf numFmtId="3" fontId="14" fillId="7" borderId="23" xfId="0" applyNumberFormat="1" applyFont="1" applyFill="1" applyBorder="1" applyAlignment="1">
      <alignment vertical="center"/>
    </xf>
    <xf numFmtId="3" fontId="14" fillId="8" borderId="21" xfId="0" applyNumberFormat="1" applyFont="1" applyFill="1" applyBorder="1" applyAlignment="1">
      <alignment vertical="center"/>
    </xf>
    <xf numFmtId="3" fontId="14" fillId="8" borderId="22" xfId="0" applyNumberFormat="1" applyFont="1" applyFill="1" applyBorder="1" applyAlignment="1">
      <alignment vertical="center"/>
    </xf>
    <xf numFmtId="3" fontId="2" fillId="8" borderId="23" xfId="0" applyNumberFormat="1" applyFont="1" applyFill="1" applyBorder="1" applyAlignment="1">
      <alignment vertical="center"/>
    </xf>
    <xf numFmtId="3" fontId="14" fillId="9" borderId="21" xfId="0" applyNumberFormat="1" applyFont="1" applyFill="1" applyBorder="1" applyAlignment="1">
      <alignment vertical="center"/>
    </xf>
    <xf numFmtId="3" fontId="2" fillId="9" borderId="23" xfId="0" applyNumberFormat="1" applyFont="1" applyFill="1" applyBorder="1" applyAlignment="1">
      <alignment vertical="center"/>
    </xf>
    <xf numFmtId="3" fontId="14" fillId="5" borderId="45" xfId="0" applyNumberFormat="1" applyFont="1" applyFill="1" applyBorder="1" applyAlignment="1">
      <alignment vertical="center"/>
    </xf>
    <xf numFmtId="3" fontId="14" fillId="10" borderId="21" xfId="0" applyNumberFormat="1" applyFont="1" applyFill="1" applyBorder="1" applyAlignment="1">
      <alignment vertical="center"/>
    </xf>
    <xf numFmtId="3" fontId="14" fillId="10" borderId="22" xfId="0" applyNumberFormat="1" applyFont="1" applyFill="1" applyBorder="1" applyAlignment="1">
      <alignment vertical="center"/>
    </xf>
    <xf numFmtId="3" fontId="2" fillId="10" borderId="23" xfId="0" applyNumberFormat="1" applyFont="1" applyFill="1" applyBorder="1" applyAlignment="1">
      <alignment vertical="center"/>
    </xf>
    <xf numFmtId="3" fontId="14" fillId="11" borderId="44" xfId="0" applyNumberFormat="1" applyFont="1" applyFill="1" applyBorder="1" applyAlignment="1">
      <alignment vertical="center"/>
    </xf>
    <xf numFmtId="3" fontId="14" fillId="12" borderId="44" xfId="0" applyNumberFormat="1" applyFont="1" applyFill="1" applyBorder="1" applyAlignment="1">
      <alignment vertical="center"/>
    </xf>
    <xf numFmtId="3" fontId="14" fillId="3" borderId="45" xfId="0" applyNumberFormat="1" applyFont="1" applyFill="1" applyBorder="1" applyAlignment="1">
      <alignment vertical="center"/>
    </xf>
    <xf numFmtId="0" fontId="2" fillId="0" borderId="41" xfId="0" applyFont="1" applyBorder="1" applyAlignment="1">
      <alignment vertical="center" wrapText="1"/>
    </xf>
    <xf numFmtId="3" fontId="2" fillId="13" borderId="15" xfId="0" applyNumberFormat="1" applyFont="1" applyFill="1" applyBorder="1" applyAlignment="1">
      <alignment vertical="center"/>
    </xf>
    <xf numFmtId="3" fontId="2" fillId="7" borderId="16" xfId="0" applyNumberFormat="1" applyFont="1" applyFill="1" applyBorder="1" applyAlignment="1">
      <alignment vertical="center"/>
    </xf>
    <xf numFmtId="3" fontId="2" fillId="8" borderId="17" xfId="0" applyNumberFormat="1" applyFont="1" applyFill="1" applyBorder="1" applyAlignment="1">
      <alignment vertical="center"/>
    </xf>
    <xf numFmtId="3" fontId="2" fillId="9" borderId="17" xfId="0" applyNumberFormat="1" applyFont="1" applyFill="1" applyBorder="1" applyAlignment="1">
      <alignment vertical="center"/>
    </xf>
    <xf numFmtId="3" fontId="14" fillId="5" borderId="55" xfId="0" applyNumberFormat="1" applyFont="1" applyFill="1" applyBorder="1" applyAlignment="1">
      <alignment vertical="center"/>
    </xf>
    <xf numFmtId="3" fontId="2" fillId="10" borderId="17" xfId="0" applyNumberFormat="1" applyFont="1" applyFill="1" applyBorder="1" applyAlignment="1">
      <alignment vertical="center"/>
    </xf>
    <xf numFmtId="3" fontId="14" fillId="11" borderId="41" xfId="0" applyNumberFormat="1" applyFont="1" applyFill="1" applyBorder="1" applyAlignment="1">
      <alignment vertical="center"/>
    </xf>
    <xf numFmtId="3" fontId="14" fillId="12" borderId="41" xfId="0" applyNumberFormat="1" applyFont="1" applyFill="1" applyBorder="1" applyAlignment="1">
      <alignment vertical="center"/>
    </xf>
    <xf numFmtId="0" fontId="0" fillId="0" borderId="47" xfId="0" applyFont="1" applyBorder="1" applyAlignment="1">
      <alignment vertical="center" wrapText="1"/>
    </xf>
    <xf numFmtId="3" fontId="0" fillId="13" borderId="48" xfId="0" applyNumberFormat="1" applyFont="1" applyFill="1" applyBorder="1" applyAlignment="1">
      <alignment vertical="center"/>
    </xf>
    <xf numFmtId="3" fontId="0" fillId="7" borderId="49" xfId="0" applyNumberFormat="1" applyFont="1" applyFill="1" applyBorder="1" applyAlignment="1">
      <alignment vertical="center"/>
    </xf>
    <xf numFmtId="3" fontId="0" fillId="8" borderId="50" xfId="0" applyNumberFormat="1" applyFont="1" applyFill="1" applyBorder="1" applyAlignment="1">
      <alignment vertical="center"/>
    </xf>
    <xf numFmtId="3" fontId="0" fillId="9" borderId="50" xfId="0" applyNumberFormat="1" applyFont="1" applyFill="1" applyBorder="1" applyAlignment="1">
      <alignment vertical="center"/>
    </xf>
    <xf numFmtId="3" fontId="0" fillId="10" borderId="50" xfId="0" applyNumberFormat="1" applyFont="1" applyFill="1" applyBorder="1" applyAlignment="1">
      <alignment vertical="center"/>
    </xf>
    <xf numFmtId="0" fontId="18" fillId="0" borderId="47" xfId="0" applyFont="1" applyBorder="1" applyAlignment="1">
      <alignment vertical="center" wrapText="1"/>
    </xf>
    <xf numFmtId="3" fontId="18" fillId="13" borderId="48" xfId="0" applyNumberFormat="1" applyFont="1" applyFill="1" applyBorder="1" applyAlignment="1">
      <alignment vertical="center"/>
    </xf>
    <xf numFmtId="3" fontId="18" fillId="7" borderId="49" xfId="0" applyNumberFormat="1" applyFont="1" applyFill="1" applyBorder="1" applyAlignment="1">
      <alignment vertical="center"/>
    </xf>
    <xf numFmtId="3" fontId="18" fillId="7" borderId="50" xfId="0" applyNumberFormat="1" applyFont="1" applyFill="1" applyBorder="1" applyAlignment="1">
      <alignment vertical="center"/>
    </xf>
    <xf numFmtId="3" fontId="18" fillId="8" borderId="48" xfId="0" applyNumberFormat="1" applyFont="1" applyFill="1" applyBorder="1" applyAlignment="1">
      <alignment vertical="center"/>
    </xf>
    <xf numFmtId="3" fontId="18" fillId="8" borderId="49" xfId="0" applyNumberFormat="1" applyFont="1" applyFill="1" applyBorder="1" applyAlignment="1">
      <alignment vertical="center"/>
    </xf>
    <xf numFmtId="3" fontId="18" fillId="8" borderId="50" xfId="0" applyNumberFormat="1" applyFont="1" applyFill="1" applyBorder="1" applyAlignment="1">
      <alignment vertical="center"/>
    </xf>
    <xf numFmtId="3" fontId="18" fillId="9" borderId="48" xfId="0" applyNumberFormat="1" applyFont="1" applyFill="1" applyBorder="1" applyAlignment="1">
      <alignment vertical="center"/>
    </xf>
    <xf numFmtId="3" fontId="18" fillId="9" borderId="50" xfId="0" applyNumberFormat="1" applyFont="1" applyFill="1" applyBorder="1" applyAlignment="1">
      <alignment vertical="center"/>
    </xf>
    <xf numFmtId="3" fontId="18" fillId="5" borderId="34" xfId="0" applyNumberFormat="1" applyFont="1" applyFill="1" applyBorder="1" applyAlignment="1">
      <alignment vertical="center"/>
    </xf>
    <xf numFmtId="3" fontId="18" fillId="10" borderId="48" xfId="0" applyNumberFormat="1" applyFont="1" applyFill="1" applyBorder="1" applyAlignment="1">
      <alignment vertical="center"/>
    </xf>
    <xf numFmtId="3" fontId="18" fillId="10" borderId="49" xfId="0" applyNumberFormat="1" applyFont="1" applyFill="1" applyBorder="1" applyAlignment="1">
      <alignment vertical="center"/>
    </xf>
    <xf numFmtId="3" fontId="18" fillId="10" borderId="50" xfId="0" applyNumberFormat="1" applyFont="1" applyFill="1" applyBorder="1" applyAlignment="1">
      <alignment vertical="center"/>
    </xf>
    <xf numFmtId="3" fontId="18" fillId="11" borderId="47" xfId="0" applyNumberFormat="1" applyFont="1" applyFill="1" applyBorder="1" applyAlignment="1">
      <alignment vertical="center"/>
    </xf>
    <xf numFmtId="3" fontId="18" fillId="12" borderId="47" xfId="0" applyNumberFormat="1" applyFont="1" applyFill="1" applyBorder="1" applyAlignment="1">
      <alignment vertical="center"/>
    </xf>
    <xf numFmtId="3" fontId="18" fillId="3" borderId="47" xfId="0" applyNumberFormat="1" applyFont="1" applyFill="1" applyBorder="1" applyAlignment="1">
      <alignment vertical="center"/>
    </xf>
    <xf numFmtId="3" fontId="21" fillId="5" borderId="34" xfId="0" applyNumberFormat="1" applyFont="1" applyFill="1" applyBorder="1" applyAlignment="1">
      <alignment vertical="center"/>
    </xf>
    <xf numFmtId="3" fontId="21" fillId="11" borderId="47" xfId="0" applyNumberFormat="1" applyFont="1" applyFill="1" applyBorder="1" applyAlignment="1">
      <alignment vertical="center"/>
    </xf>
    <xf numFmtId="3" fontId="21" fillId="12" borderId="47" xfId="0" applyNumberFormat="1" applyFont="1" applyFill="1" applyBorder="1" applyAlignment="1">
      <alignment vertical="center"/>
    </xf>
    <xf numFmtId="3" fontId="21" fillId="3" borderId="47" xfId="0" applyNumberFormat="1" applyFont="1" applyFill="1" applyBorder="1" applyAlignment="1">
      <alignment vertical="center"/>
    </xf>
    <xf numFmtId="3" fontId="20" fillId="5" borderId="34" xfId="0" applyNumberFormat="1" applyFont="1" applyFill="1" applyBorder="1" applyAlignment="1">
      <alignment vertical="center"/>
    </xf>
    <xf numFmtId="3" fontId="20" fillId="11" borderId="47" xfId="0" applyNumberFormat="1" applyFont="1" applyFill="1" applyBorder="1" applyAlignment="1">
      <alignment vertical="center"/>
    </xf>
    <xf numFmtId="3" fontId="20" fillId="12" borderId="47" xfId="0" applyNumberFormat="1" applyFont="1" applyFill="1" applyBorder="1" applyAlignment="1">
      <alignment vertical="center"/>
    </xf>
    <xf numFmtId="3" fontId="20" fillId="3" borderId="47" xfId="0" applyNumberFormat="1" applyFont="1" applyFill="1" applyBorder="1" applyAlignment="1">
      <alignment vertical="center"/>
    </xf>
    <xf numFmtId="0" fontId="25" fillId="0" borderId="47" xfId="0" applyFont="1" applyBorder="1" applyAlignment="1">
      <alignment vertical="center" wrapText="1"/>
    </xf>
    <xf numFmtId="3" fontId="25" fillId="13" borderId="48" xfId="0" applyNumberFormat="1" applyFont="1" applyFill="1" applyBorder="1" applyAlignment="1">
      <alignment vertical="center"/>
    </xf>
    <xf numFmtId="3" fontId="25" fillId="7" borderId="49" xfId="0" applyNumberFormat="1" applyFont="1" applyFill="1" applyBorder="1" applyAlignment="1">
      <alignment vertical="center"/>
    </xf>
    <xf numFmtId="3" fontId="25" fillId="8" borderId="50" xfId="0" applyNumberFormat="1" applyFont="1" applyFill="1" applyBorder="1" applyAlignment="1">
      <alignment vertical="center"/>
    </xf>
    <xf numFmtId="3" fontId="25" fillId="9" borderId="50" xfId="0" applyNumberFormat="1" applyFont="1" applyFill="1" applyBorder="1" applyAlignment="1">
      <alignment vertical="center"/>
    </xf>
    <xf numFmtId="3" fontId="26" fillId="5" borderId="34" xfId="0" applyNumberFormat="1" applyFont="1" applyFill="1" applyBorder="1" applyAlignment="1">
      <alignment vertical="center"/>
    </xf>
    <xf numFmtId="3" fontId="25" fillId="10" borderId="50" xfId="0" applyNumberFormat="1" applyFont="1" applyFill="1" applyBorder="1" applyAlignment="1">
      <alignment vertical="center"/>
    </xf>
    <xf numFmtId="3" fontId="26" fillId="11" borderId="47" xfId="0" applyNumberFormat="1" applyFont="1" applyFill="1" applyBorder="1" applyAlignment="1">
      <alignment vertical="center"/>
    </xf>
    <xf numFmtId="3" fontId="26" fillId="12" borderId="47" xfId="0" applyNumberFormat="1" applyFont="1" applyFill="1" applyBorder="1" applyAlignment="1">
      <alignment vertical="center"/>
    </xf>
    <xf numFmtId="3" fontId="26" fillId="3" borderId="47" xfId="0" applyNumberFormat="1" applyFont="1" applyFill="1" applyBorder="1" applyAlignment="1">
      <alignment vertical="center"/>
    </xf>
    <xf numFmtId="3" fontId="15" fillId="5" borderId="34" xfId="0" applyNumberFormat="1" applyFont="1" applyFill="1" applyBorder="1" applyAlignment="1">
      <alignment vertical="center"/>
    </xf>
    <xf numFmtId="3" fontId="15" fillId="11" borderId="47" xfId="0" applyNumberFormat="1" applyFont="1" applyFill="1" applyBorder="1" applyAlignment="1">
      <alignment vertical="center"/>
    </xf>
    <xf numFmtId="3" fontId="15" fillId="12" borderId="47" xfId="0" applyNumberFormat="1" applyFont="1" applyFill="1" applyBorder="1" applyAlignment="1">
      <alignment vertical="center"/>
    </xf>
    <xf numFmtId="3" fontId="15" fillId="3" borderId="47" xfId="0" applyNumberFormat="1" applyFont="1" applyFill="1" applyBorder="1" applyAlignment="1">
      <alignment vertical="center"/>
    </xf>
    <xf numFmtId="0" fontId="0" fillId="0" borderId="47" xfId="0" applyBorder="1" applyAlignment="1">
      <alignment vertical="center" wrapText="1"/>
    </xf>
    <xf numFmtId="3" fontId="0" fillId="13" borderId="48" xfId="0" applyNumberFormat="1" applyFill="1" applyBorder="1" applyAlignment="1">
      <alignment vertical="center"/>
    </xf>
    <xf numFmtId="3" fontId="0" fillId="7" borderId="49" xfId="0" applyNumberFormat="1" applyFill="1" applyBorder="1" applyAlignment="1">
      <alignment vertical="center"/>
    </xf>
    <xf numFmtId="3" fontId="0" fillId="8" borderId="50" xfId="0" applyNumberFormat="1" applyFill="1" applyBorder="1" applyAlignment="1">
      <alignment vertical="center"/>
    </xf>
    <xf numFmtId="3" fontId="0" fillId="9" borderId="50" xfId="0" applyNumberFormat="1" applyFill="1" applyBorder="1" applyAlignment="1">
      <alignment vertical="center"/>
    </xf>
    <xf numFmtId="3" fontId="0" fillId="10" borderId="50" xfId="0" applyNumberFormat="1" applyFill="1" applyBorder="1" applyAlignment="1">
      <alignment vertical="center"/>
    </xf>
    <xf numFmtId="0" fontId="27" fillId="0" borderId="41" xfId="0" applyFont="1" applyBorder="1" applyAlignment="1">
      <alignment vertical="center" wrapText="1"/>
    </xf>
    <xf numFmtId="3" fontId="27" fillId="13" borderId="15" xfId="0" applyNumberFormat="1" applyFont="1" applyFill="1" applyBorder="1" applyAlignment="1">
      <alignment vertical="center"/>
    </xf>
    <xf numFmtId="3" fontId="27" fillId="7" borderId="16" xfId="0" applyNumberFormat="1" applyFont="1" applyFill="1" applyBorder="1" applyAlignment="1">
      <alignment vertical="center"/>
    </xf>
    <xf numFmtId="3" fontId="27" fillId="7" borderId="17" xfId="0" applyNumberFormat="1" applyFont="1" applyFill="1" applyBorder="1" applyAlignment="1">
      <alignment vertical="center"/>
    </xf>
    <xf numFmtId="3" fontId="27" fillId="8" borderId="15" xfId="0" applyNumberFormat="1" applyFont="1" applyFill="1" applyBorder="1" applyAlignment="1">
      <alignment vertical="center"/>
    </xf>
    <xf numFmtId="3" fontId="27" fillId="8" borderId="16" xfId="0" applyNumberFormat="1" applyFont="1" applyFill="1" applyBorder="1" applyAlignment="1">
      <alignment vertical="center"/>
    </xf>
    <xf numFmtId="3" fontId="27" fillId="8" borderId="17" xfId="0" applyNumberFormat="1" applyFont="1" applyFill="1" applyBorder="1" applyAlignment="1">
      <alignment vertical="center"/>
    </xf>
    <xf numFmtId="3" fontId="27" fillId="9" borderId="15" xfId="0" applyNumberFormat="1" applyFont="1" applyFill="1" applyBorder="1" applyAlignment="1">
      <alignment vertical="center"/>
    </xf>
    <xf numFmtId="3" fontId="27" fillId="9" borderId="17" xfId="0" applyNumberFormat="1" applyFont="1" applyFill="1" applyBorder="1" applyAlignment="1">
      <alignment vertical="center"/>
    </xf>
    <xf numFmtId="3" fontId="27" fillId="5" borderId="55" xfId="0" applyNumberFormat="1" applyFont="1" applyFill="1" applyBorder="1" applyAlignment="1">
      <alignment vertical="center"/>
    </xf>
    <xf numFmtId="3" fontId="27" fillId="10" borderId="15" xfId="0" applyNumberFormat="1" applyFont="1" applyFill="1" applyBorder="1" applyAlignment="1">
      <alignment vertical="center"/>
    </xf>
    <xf numFmtId="3" fontId="27" fillId="10" borderId="16" xfId="0" applyNumberFormat="1" applyFont="1" applyFill="1" applyBorder="1" applyAlignment="1">
      <alignment vertical="center"/>
    </xf>
    <xf numFmtId="3" fontId="27" fillId="10" borderId="17" xfId="0" applyNumberFormat="1" applyFont="1" applyFill="1" applyBorder="1" applyAlignment="1">
      <alignment vertical="center"/>
    </xf>
    <xf numFmtId="3" fontId="27" fillId="11" borderId="41" xfId="0" applyNumberFormat="1" applyFont="1" applyFill="1" applyBorder="1" applyAlignment="1">
      <alignment vertical="center"/>
    </xf>
    <xf numFmtId="3" fontId="27" fillId="12" borderId="41" xfId="0" applyNumberFormat="1" applyFont="1" applyFill="1" applyBorder="1" applyAlignment="1">
      <alignment vertical="center"/>
    </xf>
    <xf numFmtId="3" fontId="27" fillId="3" borderId="55" xfId="0" applyNumberFormat="1" applyFont="1" applyFill="1" applyBorder="1" applyAlignment="1">
      <alignment vertical="center"/>
    </xf>
    <xf numFmtId="0" fontId="27" fillId="0" borderId="43" xfId="0" applyFont="1" applyBorder="1" applyAlignment="1">
      <alignment vertical="center" wrapText="1"/>
    </xf>
    <xf numFmtId="3" fontId="27" fillId="13" borderId="18" xfId="0" applyNumberFormat="1" applyFont="1" applyFill="1" applyBorder="1" applyAlignment="1">
      <alignment vertical="center"/>
    </xf>
    <xf numFmtId="3" fontId="27" fillId="7" borderId="19" xfId="0" applyNumberFormat="1" applyFont="1" applyFill="1" applyBorder="1" applyAlignment="1">
      <alignment vertical="center"/>
    </xf>
    <xf numFmtId="3" fontId="27" fillId="7" borderId="20" xfId="0" applyNumberFormat="1" applyFont="1" applyFill="1" applyBorder="1" applyAlignment="1">
      <alignment vertical="center"/>
    </xf>
    <xf numFmtId="3" fontId="27" fillId="8" borderId="18" xfId="0" applyNumberFormat="1" applyFont="1" applyFill="1" applyBorder="1" applyAlignment="1">
      <alignment vertical="center"/>
    </xf>
    <xf numFmtId="3" fontId="27" fillId="8" borderId="19" xfId="0" applyNumberFormat="1" applyFont="1" applyFill="1" applyBorder="1" applyAlignment="1">
      <alignment vertical="center"/>
    </xf>
    <xf numFmtId="3" fontId="27" fillId="8" borderId="20" xfId="0" applyNumberFormat="1" applyFont="1" applyFill="1" applyBorder="1" applyAlignment="1">
      <alignment vertical="center"/>
    </xf>
    <xf numFmtId="3" fontId="27" fillId="9" borderId="18" xfId="0" applyNumberFormat="1" applyFont="1" applyFill="1" applyBorder="1" applyAlignment="1">
      <alignment vertical="center"/>
    </xf>
    <xf numFmtId="3" fontId="27" fillId="9" borderId="20" xfId="0" applyNumberFormat="1" applyFont="1" applyFill="1" applyBorder="1" applyAlignment="1">
      <alignment vertical="center"/>
    </xf>
    <xf numFmtId="3" fontId="27" fillId="5" borderId="42" xfId="0" applyNumberFormat="1" applyFont="1" applyFill="1" applyBorder="1" applyAlignment="1">
      <alignment vertical="center"/>
    </xf>
    <xf numFmtId="3" fontId="27" fillId="10" borderId="18" xfId="0" applyNumberFormat="1" applyFont="1" applyFill="1" applyBorder="1" applyAlignment="1">
      <alignment vertical="center"/>
    </xf>
    <xf numFmtId="3" fontId="27" fillId="10" borderId="19" xfId="0" applyNumberFormat="1" applyFont="1" applyFill="1" applyBorder="1" applyAlignment="1">
      <alignment vertical="center"/>
    </xf>
    <xf numFmtId="3" fontId="27" fillId="10" borderId="20" xfId="0" applyNumberFormat="1" applyFont="1" applyFill="1" applyBorder="1" applyAlignment="1">
      <alignment vertical="center"/>
    </xf>
    <xf numFmtId="3" fontId="27" fillId="11" borderId="43" xfId="0" applyNumberFormat="1" applyFont="1" applyFill="1" applyBorder="1" applyAlignment="1">
      <alignment vertical="center"/>
    </xf>
    <xf numFmtId="3" fontId="27" fillId="12" borderId="43" xfId="0" applyNumberFormat="1" applyFont="1" applyFill="1" applyBorder="1" applyAlignment="1">
      <alignment vertical="center"/>
    </xf>
    <xf numFmtId="3" fontId="27" fillId="3" borderId="42" xfId="0" applyNumberFormat="1" applyFont="1" applyFill="1" applyBorder="1" applyAlignment="1">
      <alignment vertical="center"/>
    </xf>
    <xf numFmtId="3" fontId="2" fillId="7" borderId="23" xfId="0" applyNumberFormat="1" applyFont="1" applyFill="1" applyBorder="1" applyAlignment="1">
      <alignment vertical="center"/>
    </xf>
    <xf numFmtId="3" fontId="2" fillId="8" borderId="21" xfId="0" applyNumberFormat="1" applyFont="1" applyFill="1" applyBorder="1" applyAlignment="1">
      <alignment vertical="center"/>
    </xf>
    <xf numFmtId="3" fontId="2" fillId="8" borderId="22" xfId="0" applyNumberFormat="1" applyFont="1" applyFill="1" applyBorder="1" applyAlignment="1">
      <alignment vertical="center"/>
    </xf>
    <xf numFmtId="3" fontId="2" fillId="9" borderId="21" xfId="0" applyNumberFormat="1" applyFont="1" applyFill="1" applyBorder="1" applyAlignment="1">
      <alignment vertical="center"/>
    </xf>
    <xf numFmtId="3" fontId="2" fillId="5" borderId="45" xfId="0" applyNumberFormat="1" applyFont="1" applyFill="1" applyBorder="1" applyAlignment="1">
      <alignment vertical="center"/>
    </xf>
    <xf numFmtId="3" fontId="2" fillId="10" borderId="21" xfId="0" applyNumberFormat="1" applyFont="1" applyFill="1" applyBorder="1" applyAlignment="1">
      <alignment vertical="center"/>
    </xf>
    <xf numFmtId="3" fontId="2" fillId="10" borderId="22" xfId="0" applyNumberFormat="1" applyFont="1" applyFill="1" applyBorder="1" applyAlignment="1">
      <alignment vertical="center"/>
    </xf>
    <xf numFmtId="3" fontId="2" fillId="11" borderId="44" xfId="0" applyNumberFormat="1" applyFont="1" applyFill="1" applyBorder="1" applyAlignment="1">
      <alignment vertical="center"/>
    </xf>
    <xf numFmtId="3" fontId="2" fillId="12" borderId="44" xfId="0" applyNumberFormat="1" applyFont="1" applyFill="1" applyBorder="1" applyAlignment="1">
      <alignment vertical="center"/>
    </xf>
    <xf numFmtId="3" fontId="2" fillId="3" borderId="45" xfId="0" applyNumberFormat="1" applyFont="1" applyFill="1" applyBorder="1" applyAlignment="1">
      <alignment vertical="center"/>
    </xf>
    <xf numFmtId="0" fontId="2" fillId="0" borderId="36" xfId="0" applyFont="1" applyBorder="1" applyAlignment="1">
      <alignment vertical="center" wrapText="1"/>
    </xf>
    <xf numFmtId="3" fontId="2" fillId="13" borderId="51" xfId="0" applyNumberFormat="1" applyFont="1" applyFill="1" applyBorder="1" applyAlignment="1">
      <alignment vertical="center"/>
    </xf>
    <xf numFmtId="3" fontId="2" fillId="7" borderId="52" xfId="0" applyNumberFormat="1" applyFont="1" applyFill="1" applyBorder="1" applyAlignment="1">
      <alignment vertical="center"/>
    </xf>
    <xf numFmtId="3" fontId="14" fillId="7" borderId="58" xfId="0" applyNumberFormat="1" applyFont="1" applyFill="1" applyBorder="1" applyAlignment="1">
      <alignment vertical="center"/>
    </xf>
    <xf numFmtId="3" fontId="14" fillId="8" borderId="51" xfId="0" applyNumberFormat="1" applyFont="1" applyFill="1" applyBorder="1" applyAlignment="1">
      <alignment vertical="center"/>
    </xf>
    <xf numFmtId="3" fontId="14" fillId="8" borderId="52" xfId="0" applyNumberFormat="1" applyFont="1" applyFill="1" applyBorder="1" applyAlignment="1">
      <alignment vertical="center"/>
    </xf>
    <xf numFmtId="3" fontId="2" fillId="8" borderId="58" xfId="0" applyNumberFormat="1" applyFont="1" applyFill="1" applyBorder="1" applyAlignment="1">
      <alignment vertical="center"/>
    </xf>
    <xf numFmtId="3" fontId="14" fillId="9" borderId="51" xfId="0" applyNumberFormat="1" applyFont="1" applyFill="1" applyBorder="1" applyAlignment="1">
      <alignment vertical="center"/>
    </xf>
    <xf numFmtId="3" fontId="2" fillId="9" borderId="58" xfId="0" applyNumberFormat="1" applyFont="1" applyFill="1" applyBorder="1" applyAlignment="1">
      <alignment vertical="center"/>
    </xf>
    <xf numFmtId="3" fontId="14" fillId="5" borderId="31" xfId="0" applyNumberFormat="1" applyFont="1" applyFill="1" applyBorder="1" applyAlignment="1">
      <alignment vertical="center"/>
    </xf>
    <xf numFmtId="3" fontId="14" fillId="10" borderId="51" xfId="0" applyNumberFormat="1" applyFont="1" applyFill="1" applyBorder="1" applyAlignment="1">
      <alignment vertical="center"/>
    </xf>
    <xf numFmtId="3" fontId="14" fillId="10" borderId="52" xfId="0" applyNumberFormat="1" applyFont="1" applyFill="1" applyBorder="1" applyAlignment="1">
      <alignment vertical="center"/>
    </xf>
    <xf numFmtId="3" fontId="2" fillId="10" borderId="58" xfId="0" applyNumberFormat="1" applyFont="1" applyFill="1" applyBorder="1" applyAlignment="1">
      <alignment vertical="center"/>
    </xf>
    <xf numFmtId="3" fontId="14" fillId="11" borderId="36" xfId="0" applyNumberFormat="1" applyFont="1" applyFill="1" applyBorder="1" applyAlignment="1">
      <alignment vertical="center"/>
    </xf>
    <xf numFmtId="3" fontId="14" fillId="12" borderId="36" xfId="0" applyNumberFormat="1" applyFont="1" applyFill="1" applyBorder="1" applyAlignment="1">
      <alignment vertical="center"/>
    </xf>
    <xf numFmtId="3" fontId="14" fillId="3" borderId="31" xfId="0" applyNumberFormat="1" applyFont="1" applyFill="1" applyBorder="1" applyAlignment="1">
      <alignment vertical="center"/>
    </xf>
    <xf numFmtId="3" fontId="0" fillId="8" borderId="17" xfId="0" applyNumberFormat="1" applyFill="1" applyBorder="1" applyAlignment="1">
      <alignment vertical="center"/>
    </xf>
    <xf numFmtId="3" fontId="0" fillId="9" borderId="17" xfId="0" applyNumberFormat="1" applyFill="1" applyBorder="1" applyAlignment="1">
      <alignment vertical="center"/>
    </xf>
    <xf numFmtId="3" fontId="0" fillId="10" borderId="17" xfId="0" applyNumberFormat="1" applyFill="1" applyBorder="1" applyAlignment="1">
      <alignment vertical="center"/>
    </xf>
    <xf numFmtId="3" fontId="0" fillId="8" borderId="20" xfId="0" applyNumberFormat="1" applyFill="1" applyBorder="1" applyAlignment="1">
      <alignment vertical="center"/>
    </xf>
    <xf numFmtId="3" fontId="0" fillId="9" borderId="20" xfId="0" applyNumberFormat="1" applyFill="1" applyBorder="1" applyAlignment="1">
      <alignment vertical="center"/>
    </xf>
    <xf numFmtId="3" fontId="0" fillId="10" borderId="20" xfId="0" applyNumberFormat="1" applyFill="1" applyBorder="1" applyAlignment="1">
      <alignment vertical="center"/>
    </xf>
    <xf numFmtId="3" fontId="0" fillId="0" borderId="0" xfId="0" applyNumberFormat="1"/>
    <xf numFmtId="0" fontId="0" fillId="3" borderId="0" xfId="0" applyFill="1"/>
    <xf numFmtId="3" fontId="28" fillId="0" borderId="0" xfId="0" applyNumberFormat="1" applyFont="1"/>
    <xf numFmtId="3" fontId="25" fillId="0" borderId="0" xfId="0" applyNumberFormat="1" applyFont="1"/>
    <xf numFmtId="3" fontId="18" fillId="0" borderId="0" xfId="0" applyNumberFormat="1" applyFont="1"/>
    <xf numFmtId="3" fontId="2" fillId="0" borderId="0" xfId="0" applyNumberFormat="1" applyFont="1"/>
    <xf numFmtId="3" fontId="29" fillId="0" borderId="0" xfId="0" applyNumberFormat="1" applyFont="1"/>
    <xf numFmtId="3" fontId="14" fillId="13" borderId="9" xfId="0" applyNumberFormat="1" applyFont="1" applyFill="1" applyBorder="1" applyAlignment="1">
      <alignment horizontal="center" vertical="center" wrapText="1"/>
    </xf>
    <xf numFmtId="3" fontId="14" fillId="2" borderId="9" xfId="0" applyNumberFormat="1" applyFont="1" applyFill="1" applyBorder="1" applyAlignment="1">
      <alignment horizontal="center" vertical="center" wrapText="1"/>
    </xf>
    <xf numFmtId="3" fontId="14" fillId="15" borderId="9" xfId="0" applyNumberFormat="1" applyFont="1" applyFill="1" applyBorder="1" applyAlignment="1">
      <alignment horizontal="center" vertical="center" wrapText="1"/>
    </xf>
    <xf numFmtId="3" fontId="14" fillId="16" borderId="25" xfId="0" applyNumberFormat="1" applyFont="1" applyFill="1" applyBorder="1" applyAlignment="1">
      <alignment horizontal="center" vertical="center" wrapText="1"/>
    </xf>
    <xf numFmtId="3" fontId="0" fillId="2" borderId="16" xfId="0" applyNumberFormat="1" applyFill="1" applyBorder="1" applyAlignment="1">
      <alignment vertical="center"/>
    </xf>
    <xf numFmtId="3" fontId="0" fillId="15" borderId="16" xfId="0" applyNumberFormat="1" applyFill="1" applyBorder="1" applyAlignment="1">
      <alignment vertical="center"/>
    </xf>
    <xf numFmtId="3" fontId="15" fillId="16" borderId="14" xfId="0" applyNumberFormat="1" applyFont="1" applyFill="1" applyBorder="1" applyAlignment="1">
      <alignment vertical="center"/>
    </xf>
    <xf numFmtId="3" fontId="15" fillId="5" borderId="40" xfId="0" applyNumberFormat="1" applyFont="1" applyFill="1" applyBorder="1" applyAlignment="1">
      <alignment vertical="center"/>
    </xf>
    <xf numFmtId="3" fontId="15" fillId="9" borderId="40" xfId="0" applyNumberFormat="1" applyFont="1" applyFill="1" applyBorder="1" applyAlignment="1">
      <alignment vertical="center"/>
    </xf>
    <xf numFmtId="3" fontId="15" fillId="9" borderId="41" xfId="0" applyNumberFormat="1" applyFont="1" applyFill="1" applyBorder="1" applyAlignment="1">
      <alignment vertical="center"/>
    </xf>
    <xf numFmtId="3" fontId="15" fillId="16" borderId="20" xfId="0" applyNumberFormat="1" applyFont="1" applyFill="1" applyBorder="1" applyAlignment="1">
      <alignment vertical="center"/>
    </xf>
    <xf numFmtId="3" fontId="15" fillId="5" borderId="43" xfId="0" applyNumberFormat="1" applyFont="1" applyFill="1" applyBorder="1" applyAlignment="1">
      <alignment vertical="center"/>
    </xf>
    <xf numFmtId="3" fontId="15" fillId="9" borderId="43" xfId="0" applyNumberFormat="1" applyFont="1" applyFill="1" applyBorder="1" applyAlignment="1">
      <alignment vertical="center"/>
    </xf>
    <xf numFmtId="3" fontId="0" fillId="2" borderId="19" xfId="0" applyNumberFormat="1" applyFill="1" applyBorder="1" applyAlignment="1">
      <alignment vertical="center"/>
    </xf>
    <xf numFmtId="3" fontId="0" fillId="15" borderId="19" xfId="0" applyNumberFormat="1" applyFill="1" applyBorder="1" applyAlignment="1">
      <alignment vertical="center"/>
    </xf>
    <xf numFmtId="3" fontId="0" fillId="2" borderId="22" xfId="0" applyNumberFormat="1" applyFill="1" applyBorder="1" applyAlignment="1">
      <alignment vertical="center"/>
    </xf>
    <xf numFmtId="3" fontId="0" fillId="15" borderId="22" xfId="0" applyNumberFormat="1" applyFill="1" applyBorder="1" applyAlignment="1">
      <alignment vertical="center"/>
    </xf>
    <xf numFmtId="3" fontId="15" fillId="16" borderId="25" xfId="0" applyNumberFormat="1" applyFont="1" applyFill="1" applyBorder="1" applyAlignment="1">
      <alignment vertical="center"/>
    </xf>
    <xf numFmtId="3" fontId="15" fillId="5" borderId="44" xfId="0" applyNumberFormat="1" applyFont="1" applyFill="1" applyBorder="1" applyAlignment="1">
      <alignment vertical="center"/>
    </xf>
    <xf numFmtId="3" fontId="15" fillId="9" borderId="44" xfId="0" applyNumberFormat="1" applyFont="1" applyFill="1" applyBorder="1" applyAlignment="1">
      <alignment vertical="center"/>
    </xf>
    <xf numFmtId="3" fontId="14" fillId="2" borderId="49" xfId="0" applyNumberFormat="1" applyFont="1" applyFill="1" applyBorder="1" applyAlignment="1">
      <alignment vertical="center"/>
    </xf>
    <xf numFmtId="3" fontId="14" fillId="15" borderId="49" xfId="0" applyNumberFormat="1" applyFont="1" applyFill="1" applyBorder="1" applyAlignment="1">
      <alignment vertical="center"/>
    </xf>
    <xf numFmtId="3" fontId="14" fillId="16" borderId="50" xfId="0" applyNumberFormat="1" applyFont="1" applyFill="1" applyBorder="1" applyAlignment="1">
      <alignment vertical="center"/>
    </xf>
    <xf numFmtId="3" fontId="14" fillId="5" borderId="47" xfId="0" applyNumberFormat="1" applyFont="1" applyFill="1" applyBorder="1" applyAlignment="1">
      <alignment vertical="center"/>
    </xf>
    <xf numFmtId="3" fontId="14" fillId="9" borderId="47" xfId="0" applyNumberFormat="1" applyFont="1" applyFill="1" applyBorder="1" applyAlignment="1">
      <alignment vertical="center"/>
    </xf>
    <xf numFmtId="3" fontId="14" fillId="2" borderId="22" xfId="0" applyNumberFormat="1" applyFont="1" applyFill="1" applyBorder="1" applyAlignment="1">
      <alignment vertical="center"/>
    </xf>
    <xf numFmtId="3" fontId="15" fillId="15" borderId="22" xfId="0" applyNumberFormat="1" applyFont="1" applyFill="1" applyBorder="1" applyAlignment="1">
      <alignment vertical="center"/>
    </xf>
    <xf numFmtId="3" fontId="15" fillId="9" borderId="36" xfId="0" applyNumberFormat="1" applyFont="1" applyFill="1" applyBorder="1" applyAlignment="1">
      <alignment vertical="center"/>
    </xf>
    <xf numFmtId="3" fontId="14" fillId="15" borderId="22" xfId="0" applyNumberFormat="1" applyFont="1" applyFill="1" applyBorder="1" applyAlignment="1">
      <alignment vertical="center"/>
    </xf>
    <xf numFmtId="3" fontId="16" fillId="2" borderId="49" xfId="0" applyNumberFormat="1" applyFont="1" applyFill="1" applyBorder="1" applyAlignment="1">
      <alignment vertical="center"/>
    </xf>
    <xf numFmtId="3" fontId="16" fillId="15" borderId="49" xfId="0" applyNumberFormat="1" applyFont="1" applyFill="1" applyBorder="1" applyAlignment="1">
      <alignment vertical="center"/>
    </xf>
    <xf numFmtId="3" fontId="16" fillId="16" borderId="50" xfId="0" applyNumberFormat="1" applyFont="1" applyFill="1" applyBorder="1" applyAlignment="1">
      <alignment vertical="center"/>
    </xf>
    <xf numFmtId="3" fontId="16" fillId="5" borderId="50" xfId="0" applyNumberFormat="1" applyFont="1" applyFill="1" applyBorder="1" applyAlignment="1">
      <alignment vertical="center"/>
    </xf>
    <xf numFmtId="3" fontId="16" fillId="9" borderId="50" xfId="0" applyNumberFormat="1" applyFont="1" applyFill="1" applyBorder="1" applyAlignment="1">
      <alignment vertical="center"/>
    </xf>
    <xf numFmtId="3" fontId="30" fillId="3" borderId="40" xfId="0" applyNumberFormat="1" applyFon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0" fillId="15" borderId="3" xfId="0" applyNumberFormat="1" applyFill="1" applyBorder="1" applyAlignment="1">
      <alignment vertical="center"/>
    </xf>
    <xf numFmtId="3" fontId="0" fillId="2" borderId="9" xfId="0" applyNumberFormat="1" applyFill="1" applyBorder="1" applyAlignment="1">
      <alignment vertical="center"/>
    </xf>
    <xf numFmtId="3" fontId="0" fillId="15" borderId="9" xfId="0" applyNumberFormat="1" applyFill="1" applyBorder="1" applyAlignment="1">
      <alignment vertical="center"/>
    </xf>
    <xf numFmtId="3" fontId="16" fillId="5" borderId="47" xfId="0" applyNumberFormat="1" applyFont="1" applyFill="1" applyBorder="1" applyAlignment="1">
      <alignment vertical="center"/>
    </xf>
    <xf numFmtId="3" fontId="16" fillId="9" borderId="47" xfId="0" applyNumberFormat="1" applyFont="1" applyFill="1" applyBorder="1" applyAlignment="1">
      <alignment vertical="center"/>
    </xf>
    <xf numFmtId="3" fontId="0" fillId="13" borderId="3" xfId="0" applyNumberFormat="1" applyFill="1" applyBorder="1" applyAlignment="1">
      <alignment vertical="center"/>
    </xf>
    <xf numFmtId="3" fontId="0" fillId="13" borderId="19" xfId="0" applyNumberFormat="1" applyFill="1" applyBorder="1" applyAlignment="1">
      <alignment vertical="center"/>
    </xf>
    <xf numFmtId="3" fontId="18" fillId="13" borderId="19" xfId="0" applyNumberFormat="1" applyFont="1" applyFill="1" applyBorder="1" applyAlignment="1">
      <alignment vertical="center"/>
    </xf>
    <xf numFmtId="3" fontId="18" fillId="2" borderId="19" xfId="0" applyNumberFormat="1" applyFont="1" applyFill="1" applyBorder="1" applyAlignment="1">
      <alignment vertical="center"/>
    </xf>
    <xf numFmtId="3" fontId="18" fillId="15" borderId="19" xfId="0" applyNumberFormat="1" applyFont="1" applyFill="1" applyBorder="1" applyAlignment="1">
      <alignment vertical="center"/>
    </xf>
    <xf numFmtId="3" fontId="20" fillId="16" borderId="20" xfId="0" applyNumberFormat="1" applyFont="1" applyFill="1" applyBorder="1" applyAlignment="1">
      <alignment vertical="center"/>
    </xf>
    <xf numFmtId="3" fontId="18" fillId="5" borderId="20" xfId="0" applyNumberFormat="1" applyFont="1" applyFill="1" applyBorder="1" applyAlignment="1">
      <alignment vertical="center"/>
    </xf>
    <xf numFmtId="3" fontId="18" fillId="13" borderId="22" xfId="0" applyNumberFormat="1" applyFont="1" applyFill="1" applyBorder="1" applyAlignment="1">
      <alignment vertical="center"/>
    </xf>
    <xf numFmtId="3" fontId="18" fillId="2" borderId="22" xfId="0" applyNumberFormat="1" applyFont="1" applyFill="1" applyBorder="1" applyAlignment="1">
      <alignment vertical="center"/>
    </xf>
    <xf numFmtId="3" fontId="18" fillId="15" borderId="22" xfId="0" applyNumberFormat="1" applyFont="1" applyFill="1" applyBorder="1" applyAlignment="1">
      <alignment vertical="center"/>
    </xf>
    <xf numFmtId="3" fontId="20" fillId="16" borderId="25" xfId="0" applyNumberFormat="1" applyFont="1" applyFill="1" applyBorder="1" applyAlignment="1">
      <alignment vertical="center"/>
    </xf>
    <xf numFmtId="3" fontId="18" fillId="5" borderId="44" xfId="0" applyNumberFormat="1" applyFont="1" applyFill="1" applyBorder="1" applyAlignment="1">
      <alignment vertical="center"/>
    </xf>
    <xf numFmtId="3" fontId="18" fillId="9" borderId="44" xfId="0" applyNumberFormat="1" applyFont="1" applyFill="1" applyBorder="1" applyAlignment="1">
      <alignment vertical="center"/>
    </xf>
    <xf numFmtId="3" fontId="2" fillId="13" borderId="49" xfId="0" applyNumberFormat="1" applyFont="1" applyFill="1" applyBorder="1" applyAlignment="1">
      <alignment vertical="center"/>
    </xf>
    <xf numFmtId="3" fontId="2" fillId="2" borderId="49" xfId="0" applyNumberFormat="1" applyFont="1" applyFill="1" applyBorder="1" applyAlignment="1">
      <alignment vertical="center"/>
    </xf>
    <xf numFmtId="3" fontId="2" fillId="15" borderId="49" xfId="0" applyNumberFormat="1" applyFont="1" applyFill="1" applyBorder="1" applyAlignment="1">
      <alignment vertical="center"/>
    </xf>
    <xf numFmtId="3" fontId="2" fillId="16" borderId="50" xfId="0" applyNumberFormat="1" applyFont="1" applyFill="1" applyBorder="1" applyAlignment="1">
      <alignment vertical="center"/>
    </xf>
    <xf numFmtId="3" fontId="2" fillId="5" borderId="47" xfId="0" applyNumberFormat="1" applyFont="1" applyFill="1" applyBorder="1" applyAlignment="1">
      <alignment vertical="center"/>
    </xf>
    <xf numFmtId="3" fontId="2" fillId="9" borderId="47" xfId="0" applyNumberFormat="1" applyFont="1" applyFill="1" applyBorder="1" applyAlignment="1">
      <alignment vertical="center"/>
    </xf>
    <xf numFmtId="3" fontId="0" fillId="13" borderId="16" xfId="0" applyNumberFormat="1" applyFill="1" applyBorder="1" applyAlignment="1">
      <alignment vertical="center"/>
    </xf>
    <xf numFmtId="3" fontId="15" fillId="16" borderId="17" xfId="0" applyNumberFormat="1" applyFont="1" applyFill="1" applyBorder="1" applyAlignment="1">
      <alignment vertical="center"/>
    </xf>
    <xf numFmtId="3" fontId="15" fillId="5" borderId="41" xfId="0" applyNumberFormat="1" applyFont="1" applyFill="1" applyBorder="1" applyAlignment="1">
      <alignment vertical="center"/>
    </xf>
    <xf numFmtId="3" fontId="20" fillId="16" borderId="17" xfId="0" applyNumberFormat="1" applyFont="1" applyFill="1" applyBorder="1" applyAlignment="1">
      <alignment vertical="center"/>
    </xf>
    <xf numFmtId="3" fontId="18" fillId="5" borderId="43" xfId="0" applyNumberFormat="1" applyFont="1" applyFill="1" applyBorder="1" applyAlignment="1">
      <alignment vertical="center"/>
    </xf>
    <xf numFmtId="3" fontId="18" fillId="9" borderId="43" xfId="0" applyNumberFormat="1" applyFont="1" applyFill="1" applyBorder="1" applyAlignment="1">
      <alignment vertical="center"/>
    </xf>
    <xf numFmtId="3" fontId="20" fillId="5" borderId="44" xfId="0" applyNumberFormat="1" applyFont="1" applyFill="1" applyBorder="1" applyAlignment="1">
      <alignment vertical="center"/>
    </xf>
    <xf numFmtId="3" fontId="20" fillId="9" borderId="44" xfId="0" applyNumberFormat="1" applyFont="1" applyFill="1" applyBorder="1" applyAlignment="1">
      <alignment vertical="center"/>
    </xf>
    <xf numFmtId="3" fontId="21" fillId="3" borderId="46" xfId="0" applyNumberFormat="1" applyFont="1" applyFill="1" applyBorder="1" applyAlignment="1">
      <alignment vertical="center"/>
    </xf>
    <xf numFmtId="3" fontId="15" fillId="12" borderId="29" xfId="0" applyNumberFormat="1" applyFont="1" applyFill="1" applyBorder="1" applyAlignment="1">
      <alignment vertical="center"/>
    </xf>
    <xf numFmtId="3" fontId="15" fillId="5" borderId="29" xfId="0" applyNumberFormat="1" applyFont="1" applyFill="1" applyBorder="1" applyAlignment="1">
      <alignment vertical="center"/>
    </xf>
    <xf numFmtId="3" fontId="15" fillId="12" borderId="65" xfId="0" applyNumberFormat="1" applyFont="1" applyFill="1" applyBorder="1" applyAlignment="1">
      <alignment vertical="center"/>
    </xf>
    <xf numFmtId="3" fontId="15" fillId="5" borderId="65" xfId="0" applyNumberFormat="1" applyFont="1" applyFill="1" applyBorder="1" applyAlignment="1">
      <alignment vertical="center"/>
    </xf>
    <xf numFmtId="3" fontId="18" fillId="12" borderId="65" xfId="0" applyNumberFormat="1" applyFont="1" applyFill="1" applyBorder="1" applyAlignment="1">
      <alignment vertical="center"/>
    </xf>
    <xf numFmtId="3" fontId="18" fillId="5" borderId="65" xfId="0" applyNumberFormat="1" applyFont="1" applyFill="1" applyBorder="1" applyAlignment="1">
      <alignment vertical="center"/>
    </xf>
    <xf numFmtId="3" fontId="20" fillId="12" borderId="65" xfId="0" applyNumberFormat="1" applyFont="1" applyFill="1" applyBorder="1" applyAlignment="1">
      <alignment vertical="center"/>
    </xf>
    <xf numFmtId="3" fontId="20" fillId="5" borderId="65" xfId="0" applyNumberFormat="1" applyFont="1" applyFill="1" applyBorder="1" applyAlignment="1">
      <alignment vertical="center"/>
    </xf>
    <xf numFmtId="3" fontId="20" fillId="9" borderId="43" xfId="0" applyNumberFormat="1" applyFont="1" applyFill="1" applyBorder="1" applyAlignment="1">
      <alignment vertical="center"/>
    </xf>
    <xf numFmtId="3" fontId="18" fillId="12" borderId="56" xfId="0" applyNumberFormat="1" applyFont="1" applyFill="1" applyBorder="1" applyAlignment="1">
      <alignment vertical="center"/>
    </xf>
    <xf numFmtId="3" fontId="20" fillId="12" borderId="66" xfId="0" applyNumberFormat="1" applyFont="1" applyFill="1" applyBorder="1" applyAlignment="1">
      <alignment vertical="center"/>
    </xf>
    <xf numFmtId="3" fontId="20" fillId="5" borderId="66" xfId="0" applyNumberFormat="1" applyFont="1" applyFill="1" applyBorder="1" applyAlignment="1">
      <alignment vertical="center"/>
    </xf>
    <xf numFmtId="3" fontId="22" fillId="13" borderId="49" xfId="0" applyNumberFormat="1" applyFont="1" applyFill="1" applyBorder="1" applyAlignment="1">
      <alignment vertical="center"/>
    </xf>
    <xf numFmtId="3" fontId="22" fillId="2" borderId="49" xfId="0" applyNumberFormat="1" applyFont="1" applyFill="1" applyBorder="1" applyAlignment="1">
      <alignment vertical="center"/>
    </xf>
    <xf numFmtId="3" fontId="22" fillId="15" borderId="49" xfId="0" applyNumberFormat="1" applyFont="1" applyFill="1" applyBorder="1" applyAlignment="1">
      <alignment vertical="center"/>
    </xf>
    <xf numFmtId="3" fontId="22" fillId="16" borderId="50" xfId="0" applyNumberFormat="1" applyFont="1" applyFill="1" applyBorder="1" applyAlignment="1">
      <alignment vertical="center"/>
    </xf>
    <xf numFmtId="3" fontId="22" fillId="12" borderId="26" xfId="0" applyNumberFormat="1" applyFont="1" applyFill="1" applyBorder="1" applyAlignment="1">
      <alignment vertical="center"/>
    </xf>
    <xf numFmtId="3" fontId="22" fillId="5" borderId="47" xfId="0" applyNumberFormat="1" applyFont="1" applyFill="1" applyBorder="1" applyAlignment="1">
      <alignment vertical="center"/>
    </xf>
    <xf numFmtId="3" fontId="22" fillId="9" borderId="47" xfId="0" applyNumberFormat="1" applyFont="1" applyFill="1" applyBorder="1" applyAlignment="1">
      <alignment vertical="center"/>
    </xf>
    <xf numFmtId="3" fontId="18" fillId="13" borderId="16" xfId="0" applyNumberFormat="1" applyFont="1" applyFill="1" applyBorder="1" applyAlignment="1">
      <alignment vertical="center"/>
    </xf>
    <xf numFmtId="3" fontId="18" fillId="2" borderId="16" xfId="0" applyNumberFormat="1" applyFont="1" applyFill="1" applyBorder="1" applyAlignment="1">
      <alignment vertical="center"/>
    </xf>
    <xf numFmtId="3" fontId="18" fillId="15" borderId="16" xfId="0" applyNumberFormat="1" applyFont="1" applyFill="1" applyBorder="1" applyAlignment="1">
      <alignment vertical="center"/>
    </xf>
    <xf numFmtId="3" fontId="0" fillId="16" borderId="17" xfId="0" applyNumberFormat="1" applyFont="1" applyFill="1" applyBorder="1" applyAlignment="1">
      <alignment vertical="center"/>
    </xf>
    <xf numFmtId="3" fontId="20" fillId="5" borderId="41" xfId="0" applyNumberFormat="1" applyFont="1" applyFill="1" applyBorder="1" applyAlignment="1">
      <alignment vertical="center"/>
    </xf>
    <xf numFmtId="3" fontId="20" fillId="9" borderId="41" xfId="0" applyNumberFormat="1" applyFont="1" applyFill="1" applyBorder="1" applyAlignment="1">
      <alignment vertical="center"/>
    </xf>
    <xf numFmtId="3" fontId="20" fillId="5" borderId="43" xfId="0" applyNumberFormat="1" applyFont="1" applyFill="1" applyBorder="1" applyAlignment="1">
      <alignment vertical="center"/>
    </xf>
    <xf numFmtId="3" fontId="18" fillId="16" borderId="17" xfId="0" applyNumberFormat="1" applyFont="1" applyFill="1" applyBorder="1" applyAlignment="1">
      <alignment vertical="center"/>
    </xf>
    <xf numFmtId="3" fontId="17" fillId="13" borderId="49" xfId="0" applyNumberFormat="1" applyFont="1" applyFill="1" applyBorder="1" applyAlignment="1">
      <alignment vertical="center"/>
    </xf>
    <xf numFmtId="3" fontId="17" fillId="2" borderId="49" xfId="0" applyNumberFormat="1" applyFont="1" applyFill="1" applyBorder="1" applyAlignment="1">
      <alignment vertical="center"/>
    </xf>
    <xf numFmtId="3" fontId="17" fillId="15" borderId="49" xfId="0" applyNumberFormat="1" applyFont="1" applyFill="1" applyBorder="1" applyAlignment="1">
      <alignment vertical="center"/>
    </xf>
    <xf numFmtId="3" fontId="17" fillId="16" borderId="50" xfId="0" applyNumberFormat="1" applyFont="1" applyFill="1" applyBorder="1" applyAlignment="1">
      <alignment vertical="center"/>
    </xf>
    <xf numFmtId="3" fontId="17" fillId="5" borderId="47" xfId="0" applyNumberFormat="1" applyFont="1" applyFill="1" applyBorder="1" applyAlignment="1">
      <alignment vertical="center"/>
    </xf>
    <xf numFmtId="3" fontId="17" fillId="9" borderId="47" xfId="0" applyNumberFormat="1" applyFont="1" applyFill="1" applyBorder="1" applyAlignment="1">
      <alignment vertical="center"/>
    </xf>
    <xf numFmtId="3" fontId="16" fillId="3" borderId="40" xfId="0" applyNumberFormat="1" applyFont="1" applyFill="1" applyBorder="1" applyAlignment="1">
      <alignment vertical="center"/>
    </xf>
    <xf numFmtId="3" fontId="18" fillId="13" borderId="52" xfId="0" applyNumberFormat="1" applyFont="1" applyFill="1" applyBorder="1" applyAlignment="1">
      <alignment vertical="center"/>
    </xf>
    <xf numFmtId="3" fontId="18" fillId="2" borderId="52" xfId="0" applyNumberFormat="1" applyFont="1" applyFill="1" applyBorder="1" applyAlignment="1">
      <alignment vertical="center"/>
    </xf>
    <xf numFmtId="3" fontId="18" fillId="15" borderId="52" xfId="0" applyNumberFormat="1" applyFont="1" applyFill="1" applyBorder="1" applyAlignment="1">
      <alignment vertical="center"/>
    </xf>
    <xf numFmtId="3" fontId="21" fillId="16" borderId="58" xfId="0" applyNumberFormat="1" applyFont="1" applyFill="1" applyBorder="1" applyAlignment="1">
      <alignment vertical="center"/>
    </xf>
    <xf numFmtId="3" fontId="21" fillId="5" borderId="36" xfId="0" applyNumberFormat="1" applyFont="1" applyFill="1" applyBorder="1" applyAlignment="1">
      <alignment vertical="center"/>
    </xf>
    <xf numFmtId="3" fontId="20" fillId="9" borderId="36" xfId="0" applyNumberFormat="1" applyFont="1" applyFill="1" applyBorder="1" applyAlignment="1">
      <alignment vertical="center"/>
    </xf>
    <xf numFmtId="3" fontId="21" fillId="9" borderId="36" xfId="0" applyNumberFormat="1" applyFont="1" applyFill="1" applyBorder="1" applyAlignment="1">
      <alignment vertical="center"/>
    </xf>
    <xf numFmtId="3" fontId="14" fillId="16" borderId="17" xfId="0" applyNumberFormat="1" applyFont="1" applyFill="1" applyBorder="1" applyAlignment="1">
      <alignment vertical="center"/>
    </xf>
    <xf numFmtId="3" fontId="21" fillId="5" borderId="41" xfId="0" applyNumberFormat="1" applyFont="1" applyFill="1" applyBorder="1" applyAlignment="1">
      <alignment vertical="center"/>
    </xf>
    <xf numFmtId="3" fontId="21" fillId="9" borderId="41" xfId="0" applyNumberFormat="1" applyFont="1" applyFill="1" applyBorder="1" applyAlignment="1">
      <alignment vertical="center"/>
    </xf>
    <xf numFmtId="3" fontId="2" fillId="13" borderId="19" xfId="0" applyNumberFormat="1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vertical="center"/>
    </xf>
    <xf numFmtId="3" fontId="2" fillId="15" borderId="19" xfId="0" applyNumberFormat="1" applyFont="1" applyFill="1" applyBorder="1" applyAlignment="1">
      <alignment vertical="center"/>
    </xf>
    <xf numFmtId="3" fontId="2" fillId="16" borderId="20" xfId="0" applyNumberFormat="1" applyFont="1" applyFill="1" applyBorder="1" applyAlignment="1">
      <alignment vertical="center"/>
    </xf>
    <xf numFmtId="3" fontId="2" fillId="5" borderId="43" xfId="0" applyNumberFormat="1" applyFont="1" applyFill="1" applyBorder="1" applyAlignment="1">
      <alignment vertical="center"/>
    </xf>
    <xf numFmtId="3" fontId="2" fillId="9" borderId="43" xfId="0" applyNumberFormat="1" applyFont="1" applyFill="1" applyBorder="1" applyAlignment="1">
      <alignment vertical="center"/>
    </xf>
    <xf numFmtId="3" fontId="14" fillId="16" borderId="20" xfId="0" applyNumberFormat="1" applyFont="1" applyFill="1" applyBorder="1" applyAlignment="1">
      <alignment vertical="center"/>
    </xf>
    <xf numFmtId="3" fontId="21" fillId="5" borderId="43" xfId="0" applyNumberFormat="1" applyFont="1" applyFill="1" applyBorder="1" applyAlignment="1">
      <alignment vertical="center"/>
    </xf>
    <xf numFmtId="3" fontId="21" fillId="9" borderId="43" xfId="0" applyNumberFormat="1" applyFont="1" applyFill="1" applyBorder="1" applyAlignment="1">
      <alignment vertical="center"/>
    </xf>
    <xf numFmtId="3" fontId="2" fillId="13" borderId="22" xfId="0" applyNumberFormat="1" applyFont="1" applyFill="1" applyBorder="1" applyAlignment="1">
      <alignment vertical="center"/>
    </xf>
    <xf numFmtId="3" fontId="2" fillId="2" borderId="22" xfId="0" applyNumberFormat="1" applyFont="1" applyFill="1" applyBorder="1" applyAlignment="1">
      <alignment vertical="center"/>
    </xf>
    <xf numFmtId="3" fontId="2" fillId="15" borderId="22" xfId="0" applyNumberFormat="1" applyFont="1" applyFill="1" applyBorder="1" applyAlignment="1">
      <alignment vertical="center"/>
    </xf>
    <xf numFmtId="3" fontId="2" fillId="16" borderId="23" xfId="0" applyNumberFormat="1" applyFont="1" applyFill="1" applyBorder="1" applyAlignment="1">
      <alignment vertical="center"/>
    </xf>
    <xf numFmtId="3" fontId="2" fillId="5" borderId="44" xfId="0" applyNumberFormat="1" applyFont="1" applyFill="1" applyBorder="1" applyAlignment="1">
      <alignment vertical="center"/>
    </xf>
    <xf numFmtId="3" fontId="2" fillId="9" borderId="44" xfId="0" applyNumberFormat="1" applyFont="1" applyFill="1" applyBorder="1" applyAlignment="1">
      <alignment vertical="center"/>
    </xf>
    <xf numFmtId="3" fontId="18" fillId="13" borderId="3" xfId="0" applyNumberFormat="1" applyFont="1" applyFill="1" applyBorder="1" applyAlignment="1">
      <alignment vertical="center"/>
    </xf>
    <xf numFmtId="3" fontId="18" fillId="2" borderId="3" xfId="0" applyNumberFormat="1" applyFont="1" applyFill="1" applyBorder="1" applyAlignment="1">
      <alignment vertical="center"/>
    </xf>
    <xf numFmtId="3" fontId="18" fillId="15" borderId="3" xfId="0" applyNumberFormat="1" applyFont="1" applyFill="1" applyBorder="1" applyAlignment="1">
      <alignment vertical="center"/>
    </xf>
    <xf numFmtId="3" fontId="14" fillId="16" borderId="14" xfId="0" applyNumberFormat="1" applyFont="1" applyFill="1" applyBorder="1" applyAlignment="1">
      <alignment vertical="center"/>
    </xf>
    <xf numFmtId="3" fontId="21" fillId="5" borderId="40" xfId="0" applyNumberFormat="1" applyFont="1" applyFill="1" applyBorder="1" applyAlignment="1">
      <alignment vertical="center"/>
    </xf>
    <xf numFmtId="3" fontId="21" fillId="9" borderId="40" xfId="0" applyNumberFormat="1" applyFont="1" applyFill="1" applyBorder="1" applyAlignment="1">
      <alignment vertical="center"/>
    </xf>
    <xf numFmtId="3" fontId="14" fillId="5" borderId="43" xfId="0" applyNumberFormat="1" applyFont="1" applyFill="1" applyBorder="1" applyAlignment="1">
      <alignment vertical="center"/>
    </xf>
    <xf numFmtId="3" fontId="14" fillId="9" borderId="43" xfId="0" applyNumberFormat="1" applyFont="1" applyFill="1" applyBorder="1" applyAlignment="1">
      <alignment vertical="center"/>
    </xf>
    <xf numFmtId="3" fontId="14" fillId="16" borderId="23" xfId="0" applyNumberFormat="1" applyFont="1" applyFill="1" applyBorder="1" applyAlignment="1">
      <alignment vertical="center"/>
    </xf>
    <xf numFmtId="3" fontId="14" fillId="5" borderId="44" xfId="0" applyNumberFormat="1" applyFont="1" applyFill="1" applyBorder="1" applyAlignment="1">
      <alignment vertical="center"/>
    </xf>
    <xf numFmtId="3" fontId="14" fillId="9" borderId="44" xfId="0" applyNumberFormat="1" applyFont="1" applyFill="1" applyBorder="1" applyAlignment="1">
      <alignment vertical="center"/>
    </xf>
    <xf numFmtId="3" fontId="2" fillId="13" borderId="16" xfId="0" applyNumberFormat="1" applyFont="1" applyFill="1" applyBorder="1" applyAlignment="1">
      <alignment vertical="center"/>
    </xf>
    <xf numFmtId="3" fontId="2" fillId="2" borderId="16" xfId="0" applyNumberFormat="1" applyFont="1" applyFill="1" applyBorder="1" applyAlignment="1">
      <alignment vertical="center"/>
    </xf>
    <xf numFmtId="3" fontId="2" fillId="15" borderId="16" xfId="0" applyNumberFormat="1" applyFont="1" applyFill="1" applyBorder="1" applyAlignment="1">
      <alignment vertical="center"/>
    </xf>
    <xf numFmtId="3" fontId="14" fillId="5" borderId="41" xfId="0" applyNumberFormat="1" applyFont="1" applyFill="1" applyBorder="1" applyAlignment="1">
      <alignment vertical="center"/>
    </xf>
    <xf numFmtId="3" fontId="14" fillId="9" borderId="41" xfId="0" applyNumberFormat="1" applyFont="1" applyFill="1" applyBorder="1" applyAlignment="1">
      <alignment vertical="center"/>
    </xf>
    <xf numFmtId="3" fontId="31" fillId="3" borderId="40" xfId="0" applyNumberFormat="1" applyFont="1" applyFill="1" applyBorder="1" applyAlignment="1">
      <alignment vertical="center"/>
    </xf>
    <xf numFmtId="3" fontId="0" fillId="13" borderId="49" xfId="0" applyNumberFormat="1" applyFont="1" applyFill="1" applyBorder="1" applyAlignment="1">
      <alignment vertical="center"/>
    </xf>
    <xf numFmtId="3" fontId="0" fillId="2" borderId="49" xfId="0" applyNumberFormat="1" applyFont="1" applyFill="1" applyBorder="1" applyAlignment="1">
      <alignment vertical="center"/>
    </xf>
    <xf numFmtId="3" fontId="0" fillId="15" borderId="49" xfId="0" applyNumberFormat="1" applyFont="1" applyFill="1" applyBorder="1" applyAlignment="1">
      <alignment vertical="center"/>
    </xf>
    <xf numFmtId="3" fontId="18" fillId="13" borderId="49" xfId="0" applyNumberFormat="1" applyFont="1" applyFill="1" applyBorder="1" applyAlignment="1">
      <alignment vertical="center"/>
    </xf>
    <xf numFmtId="3" fontId="18" fillId="2" borderId="49" xfId="0" applyNumberFormat="1" applyFont="1" applyFill="1" applyBorder="1" applyAlignment="1">
      <alignment vertical="center"/>
    </xf>
    <xf numFmtId="3" fontId="18" fillId="15" borderId="49" xfId="0" applyNumberFormat="1" applyFont="1" applyFill="1" applyBorder="1" applyAlignment="1">
      <alignment vertical="center"/>
    </xf>
    <xf numFmtId="3" fontId="18" fillId="16" borderId="50" xfId="0" applyNumberFormat="1" applyFont="1" applyFill="1" applyBorder="1" applyAlignment="1">
      <alignment vertical="center"/>
    </xf>
    <xf numFmtId="3" fontId="18" fillId="5" borderId="47" xfId="0" applyNumberFormat="1" applyFont="1" applyFill="1" applyBorder="1" applyAlignment="1">
      <alignment vertical="center"/>
    </xf>
    <xf numFmtId="3" fontId="18" fillId="9" borderId="47" xfId="0" applyNumberFormat="1" applyFont="1" applyFill="1" applyBorder="1" applyAlignment="1">
      <alignment vertical="center"/>
    </xf>
    <xf numFmtId="3" fontId="21" fillId="5" borderId="47" xfId="0" applyNumberFormat="1" applyFont="1" applyFill="1" applyBorder="1" applyAlignment="1">
      <alignment vertical="center"/>
    </xf>
    <xf numFmtId="3" fontId="21" fillId="9" borderId="47" xfId="0" applyNumberFormat="1" applyFont="1" applyFill="1" applyBorder="1" applyAlignment="1">
      <alignment vertical="center"/>
    </xf>
    <xf numFmtId="3" fontId="20" fillId="5" borderId="47" xfId="0" applyNumberFormat="1" applyFont="1" applyFill="1" applyBorder="1" applyAlignment="1">
      <alignment vertical="center"/>
    </xf>
    <xf numFmtId="3" fontId="20" fillId="9" borderId="47" xfId="0" applyNumberFormat="1" applyFont="1" applyFill="1" applyBorder="1" applyAlignment="1">
      <alignment vertical="center"/>
    </xf>
    <xf numFmtId="3" fontId="25" fillId="13" borderId="49" xfId="0" applyNumberFormat="1" applyFont="1" applyFill="1" applyBorder="1" applyAlignment="1">
      <alignment vertical="center"/>
    </xf>
    <xf numFmtId="3" fontId="25" fillId="2" borderId="49" xfId="0" applyNumberFormat="1" applyFont="1" applyFill="1" applyBorder="1" applyAlignment="1">
      <alignment vertical="center"/>
    </xf>
    <xf numFmtId="3" fontId="25" fillId="15" borderId="49" xfId="0" applyNumberFormat="1" applyFont="1" applyFill="1" applyBorder="1" applyAlignment="1">
      <alignment vertical="center"/>
    </xf>
    <xf numFmtId="3" fontId="26" fillId="5" borderId="47" xfId="0" applyNumberFormat="1" applyFont="1" applyFill="1" applyBorder="1" applyAlignment="1">
      <alignment vertical="center"/>
    </xf>
    <xf numFmtId="3" fontId="26" fillId="9" borderId="47" xfId="0" applyNumberFormat="1" applyFont="1" applyFill="1" applyBorder="1" applyAlignment="1">
      <alignment vertical="center"/>
    </xf>
    <xf numFmtId="3" fontId="15" fillId="5" borderId="47" xfId="0" applyNumberFormat="1" applyFont="1" applyFill="1" applyBorder="1" applyAlignment="1">
      <alignment vertical="center"/>
    </xf>
    <xf numFmtId="3" fontId="15" fillId="9" borderId="47" xfId="0" applyNumberFormat="1" applyFont="1" applyFill="1" applyBorder="1" applyAlignment="1">
      <alignment vertical="center"/>
    </xf>
    <xf numFmtId="3" fontId="0" fillId="13" borderId="49" xfId="0" applyNumberFormat="1" applyFill="1" applyBorder="1" applyAlignment="1">
      <alignment vertical="center"/>
    </xf>
    <xf numFmtId="3" fontId="0" fillId="2" borderId="49" xfId="0" applyNumberFormat="1" applyFill="1" applyBorder="1" applyAlignment="1">
      <alignment vertical="center"/>
    </xf>
    <xf numFmtId="3" fontId="0" fillId="15" borderId="49" xfId="0" applyNumberFormat="1" applyFill="1" applyBorder="1" applyAlignment="1">
      <alignment vertical="center"/>
    </xf>
    <xf numFmtId="3" fontId="27" fillId="13" borderId="16" xfId="0" applyNumberFormat="1" applyFont="1" applyFill="1" applyBorder="1" applyAlignment="1">
      <alignment vertical="center"/>
    </xf>
    <xf numFmtId="3" fontId="27" fillId="2" borderId="16" xfId="0" applyNumberFormat="1" applyFont="1" applyFill="1" applyBorder="1" applyAlignment="1">
      <alignment vertical="center"/>
    </xf>
    <xf numFmtId="3" fontId="27" fillId="15" borderId="16" xfId="0" applyNumberFormat="1" applyFont="1" applyFill="1" applyBorder="1" applyAlignment="1">
      <alignment vertical="center"/>
    </xf>
    <xf numFmtId="3" fontId="27" fillId="16" borderId="17" xfId="0" applyNumberFormat="1" applyFont="1" applyFill="1" applyBorder="1" applyAlignment="1">
      <alignment vertical="center"/>
    </xf>
    <xf numFmtId="3" fontId="27" fillId="5" borderId="41" xfId="0" applyNumberFormat="1" applyFont="1" applyFill="1" applyBorder="1" applyAlignment="1">
      <alignment vertical="center"/>
    </xf>
    <xf numFmtId="3" fontId="27" fillId="9" borderId="41" xfId="0" applyNumberFormat="1" applyFont="1" applyFill="1" applyBorder="1" applyAlignment="1">
      <alignment vertical="center"/>
    </xf>
    <xf numFmtId="3" fontId="27" fillId="13" borderId="19" xfId="0" applyNumberFormat="1" applyFont="1" applyFill="1" applyBorder="1" applyAlignment="1">
      <alignment vertical="center"/>
    </xf>
    <xf numFmtId="3" fontId="27" fillId="2" borderId="19" xfId="0" applyNumberFormat="1" applyFont="1" applyFill="1" applyBorder="1" applyAlignment="1">
      <alignment vertical="center"/>
    </xf>
    <xf numFmtId="3" fontId="27" fillId="15" borderId="19" xfId="0" applyNumberFormat="1" applyFont="1" applyFill="1" applyBorder="1" applyAlignment="1">
      <alignment vertical="center"/>
    </xf>
    <xf numFmtId="3" fontId="27" fillId="16" borderId="20" xfId="0" applyNumberFormat="1" applyFont="1" applyFill="1" applyBorder="1" applyAlignment="1">
      <alignment vertical="center"/>
    </xf>
    <xf numFmtId="3" fontId="27" fillId="5" borderId="43" xfId="0" applyNumberFormat="1" applyFont="1" applyFill="1" applyBorder="1" applyAlignment="1">
      <alignment vertical="center"/>
    </xf>
    <xf numFmtId="3" fontId="27" fillId="9" borderId="43" xfId="0" applyNumberFormat="1" applyFont="1" applyFill="1" applyBorder="1" applyAlignment="1">
      <alignment vertical="center"/>
    </xf>
    <xf numFmtId="3" fontId="21" fillId="12" borderId="44" xfId="0" applyNumberFormat="1" applyFont="1" applyFill="1" applyBorder="1" applyAlignment="1">
      <alignment vertical="center"/>
    </xf>
    <xf numFmtId="3" fontId="21" fillId="5" borderId="44" xfId="0" applyNumberFormat="1" applyFont="1" applyFill="1" applyBorder="1" applyAlignment="1">
      <alignment vertical="center"/>
    </xf>
    <xf numFmtId="3" fontId="21" fillId="9" borderId="44" xfId="0" applyNumberFormat="1" applyFont="1" applyFill="1" applyBorder="1" applyAlignment="1">
      <alignment vertical="center"/>
    </xf>
    <xf numFmtId="3" fontId="2" fillId="13" borderId="52" xfId="0" applyNumberFormat="1" applyFont="1" applyFill="1" applyBorder="1" applyAlignment="1">
      <alignment vertical="center"/>
    </xf>
    <xf numFmtId="3" fontId="2" fillId="2" borderId="52" xfId="0" applyNumberFormat="1" applyFont="1" applyFill="1" applyBorder="1" applyAlignment="1">
      <alignment vertical="center"/>
    </xf>
    <xf numFmtId="3" fontId="2" fillId="15" borderId="52" xfId="0" applyNumberFormat="1" applyFont="1" applyFill="1" applyBorder="1" applyAlignment="1">
      <alignment vertical="center"/>
    </xf>
    <xf numFmtId="3" fontId="14" fillId="16" borderId="58" xfId="0" applyNumberFormat="1" applyFont="1" applyFill="1" applyBorder="1" applyAlignment="1">
      <alignment vertical="center"/>
    </xf>
    <xf numFmtId="3" fontId="14" fillId="5" borderId="36" xfId="0" applyNumberFormat="1" applyFont="1" applyFill="1" applyBorder="1" applyAlignment="1">
      <alignment vertical="center"/>
    </xf>
    <xf numFmtId="3" fontId="14" fillId="9" borderId="36" xfId="0" applyNumberFormat="1" applyFont="1" applyFill="1" applyBorder="1" applyAlignment="1">
      <alignment vertical="center"/>
    </xf>
    <xf numFmtId="3" fontId="18" fillId="16" borderId="20" xfId="0" applyNumberFormat="1" applyFont="1" applyFill="1" applyBorder="1" applyAlignment="1">
      <alignment vertical="center"/>
    </xf>
    <xf numFmtId="3" fontId="0" fillId="3" borderId="0" xfId="0" applyNumberFormat="1" applyFill="1"/>
    <xf numFmtId="0" fontId="2" fillId="0" borderId="0" xfId="0" applyFont="1"/>
    <xf numFmtId="0" fontId="29" fillId="0" borderId="0" xfId="0" applyFont="1"/>
    <xf numFmtId="0" fontId="4" fillId="3" borderId="26" xfId="1" applyFont="1" applyFill="1" applyBorder="1" applyAlignment="1">
      <alignment horizontal="center" vertical="center" wrapText="1"/>
    </xf>
    <xf numFmtId="3" fontId="14" fillId="17" borderId="9" xfId="0" applyNumberFormat="1" applyFont="1" applyFill="1" applyBorder="1" applyAlignment="1">
      <alignment horizontal="center" vertical="center" wrapText="1"/>
    </xf>
    <xf numFmtId="3" fontId="15" fillId="17" borderId="3" xfId="0" applyNumberFormat="1" applyFont="1" applyFill="1" applyBorder="1" applyAlignment="1">
      <alignment vertical="center"/>
    </xf>
    <xf numFmtId="3" fontId="15" fillId="17" borderId="16" xfId="0" applyNumberFormat="1" applyFont="1" applyFill="1" applyBorder="1" applyAlignment="1">
      <alignment vertical="center"/>
    </xf>
    <xf numFmtId="3" fontId="15" fillId="17" borderId="19" xfId="0" applyNumberFormat="1" applyFont="1" applyFill="1" applyBorder="1" applyAlignment="1">
      <alignment vertical="center"/>
    </xf>
    <xf numFmtId="3" fontId="15" fillId="17" borderId="22" xfId="0" applyNumberFormat="1" applyFont="1" applyFill="1" applyBorder="1" applyAlignment="1">
      <alignment vertical="center"/>
    </xf>
    <xf numFmtId="3" fontId="14" fillId="17" borderId="49" xfId="0" applyNumberFormat="1" applyFont="1" applyFill="1" applyBorder="1" applyAlignment="1">
      <alignment vertical="center"/>
    </xf>
    <xf numFmtId="3" fontId="15" fillId="17" borderId="9" xfId="0" applyNumberFormat="1" applyFont="1" applyFill="1" applyBorder="1" applyAlignment="1">
      <alignment vertical="center"/>
    </xf>
    <xf numFmtId="3" fontId="16" fillId="17" borderId="49" xfId="0" applyNumberFormat="1" applyFont="1" applyFill="1" applyBorder="1" applyAlignment="1">
      <alignment vertical="center"/>
    </xf>
    <xf numFmtId="3" fontId="18" fillId="17" borderId="19" xfId="0" applyNumberFormat="1" applyFont="1" applyFill="1" applyBorder="1" applyAlignment="1">
      <alignment vertical="center"/>
    </xf>
    <xf numFmtId="3" fontId="18" fillId="17" borderId="63" xfId="0" applyNumberFormat="1" applyFont="1" applyFill="1" applyBorder="1" applyAlignment="1">
      <alignment vertical="center"/>
    </xf>
    <xf numFmtId="3" fontId="2" fillId="17" borderId="64" xfId="0" applyNumberFormat="1" applyFont="1" applyFill="1" applyBorder="1" applyAlignment="1">
      <alignment vertical="center"/>
    </xf>
    <xf numFmtId="3" fontId="18" fillId="17" borderId="62" xfId="0" applyNumberFormat="1" applyFont="1" applyFill="1" applyBorder="1" applyAlignment="1">
      <alignment vertical="center"/>
    </xf>
    <xf numFmtId="3" fontId="20" fillId="17" borderId="22" xfId="0" applyNumberFormat="1" applyFont="1" applyFill="1" applyBorder="1" applyAlignment="1">
      <alignment vertical="center"/>
    </xf>
    <xf numFmtId="3" fontId="22" fillId="17" borderId="64" xfId="0" applyNumberFormat="1" applyFont="1" applyFill="1" applyBorder="1" applyAlignment="1">
      <alignment vertical="center"/>
    </xf>
    <xf numFmtId="3" fontId="0" fillId="17" borderId="16" xfId="0" applyNumberFormat="1" applyFont="1" applyFill="1" applyBorder="1" applyAlignment="1">
      <alignment vertical="center"/>
    </xf>
    <xf numFmtId="3" fontId="0" fillId="17" borderId="19" xfId="0" applyNumberFormat="1" applyFont="1" applyFill="1" applyBorder="1" applyAlignment="1">
      <alignment vertical="center"/>
    </xf>
    <xf numFmtId="3" fontId="2" fillId="17" borderId="49" xfId="0" applyNumberFormat="1" applyFont="1" applyFill="1" applyBorder="1" applyAlignment="1">
      <alignment vertical="center"/>
    </xf>
    <xf numFmtId="3" fontId="17" fillId="17" borderId="49" xfId="0" applyNumberFormat="1" applyFont="1" applyFill="1" applyBorder="1" applyAlignment="1">
      <alignment vertical="center"/>
    </xf>
    <xf numFmtId="3" fontId="21" fillId="17" borderId="52" xfId="0" applyNumberFormat="1" applyFont="1" applyFill="1" applyBorder="1" applyAlignment="1">
      <alignment vertical="center"/>
    </xf>
    <xf numFmtId="3" fontId="14" fillId="17" borderId="16" xfId="0" applyNumberFormat="1" applyFont="1" applyFill="1" applyBorder="1" applyAlignment="1">
      <alignment vertical="center"/>
    </xf>
    <xf numFmtId="3" fontId="2" fillId="17" borderId="19" xfId="0" applyNumberFormat="1" applyFont="1" applyFill="1" applyBorder="1" applyAlignment="1">
      <alignment vertical="center"/>
    </xf>
    <xf numFmtId="3" fontId="14" fillId="17" borderId="19" xfId="0" applyNumberFormat="1" applyFont="1" applyFill="1" applyBorder="1" applyAlignment="1">
      <alignment vertical="center"/>
    </xf>
    <xf numFmtId="3" fontId="2" fillId="17" borderId="22" xfId="0" applyNumberFormat="1" applyFont="1" applyFill="1" applyBorder="1" applyAlignment="1">
      <alignment vertical="center"/>
    </xf>
    <xf numFmtId="3" fontId="14" fillId="17" borderId="3" xfId="0" applyNumberFormat="1" applyFont="1" applyFill="1" applyBorder="1" applyAlignment="1">
      <alignment vertical="center"/>
    </xf>
    <xf numFmtId="3" fontId="14" fillId="17" borderId="22" xfId="0" applyNumberFormat="1" applyFont="1" applyFill="1" applyBorder="1" applyAlignment="1">
      <alignment vertical="center"/>
    </xf>
    <xf numFmtId="3" fontId="18" fillId="17" borderId="49" xfId="0" applyNumberFormat="1" applyFont="1" applyFill="1" applyBorder="1" applyAlignment="1">
      <alignment vertical="center"/>
    </xf>
    <xf numFmtId="3" fontId="27" fillId="17" borderId="16" xfId="0" applyNumberFormat="1" applyFont="1" applyFill="1" applyBorder="1" applyAlignment="1">
      <alignment vertical="center"/>
    </xf>
    <xf numFmtId="3" fontId="27" fillId="17" borderId="19" xfId="0" applyNumberFormat="1" applyFont="1" applyFill="1" applyBorder="1" applyAlignment="1">
      <alignment vertical="center"/>
    </xf>
    <xf numFmtId="3" fontId="14" fillId="17" borderId="52" xfId="0" applyNumberFormat="1" applyFont="1" applyFill="1" applyBorder="1" applyAlignment="1">
      <alignment vertical="center"/>
    </xf>
    <xf numFmtId="3" fontId="0" fillId="0" borderId="0" xfId="0" applyNumberFormat="1" applyFont="1"/>
    <xf numFmtId="3" fontId="32" fillId="0" borderId="0" xfId="0" applyNumberFormat="1" applyFont="1"/>
    <xf numFmtId="0" fontId="4" fillId="18" borderId="13" xfId="1" applyFont="1" applyFill="1" applyBorder="1" applyAlignment="1">
      <alignment horizontal="center" vertical="center" wrapText="1"/>
    </xf>
    <xf numFmtId="0" fontId="4" fillId="18" borderId="3" xfId="1" applyNumberFormat="1" applyFont="1" applyFill="1" applyBorder="1" applyAlignment="1">
      <alignment vertical="center" wrapText="1"/>
    </xf>
    <xf numFmtId="3" fontId="4" fillId="18" borderId="3" xfId="1" applyNumberFormat="1" applyFont="1" applyFill="1" applyBorder="1" applyAlignment="1">
      <alignment vertical="center"/>
    </xf>
    <xf numFmtId="3" fontId="4" fillId="18" borderId="3" xfId="1" applyNumberFormat="1" applyFont="1" applyFill="1" applyBorder="1" applyAlignment="1">
      <alignment horizontal="right" vertical="center" wrapText="1"/>
    </xf>
    <xf numFmtId="3" fontId="4" fillId="18" borderId="14" xfId="1" applyNumberFormat="1" applyFont="1" applyFill="1" applyBorder="1" applyAlignment="1">
      <alignment horizontal="right" vertical="center" wrapText="1"/>
    </xf>
    <xf numFmtId="0" fontId="4" fillId="18" borderId="18" xfId="1" applyFont="1" applyFill="1" applyBorder="1" applyAlignment="1">
      <alignment horizontal="center" vertical="center" wrapText="1"/>
    </xf>
    <xf numFmtId="0" fontId="4" fillId="18" borderId="19" xfId="1" applyNumberFormat="1" applyFont="1" applyFill="1" applyBorder="1" applyAlignment="1">
      <alignment vertical="center" wrapText="1"/>
    </xf>
    <xf numFmtId="3" fontId="4" fillId="18" borderId="19" xfId="1" applyNumberFormat="1" applyFont="1" applyFill="1" applyBorder="1" applyAlignment="1">
      <alignment vertical="center"/>
    </xf>
    <xf numFmtId="3" fontId="4" fillId="18" borderId="19" xfId="1" applyNumberFormat="1" applyFont="1" applyFill="1" applyBorder="1" applyAlignment="1">
      <alignment horizontal="right" vertical="center" wrapText="1"/>
    </xf>
    <xf numFmtId="3" fontId="4" fillId="18" borderId="20" xfId="1" applyNumberFormat="1" applyFont="1" applyFill="1" applyBorder="1" applyAlignment="1">
      <alignment horizontal="right" vertical="center" wrapText="1"/>
    </xf>
    <xf numFmtId="0" fontId="4" fillId="18" borderId="24" xfId="1" applyFont="1" applyFill="1" applyBorder="1" applyAlignment="1">
      <alignment horizontal="center" vertical="center" wrapText="1"/>
    </xf>
    <xf numFmtId="3" fontId="4" fillId="18" borderId="9" xfId="1" applyNumberFormat="1" applyFont="1" applyFill="1" applyBorder="1" applyAlignment="1">
      <alignment vertical="center"/>
    </xf>
    <xf numFmtId="3" fontId="4" fillId="18" borderId="9" xfId="1" applyNumberFormat="1" applyFont="1" applyFill="1" applyBorder="1" applyAlignment="1">
      <alignment horizontal="right" vertical="center" wrapText="1"/>
    </xf>
    <xf numFmtId="3" fontId="4" fillId="18" borderId="25" xfId="1" applyNumberFormat="1" applyFont="1" applyFill="1" applyBorder="1" applyAlignment="1">
      <alignment horizontal="right" vertical="center" wrapText="1"/>
    </xf>
    <xf numFmtId="0" fontId="4" fillId="3" borderId="22" xfId="1" applyFont="1" applyFill="1" applyBorder="1" applyAlignment="1">
      <alignment horizontal="center" vertical="center" wrapText="1"/>
    </xf>
    <xf numFmtId="0" fontId="7" fillId="3" borderId="22" xfId="1" applyFont="1" applyFill="1" applyBorder="1" applyAlignment="1">
      <alignment horizontal="left" vertical="center" wrapText="1"/>
    </xf>
    <xf numFmtId="0" fontId="10" fillId="3" borderId="22" xfId="1" applyFont="1" applyFill="1" applyBorder="1" applyAlignment="1">
      <alignment horizontal="center" vertical="center" wrapText="1"/>
    </xf>
    <xf numFmtId="0" fontId="4" fillId="3" borderId="22" xfId="1" applyFont="1" applyFill="1" applyBorder="1" applyAlignment="1">
      <alignment horizontal="right" vertical="center" wrapText="1"/>
    </xf>
    <xf numFmtId="3" fontId="10" fillId="3" borderId="22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0" fillId="0" borderId="30" xfId="0" applyBorder="1" applyAlignment="1">
      <alignment horizontal="left"/>
    </xf>
    <xf numFmtId="3" fontId="0" fillId="10" borderId="16" xfId="0" applyNumberFormat="1" applyFill="1" applyBorder="1" applyAlignment="1">
      <alignment vertical="center"/>
    </xf>
    <xf numFmtId="3" fontId="15" fillId="8" borderId="45" xfId="0" applyNumberFormat="1" applyFont="1" applyFill="1" applyBorder="1" applyAlignment="1">
      <alignment vertical="center"/>
    </xf>
    <xf numFmtId="3" fontId="15" fillId="8" borderId="9" xfId="0" applyNumberFormat="1" applyFont="1" applyFill="1" applyBorder="1" applyAlignment="1">
      <alignment vertical="center"/>
    </xf>
    <xf numFmtId="3" fontId="18" fillId="10" borderId="24" xfId="0" applyNumberFormat="1" applyFont="1" applyFill="1" applyBorder="1" applyAlignment="1">
      <alignment vertical="center"/>
    </xf>
    <xf numFmtId="3" fontId="18" fillId="10" borderId="9" xfId="0" applyNumberFormat="1" applyFont="1" applyFill="1" applyBorder="1" applyAlignment="1">
      <alignment vertical="center"/>
    </xf>
    <xf numFmtId="3" fontId="18" fillId="10" borderId="25" xfId="0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3" fontId="28" fillId="0" borderId="0" xfId="0" applyNumberFormat="1" applyFont="1" applyAlignment="1">
      <alignment vertical="center"/>
    </xf>
    <xf numFmtId="165" fontId="0" fillId="0" borderId="0" xfId="0" applyNumberFormat="1" applyAlignment="1">
      <alignment horizontal="center" vertical="center"/>
    </xf>
    <xf numFmtId="0" fontId="23" fillId="19" borderId="47" xfId="0" applyFont="1" applyFill="1" applyBorder="1" applyAlignment="1">
      <alignment vertical="center" wrapText="1"/>
    </xf>
    <xf numFmtId="3" fontId="23" fillId="19" borderId="48" xfId="0" applyNumberFormat="1" applyFont="1" applyFill="1" applyBorder="1" applyAlignment="1">
      <alignment vertical="center"/>
    </xf>
    <xf numFmtId="3" fontId="23" fillId="19" borderId="49" xfId="0" applyNumberFormat="1" applyFont="1" applyFill="1" applyBorder="1" applyAlignment="1">
      <alignment vertical="center"/>
    </xf>
    <xf numFmtId="3" fontId="23" fillId="19" borderId="50" xfId="0" applyNumberFormat="1" applyFont="1" applyFill="1" applyBorder="1" applyAlignment="1">
      <alignment vertical="center"/>
    </xf>
    <xf numFmtId="3" fontId="23" fillId="19" borderId="34" xfId="0" applyNumberFormat="1" applyFont="1" applyFill="1" applyBorder="1" applyAlignment="1">
      <alignment vertical="center"/>
    </xf>
    <xf numFmtId="3" fontId="23" fillId="19" borderId="47" xfId="0" applyNumberFormat="1" applyFont="1" applyFill="1" applyBorder="1" applyAlignment="1">
      <alignment vertical="center"/>
    </xf>
    <xf numFmtId="3" fontId="24" fillId="19" borderId="47" xfId="0" applyNumberFormat="1" applyFont="1" applyFill="1" applyBorder="1" applyAlignment="1">
      <alignment vertical="center"/>
    </xf>
    <xf numFmtId="3" fontId="23" fillId="19" borderId="53" xfId="0" applyNumberFormat="1" applyFont="1" applyFill="1" applyBorder="1" applyAlignment="1">
      <alignment vertical="center"/>
    </xf>
    <xf numFmtId="3" fontId="18" fillId="20" borderId="15" xfId="0" applyNumberFormat="1" applyFont="1" applyFill="1" applyBorder="1" applyAlignment="1">
      <alignment vertical="center"/>
    </xf>
    <xf numFmtId="3" fontId="18" fillId="20" borderId="16" xfId="0" applyNumberFormat="1" applyFont="1" applyFill="1" applyBorder="1" applyAlignment="1">
      <alignment vertical="center"/>
    </xf>
    <xf numFmtId="3" fontId="18" fillId="20" borderId="18" xfId="0" applyNumberFormat="1" applyFont="1" applyFill="1" applyBorder="1" applyAlignment="1">
      <alignment vertical="center"/>
    </xf>
    <xf numFmtId="3" fontId="18" fillId="20" borderId="19" xfId="0" applyNumberFormat="1" applyFont="1" applyFill="1" applyBorder="1" applyAlignment="1">
      <alignment vertical="center"/>
    </xf>
    <xf numFmtId="3" fontId="2" fillId="20" borderId="18" xfId="0" applyNumberFormat="1" applyFont="1" applyFill="1" applyBorder="1" applyAlignment="1">
      <alignment vertical="center"/>
    </xf>
    <xf numFmtId="3" fontId="2" fillId="20" borderId="19" xfId="0" applyNumberFormat="1" applyFont="1" applyFill="1" applyBorder="1" applyAlignment="1">
      <alignment vertical="center"/>
    </xf>
    <xf numFmtId="3" fontId="2" fillId="20" borderId="21" xfId="0" applyNumberFormat="1" applyFont="1" applyFill="1" applyBorder="1" applyAlignment="1">
      <alignment vertical="center"/>
    </xf>
    <xf numFmtId="3" fontId="2" fillId="20" borderId="22" xfId="0" applyNumberFormat="1" applyFont="1" applyFill="1" applyBorder="1" applyAlignment="1">
      <alignment vertical="center"/>
    </xf>
    <xf numFmtId="3" fontId="17" fillId="20" borderId="48" xfId="0" applyNumberFormat="1" applyFont="1" applyFill="1" applyBorder="1" applyAlignment="1">
      <alignment vertical="center"/>
    </xf>
    <xf numFmtId="3" fontId="17" fillId="20" borderId="49" xfId="0" applyNumberFormat="1" applyFont="1" applyFill="1" applyBorder="1" applyAlignment="1">
      <alignment vertical="center"/>
    </xf>
    <xf numFmtId="3" fontId="18" fillId="20" borderId="48" xfId="0" applyNumberFormat="1" applyFont="1" applyFill="1" applyBorder="1" applyAlignment="1">
      <alignment vertical="center"/>
    </xf>
    <xf numFmtId="3" fontId="18" fillId="20" borderId="49" xfId="0" applyNumberFormat="1" applyFont="1" applyFill="1" applyBorder="1" applyAlignment="1">
      <alignment vertical="center"/>
    </xf>
    <xf numFmtId="3" fontId="2" fillId="20" borderId="48" xfId="0" applyNumberFormat="1" applyFont="1" applyFill="1" applyBorder="1" applyAlignment="1">
      <alignment vertical="center"/>
    </xf>
    <xf numFmtId="3" fontId="2" fillId="20" borderId="49" xfId="0" applyNumberFormat="1" applyFont="1" applyFill="1" applyBorder="1" applyAlignment="1">
      <alignment vertical="center"/>
    </xf>
    <xf numFmtId="3" fontId="25" fillId="20" borderId="48" xfId="0" applyNumberFormat="1" applyFont="1" applyFill="1" applyBorder="1" applyAlignment="1">
      <alignment vertical="center"/>
    </xf>
    <xf numFmtId="3" fontId="25" fillId="20" borderId="49" xfId="0" applyNumberFormat="1" applyFont="1" applyFill="1" applyBorder="1" applyAlignment="1">
      <alignment vertical="center"/>
    </xf>
    <xf numFmtId="3" fontId="0" fillId="20" borderId="48" xfId="0" applyNumberFormat="1" applyFont="1" applyFill="1" applyBorder="1" applyAlignment="1">
      <alignment vertical="center"/>
    </xf>
    <xf numFmtId="3" fontId="0" fillId="20" borderId="49" xfId="0" applyNumberFormat="1" applyFont="1" applyFill="1" applyBorder="1" applyAlignment="1">
      <alignment vertical="center"/>
    </xf>
    <xf numFmtId="3" fontId="0" fillId="20" borderId="48" xfId="0" applyNumberFormat="1" applyFill="1" applyBorder="1" applyAlignment="1">
      <alignment vertical="center"/>
    </xf>
    <xf numFmtId="3" fontId="0" fillId="20" borderId="49" xfId="0" applyNumberFormat="1" applyFill="1" applyBorder="1" applyAlignment="1">
      <alignment vertical="center"/>
    </xf>
    <xf numFmtId="3" fontId="27" fillId="20" borderId="15" xfId="0" applyNumberFormat="1" applyFont="1" applyFill="1" applyBorder="1" applyAlignment="1">
      <alignment vertical="center"/>
    </xf>
    <xf numFmtId="3" fontId="27" fillId="20" borderId="16" xfId="0" applyNumberFormat="1" applyFont="1" applyFill="1" applyBorder="1" applyAlignment="1">
      <alignment vertical="center"/>
    </xf>
    <xf numFmtId="3" fontId="27" fillId="20" borderId="18" xfId="0" applyNumberFormat="1" applyFont="1" applyFill="1" applyBorder="1" applyAlignment="1">
      <alignment vertical="center"/>
    </xf>
    <xf numFmtId="3" fontId="27" fillId="20" borderId="19" xfId="0" applyNumberFormat="1" applyFont="1" applyFill="1" applyBorder="1" applyAlignment="1">
      <alignment vertical="center"/>
    </xf>
    <xf numFmtId="3" fontId="18" fillId="20" borderId="21" xfId="0" applyNumberFormat="1" applyFont="1" applyFill="1" applyBorder="1" applyAlignment="1">
      <alignment vertical="center"/>
    </xf>
    <xf numFmtId="3" fontId="18" fillId="20" borderId="22" xfId="0" applyNumberFormat="1" applyFont="1" applyFill="1" applyBorder="1" applyAlignment="1">
      <alignment vertical="center"/>
    </xf>
    <xf numFmtId="3" fontId="2" fillId="20" borderId="15" xfId="0" applyNumberFormat="1" applyFont="1" applyFill="1" applyBorder="1" applyAlignment="1">
      <alignment vertical="center"/>
    </xf>
    <xf numFmtId="3" fontId="2" fillId="20" borderId="16" xfId="0" applyNumberFormat="1" applyFont="1" applyFill="1" applyBorder="1" applyAlignment="1">
      <alignment vertical="center"/>
    </xf>
    <xf numFmtId="3" fontId="2" fillId="20" borderId="51" xfId="0" applyNumberFormat="1" applyFont="1" applyFill="1" applyBorder="1" applyAlignment="1">
      <alignment vertical="center"/>
    </xf>
    <xf numFmtId="3" fontId="2" fillId="20" borderId="52" xfId="0" applyNumberFormat="1" applyFont="1" applyFill="1" applyBorder="1" applyAlignment="1">
      <alignment vertical="center"/>
    </xf>
    <xf numFmtId="3" fontId="0" fillId="20" borderId="15" xfId="0" applyNumberFormat="1" applyFill="1" applyBorder="1" applyAlignment="1">
      <alignment vertical="center"/>
    </xf>
    <xf numFmtId="3" fontId="0" fillId="20" borderId="16" xfId="0" applyNumberFormat="1" applyFill="1" applyBorder="1" applyAlignment="1">
      <alignment vertical="center"/>
    </xf>
    <xf numFmtId="3" fontId="0" fillId="20" borderId="18" xfId="0" applyNumberFormat="1" applyFill="1" applyBorder="1" applyAlignment="1">
      <alignment vertical="center"/>
    </xf>
    <xf numFmtId="3" fontId="0" fillId="20" borderId="19" xfId="0" applyNumberFormat="1" applyFill="1" applyBorder="1" applyAlignment="1">
      <alignment vertical="center"/>
    </xf>
    <xf numFmtId="3" fontId="14" fillId="20" borderId="24" xfId="0" applyNumberFormat="1" applyFont="1" applyFill="1" applyBorder="1" applyAlignment="1">
      <alignment horizontal="center" vertical="center" wrapText="1"/>
    </xf>
    <xf numFmtId="3" fontId="14" fillId="20" borderId="9" xfId="0" applyNumberFormat="1" applyFont="1" applyFill="1" applyBorder="1" applyAlignment="1">
      <alignment horizontal="center" vertical="center" wrapText="1"/>
    </xf>
    <xf numFmtId="3" fontId="14" fillId="20" borderId="68" xfId="0" applyNumberFormat="1" applyFont="1" applyFill="1" applyBorder="1" applyAlignment="1">
      <alignment horizontal="center" vertical="center" wrapText="1"/>
    </xf>
    <xf numFmtId="3" fontId="0" fillId="20" borderId="21" xfId="0" applyNumberFormat="1" applyFill="1" applyBorder="1" applyAlignment="1">
      <alignment vertical="center"/>
    </xf>
    <xf numFmtId="3" fontId="0" fillId="20" borderId="22" xfId="0" applyNumberFormat="1" applyFill="1" applyBorder="1" applyAlignment="1">
      <alignment vertical="center"/>
    </xf>
    <xf numFmtId="3" fontId="14" fillId="20" borderId="48" xfId="0" applyNumberFormat="1" applyFont="1" applyFill="1" applyBorder="1" applyAlignment="1">
      <alignment vertical="center"/>
    </xf>
    <xf numFmtId="3" fontId="14" fillId="20" borderId="49" xfId="0" applyNumberFormat="1" applyFont="1" applyFill="1" applyBorder="1" applyAlignment="1">
      <alignment vertical="center"/>
    </xf>
    <xf numFmtId="3" fontId="15" fillId="20" borderId="21" xfId="0" applyNumberFormat="1" applyFont="1" applyFill="1" applyBorder="1" applyAlignment="1">
      <alignment vertical="center"/>
    </xf>
    <xf numFmtId="3" fontId="14" fillId="20" borderId="22" xfId="0" applyNumberFormat="1" applyFont="1" applyFill="1" applyBorder="1" applyAlignment="1">
      <alignment vertical="center"/>
    </xf>
    <xf numFmtId="3" fontId="15" fillId="20" borderId="22" xfId="0" applyNumberFormat="1" applyFont="1" applyFill="1" applyBorder="1" applyAlignment="1">
      <alignment vertical="center"/>
    </xf>
    <xf numFmtId="3" fontId="14" fillId="20" borderId="21" xfId="0" applyNumberFormat="1" applyFont="1" applyFill="1" applyBorder="1" applyAlignment="1">
      <alignment vertical="center"/>
    </xf>
    <xf numFmtId="3" fontId="16" fillId="20" borderId="48" xfId="0" applyNumberFormat="1" applyFont="1" applyFill="1" applyBorder="1" applyAlignment="1">
      <alignment vertical="center"/>
    </xf>
    <xf numFmtId="3" fontId="16" fillId="20" borderId="49" xfId="0" applyNumberFormat="1" applyFont="1" applyFill="1" applyBorder="1" applyAlignment="1">
      <alignment vertical="center"/>
    </xf>
    <xf numFmtId="3" fontId="0" fillId="20" borderId="13" xfId="0" applyNumberFormat="1" applyFill="1" applyBorder="1" applyAlignment="1">
      <alignment vertical="center"/>
    </xf>
    <xf numFmtId="3" fontId="0" fillId="20" borderId="3" xfId="0" applyNumberFormat="1" applyFill="1" applyBorder="1" applyAlignment="1">
      <alignment vertical="center"/>
    </xf>
    <xf numFmtId="3" fontId="0" fillId="20" borderId="24" xfId="0" applyNumberFormat="1" applyFill="1" applyBorder="1" applyAlignment="1">
      <alignment vertical="center"/>
    </xf>
    <xf numFmtId="3" fontId="0" fillId="20" borderId="9" xfId="0" applyNumberFormat="1" applyFill="1" applyBorder="1" applyAlignment="1">
      <alignment vertical="center"/>
    </xf>
    <xf numFmtId="3" fontId="22" fillId="20" borderId="48" xfId="0" applyNumberFormat="1" applyFont="1" applyFill="1" applyBorder="1" applyAlignment="1">
      <alignment vertical="center"/>
    </xf>
    <xf numFmtId="3" fontId="22" fillId="20" borderId="49" xfId="0" applyNumberFormat="1" applyFont="1" applyFill="1" applyBorder="1" applyAlignment="1">
      <alignment vertical="center"/>
    </xf>
    <xf numFmtId="3" fontId="18" fillId="20" borderId="51" xfId="0" applyNumberFormat="1" applyFont="1" applyFill="1" applyBorder="1" applyAlignment="1">
      <alignment vertical="center"/>
    </xf>
    <xf numFmtId="3" fontId="18" fillId="20" borderId="52" xfId="0" applyNumberFormat="1" applyFont="1" applyFill="1" applyBorder="1" applyAlignment="1">
      <alignment vertical="center"/>
    </xf>
    <xf numFmtId="3" fontId="18" fillId="20" borderId="13" xfId="0" applyNumberFormat="1" applyFont="1" applyFill="1" applyBorder="1" applyAlignment="1">
      <alignment vertical="center"/>
    </xf>
    <xf numFmtId="3" fontId="18" fillId="20" borderId="3" xfId="0" applyNumberFormat="1" applyFont="1" applyFill="1" applyBorder="1" applyAlignment="1">
      <alignment vertical="center"/>
    </xf>
    <xf numFmtId="3" fontId="15" fillId="2" borderId="22" xfId="0" applyNumberFormat="1" applyFont="1" applyFill="1" applyBorder="1" applyAlignment="1">
      <alignment vertical="center"/>
    </xf>
    <xf numFmtId="3" fontId="0" fillId="13" borderId="22" xfId="0" applyNumberFormat="1" applyFill="1" applyBorder="1" applyAlignment="1">
      <alignment vertical="center"/>
    </xf>
    <xf numFmtId="3" fontId="14" fillId="13" borderId="49" xfId="0" applyNumberFormat="1" applyFont="1" applyFill="1" applyBorder="1" applyAlignment="1">
      <alignment vertical="center"/>
    </xf>
    <xf numFmtId="3" fontId="14" fillId="13" borderId="22" xfId="0" applyNumberFormat="1" applyFont="1" applyFill="1" applyBorder="1" applyAlignment="1">
      <alignment vertical="center"/>
    </xf>
    <xf numFmtId="3" fontId="16" fillId="13" borderId="49" xfId="0" applyNumberFormat="1" applyFont="1" applyFill="1" applyBorder="1" applyAlignment="1">
      <alignment vertical="center"/>
    </xf>
    <xf numFmtId="3" fontId="0" fillId="13" borderId="9" xfId="0" applyNumberFormat="1" applyFill="1" applyBorder="1" applyAlignment="1">
      <alignment vertical="center"/>
    </xf>
    <xf numFmtId="3" fontId="14" fillId="18" borderId="9" xfId="0" applyNumberFormat="1" applyFont="1" applyFill="1" applyBorder="1" applyAlignment="1">
      <alignment horizontal="center" vertical="center" wrapText="1"/>
    </xf>
    <xf numFmtId="3" fontId="0" fillId="18" borderId="16" xfId="0" applyNumberFormat="1" applyFill="1" applyBorder="1" applyAlignment="1">
      <alignment vertical="center"/>
    </xf>
    <xf numFmtId="3" fontId="0" fillId="18" borderId="19" xfId="0" applyNumberFormat="1" applyFill="1" applyBorder="1" applyAlignment="1">
      <alignment vertical="center"/>
    </xf>
    <xf numFmtId="3" fontId="0" fillId="18" borderId="22" xfId="0" applyNumberFormat="1" applyFill="1" applyBorder="1" applyAlignment="1">
      <alignment vertical="center"/>
    </xf>
    <xf numFmtId="3" fontId="14" fillId="18" borderId="49" xfId="0" applyNumberFormat="1" applyFont="1" applyFill="1" applyBorder="1" applyAlignment="1">
      <alignment vertical="center"/>
    </xf>
    <xf numFmtId="3" fontId="14" fillId="18" borderId="22" xfId="0" applyNumberFormat="1" applyFont="1" applyFill="1" applyBorder="1" applyAlignment="1">
      <alignment vertical="center"/>
    </xf>
    <xf numFmtId="3" fontId="16" fillId="18" borderId="49" xfId="0" applyNumberFormat="1" applyFont="1" applyFill="1" applyBorder="1" applyAlignment="1">
      <alignment vertical="center"/>
    </xf>
    <xf numFmtId="3" fontId="0" fillId="18" borderId="3" xfId="0" applyNumberFormat="1" applyFill="1" applyBorder="1" applyAlignment="1">
      <alignment vertical="center"/>
    </xf>
    <xf numFmtId="3" fontId="0" fillId="18" borderId="9" xfId="0" applyNumberFormat="1" applyFill="1" applyBorder="1" applyAlignment="1">
      <alignment vertical="center"/>
    </xf>
    <xf numFmtId="3" fontId="18" fillId="18" borderId="19" xfId="0" applyNumberFormat="1" applyFont="1" applyFill="1" applyBorder="1" applyAlignment="1">
      <alignment vertical="center"/>
    </xf>
    <xf numFmtId="3" fontId="18" fillId="18" borderId="22" xfId="0" applyNumberFormat="1" applyFont="1" applyFill="1" applyBorder="1" applyAlignment="1">
      <alignment vertical="center"/>
    </xf>
    <xf numFmtId="3" fontId="2" fillId="18" borderId="49" xfId="0" applyNumberFormat="1" applyFont="1" applyFill="1" applyBorder="1" applyAlignment="1">
      <alignment vertical="center"/>
    </xf>
    <xf numFmtId="3" fontId="22" fillId="18" borderId="49" xfId="0" applyNumberFormat="1" applyFont="1" applyFill="1" applyBorder="1" applyAlignment="1">
      <alignment vertical="center"/>
    </xf>
    <xf numFmtId="3" fontId="18" fillId="18" borderId="16" xfId="0" applyNumberFormat="1" applyFont="1" applyFill="1" applyBorder="1" applyAlignment="1">
      <alignment vertical="center"/>
    </xf>
    <xf numFmtId="3" fontId="17" fillId="18" borderId="49" xfId="0" applyNumberFormat="1" applyFont="1" applyFill="1" applyBorder="1" applyAlignment="1">
      <alignment vertical="center"/>
    </xf>
    <xf numFmtId="3" fontId="18" fillId="18" borderId="52" xfId="0" applyNumberFormat="1" applyFont="1" applyFill="1" applyBorder="1" applyAlignment="1">
      <alignment vertical="center"/>
    </xf>
    <xf numFmtId="3" fontId="2" fillId="18" borderId="19" xfId="0" applyNumberFormat="1" applyFont="1" applyFill="1" applyBorder="1" applyAlignment="1">
      <alignment vertical="center"/>
    </xf>
    <xf numFmtId="3" fontId="2" fillId="18" borderId="22" xfId="0" applyNumberFormat="1" applyFont="1" applyFill="1" applyBorder="1" applyAlignment="1">
      <alignment vertical="center"/>
    </xf>
    <xf numFmtId="3" fontId="18" fillId="18" borderId="3" xfId="0" applyNumberFormat="1" applyFont="1" applyFill="1" applyBorder="1" applyAlignment="1">
      <alignment vertical="center"/>
    </xf>
    <xf numFmtId="3" fontId="2" fillId="18" borderId="16" xfId="0" applyNumberFormat="1" applyFont="1" applyFill="1" applyBorder="1" applyAlignment="1">
      <alignment vertical="center"/>
    </xf>
    <xf numFmtId="3" fontId="0" fillId="18" borderId="49" xfId="0" applyNumberFormat="1" applyFont="1" applyFill="1" applyBorder="1" applyAlignment="1">
      <alignment vertical="center"/>
    </xf>
    <xf numFmtId="3" fontId="18" fillId="18" borderId="49" xfId="0" applyNumberFormat="1" applyFont="1" applyFill="1" applyBorder="1" applyAlignment="1">
      <alignment vertical="center"/>
    </xf>
    <xf numFmtId="3" fontId="25" fillId="18" borderId="49" xfId="0" applyNumberFormat="1" applyFont="1" applyFill="1" applyBorder="1" applyAlignment="1">
      <alignment vertical="center"/>
    </xf>
    <xf numFmtId="3" fontId="0" fillId="18" borderId="49" xfId="0" applyNumberFormat="1" applyFill="1" applyBorder="1" applyAlignment="1">
      <alignment vertical="center"/>
    </xf>
    <xf numFmtId="3" fontId="27" fillId="18" borderId="16" xfId="0" applyNumberFormat="1" applyFont="1" applyFill="1" applyBorder="1" applyAlignment="1">
      <alignment vertical="center"/>
    </xf>
    <xf numFmtId="3" fontId="27" fillId="18" borderId="19" xfId="0" applyNumberFormat="1" applyFont="1" applyFill="1" applyBorder="1" applyAlignment="1">
      <alignment vertical="center"/>
    </xf>
    <xf numFmtId="3" fontId="2" fillId="18" borderId="52" xfId="0" applyNumberFormat="1" applyFont="1" applyFill="1" applyBorder="1" applyAlignment="1">
      <alignment vertical="center"/>
    </xf>
    <xf numFmtId="3" fontId="14" fillId="17" borderId="60" xfId="0" applyNumberFormat="1" applyFont="1" applyFill="1" applyBorder="1" applyAlignment="1">
      <alignment horizontal="center" vertical="center" wrapText="1"/>
    </xf>
    <xf numFmtId="3" fontId="14" fillId="17" borderId="25" xfId="0" applyNumberFormat="1" applyFont="1" applyFill="1" applyBorder="1" applyAlignment="1">
      <alignment horizontal="center" vertical="center" wrapText="1"/>
    </xf>
    <xf numFmtId="3" fontId="15" fillId="17" borderId="5" xfId="0" applyNumberFormat="1" applyFont="1" applyFill="1" applyBorder="1" applyAlignment="1">
      <alignment vertical="center"/>
    </xf>
    <xf numFmtId="3" fontId="0" fillId="17" borderId="14" xfId="0" applyNumberFormat="1" applyFont="1" applyFill="1" applyBorder="1" applyAlignment="1">
      <alignment vertical="center"/>
    </xf>
    <xf numFmtId="3" fontId="15" fillId="17" borderId="61" xfId="0" applyNumberFormat="1" applyFont="1" applyFill="1" applyBorder="1" applyAlignment="1">
      <alignment vertical="center"/>
    </xf>
    <xf numFmtId="3" fontId="0" fillId="17" borderId="20" xfId="0" applyNumberFormat="1" applyFont="1" applyFill="1" applyBorder="1" applyAlignment="1">
      <alignment vertical="center"/>
    </xf>
    <xf numFmtId="3" fontId="15" fillId="17" borderId="62" xfId="0" applyNumberFormat="1" applyFont="1" applyFill="1" applyBorder="1" applyAlignment="1">
      <alignment vertical="center"/>
    </xf>
    <xf numFmtId="3" fontId="15" fillId="17" borderId="63" xfId="0" applyNumberFormat="1" applyFont="1" applyFill="1" applyBorder="1" applyAlignment="1">
      <alignment vertical="center"/>
    </xf>
    <xf numFmtId="3" fontId="0" fillId="17" borderId="25" xfId="0" applyNumberFormat="1" applyFont="1" applyFill="1" applyBorder="1" applyAlignment="1">
      <alignment vertical="center"/>
    </xf>
    <xf numFmtId="3" fontId="14" fillId="17" borderId="64" xfId="0" applyNumberFormat="1" applyFont="1" applyFill="1" applyBorder="1" applyAlignment="1">
      <alignment vertical="center"/>
    </xf>
    <xf numFmtId="3" fontId="2" fillId="17" borderId="50" xfId="0" applyNumberFormat="1" applyFont="1" applyFill="1" applyBorder="1" applyAlignment="1">
      <alignment vertical="center"/>
    </xf>
    <xf numFmtId="3" fontId="15" fillId="17" borderId="24" xfId="0" applyNumberFormat="1" applyFont="1" applyFill="1" applyBorder="1" applyAlignment="1">
      <alignment vertical="center"/>
    </xf>
    <xf numFmtId="3" fontId="16" fillId="17" borderId="64" xfId="0" applyNumberFormat="1" applyFont="1" applyFill="1" applyBorder="1" applyAlignment="1">
      <alignment vertical="center"/>
    </xf>
    <xf numFmtId="3" fontId="17" fillId="17" borderId="14" xfId="0" applyNumberFormat="1" applyFont="1" applyFill="1" applyBorder="1" applyAlignment="1">
      <alignment vertical="center"/>
    </xf>
    <xf numFmtId="3" fontId="17" fillId="17" borderId="7" xfId="0" applyNumberFormat="1" applyFont="1" applyFill="1" applyBorder="1" applyAlignment="1">
      <alignment vertical="center"/>
    </xf>
    <xf numFmtId="3" fontId="18" fillId="17" borderId="20" xfId="0" applyNumberFormat="1" applyFont="1" applyFill="1" applyBorder="1" applyAlignment="1">
      <alignment vertical="center"/>
    </xf>
    <xf numFmtId="3" fontId="0" fillId="17" borderId="17" xfId="0" applyNumberFormat="1" applyFont="1" applyFill="1" applyBorder="1" applyAlignment="1">
      <alignment vertical="center"/>
    </xf>
    <xf numFmtId="3" fontId="20" fillId="17" borderId="63" xfId="0" applyNumberFormat="1" applyFont="1" applyFill="1" applyBorder="1" applyAlignment="1">
      <alignment vertical="center"/>
    </xf>
    <xf numFmtId="3" fontId="18" fillId="17" borderId="17" xfId="0" applyNumberFormat="1" applyFont="1" applyFill="1" applyBorder="1" applyAlignment="1">
      <alignment vertical="center"/>
    </xf>
    <xf numFmtId="3" fontId="22" fillId="17" borderId="50" xfId="0" applyNumberFormat="1" applyFont="1" applyFill="1" applyBorder="1" applyAlignment="1">
      <alignment vertical="center"/>
    </xf>
    <xf numFmtId="3" fontId="0" fillId="17" borderId="61" xfId="0" applyNumberFormat="1" applyFont="1" applyFill="1" applyBorder="1" applyAlignment="1">
      <alignment vertical="center"/>
    </xf>
    <xf numFmtId="3" fontId="0" fillId="17" borderId="62" xfId="0" applyNumberFormat="1" applyFont="1" applyFill="1" applyBorder="1" applyAlignment="1">
      <alignment vertical="center"/>
    </xf>
    <xf numFmtId="3" fontId="2" fillId="17" borderId="48" xfId="0" applyNumberFormat="1" applyFont="1" applyFill="1" applyBorder="1" applyAlignment="1">
      <alignment vertical="center"/>
    </xf>
    <xf numFmtId="3" fontId="17" fillId="17" borderId="48" xfId="0" applyNumberFormat="1" applyFont="1" applyFill="1" applyBorder="1" applyAlignment="1">
      <alignment vertical="center"/>
    </xf>
    <xf numFmtId="3" fontId="17" fillId="17" borderId="50" xfId="0" applyNumberFormat="1" applyFont="1" applyFill="1" applyBorder="1" applyAlignment="1">
      <alignment vertical="center"/>
    </xf>
    <xf numFmtId="3" fontId="21" fillId="17" borderId="67" xfId="0" applyNumberFormat="1" applyFont="1" applyFill="1" applyBorder="1" applyAlignment="1">
      <alignment vertical="center"/>
    </xf>
    <xf numFmtId="3" fontId="18" fillId="17" borderId="58" xfId="0" applyNumberFormat="1" applyFont="1" applyFill="1" applyBorder="1" applyAlignment="1">
      <alignment vertical="center"/>
    </xf>
    <xf numFmtId="3" fontId="14" fillId="17" borderId="61" xfId="0" applyNumberFormat="1" applyFont="1" applyFill="1" applyBorder="1" applyAlignment="1">
      <alignment vertical="center"/>
    </xf>
    <xf numFmtId="3" fontId="2" fillId="17" borderId="62" xfId="0" applyNumberFormat="1" applyFont="1" applyFill="1" applyBorder="1" applyAlignment="1">
      <alignment vertical="center"/>
    </xf>
    <xf numFmtId="3" fontId="2" fillId="17" borderId="20" xfId="0" applyNumberFormat="1" applyFont="1" applyFill="1" applyBorder="1" applyAlignment="1">
      <alignment vertical="center"/>
    </xf>
    <xf numFmtId="3" fontId="14" fillId="17" borderId="62" xfId="0" applyNumberFormat="1" applyFont="1" applyFill="1" applyBorder="1" applyAlignment="1">
      <alignment vertical="center"/>
    </xf>
    <xf numFmtId="3" fontId="2" fillId="17" borderId="63" xfId="0" applyNumberFormat="1" applyFont="1" applyFill="1" applyBorder="1" applyAlignment="1">
      <alignment vertical="center"/>
    </xf>
    <xf numFmtId="3" fontId="2" fillId="17" borderId="23" xfId="0" applyNumberFormat="1" applyFont="1" applyFill="1" applyBorder="1" applyAlignment="1">
      <alignment vertical="center"/>
    </xf>
    <xf numFmtId="3" fontId="17" fillId="17" borderId="64" xfId="0" applyNumberFormat="1" applyFont="1" applyFill="1" applyBorder="1" applyAlignment="1">
      <alignment vertical="center"/>
    </xf>
    <xf numFmtId="3" fontId="14" fillId="17" borderId="5" xfId="0" applyNumberFormat="1" applyFont="1" applyFill="1" applyBorder="1" applyAlignment="1">
      <alignment vertical="center"/>
    </xf>
    <xf numFmtId="3" fontId="18" fillId="17" borderId="14" xfId="0" applyNumberFormat="1" applyFont="1" applyFill="1" applyBorder="1" applyAlignment="1">
      <alignment vertical="center"/>
    </xf>
    <xf numFmtId="3" fontId="14" fillId="17" borderId="63" xfId="0" applyNumberFormat="1" applyFont="1" applyFill="1" applyBorder="1" applyAlignment="1">
      <alignment vertical="center"/>
    </xf>
    <xf numFmtId="3" fontId="2" fillId="17" borderId="17" xfId="0" applyNumberFormat="1" applyFont="1" applyFill="1" applyBorder="1" applyAlignment="1">
      <alignment vertical="center"/>
    </xf>
    <xf numFmtId="3" fontId="14" fillId="17" borderId="48" xfId="0" applyNumberFormat="1" applyFont="1" applyFill="1" applyBorder="1" applyAlignment="1">
      <alignment vertical="center"/>
    </xf>
    <xf numFmtId="3" fontId="0" fillId="17" borderId="50" xfId="0" applyNumberFormat="1" applyFont="1" applyFill="1" applyBorder="1" applyAlignment="1">
      <alignment vertical="center"/>
    </xf>
    <xf numFmtId="3" fontId="18" fillId="17" borderId="48" xfId="0" applyNumberFormat="1" applyFont="1" applyFill="1" applyBorder="1" applyAlignment="1">
      <alignment vertical="center"/>
    </xf>
    <xf numFmtId="3" fontId="18" fillId="17" borderId="50" xfId="0" applyNumberFormat="1" applyFont="1" applyFill="1" applyBorder="1" applyAlignment="1">
      <alignment vertical="center"/>
    </xf>
    <xf numFmtId="3" fontId="25" fillId="17" borderId="50" xfId="0" applyNumberFormat="1" applyFont="1" applyFill="1" applyBorder="1" applyAlignment="1">
      <alignment vertical="center"/>
    </xf>
    <xf numFmtId="3" fontId="0" fillId="17" borderId="50" xfId="0" applyNumberFormat="1" applyFill="1" applyBorder="1" applyAlignment="1">
      <alignment vertical="center"/>
    </xf>
    <xf numFmtId="3" fontId="27" fillId="17" borderId="61" xfId="0" applyNumberFormat="1" applyFont="1" applyFill="1" applyBorder="1" applyAlignment="1">
      <alignment vertical="center"/>
    </xf>
    <xf numFmtId="3" fontId="27" fillId="17" borderId="17" xfId="0" applyNumberFormat="1" applyFont="1" applyFill="1" applyBorder="1" applyAlignment="1">
      <alignment vertical="center"/>
    </xf>
    <xf numFmtId="3" fontId="27" fillId="17" borderId="62" xfId="0" applyNumberFormat="1" applyFont="1" applyFill="1" applyBorder="1" applyAlignment="1">
      <alignment vertical="center"/>
    </xf>
    <xf numFmtId="3" fontId="27" fillId="17" borderId="20" xfId="0" applyNumberFormat="1" applyFont="1" applyFill="1" applyBorder="1" applyAlignment="1">
      <alignment vertical="center"/>
    </xf>
    <xf numFmtId="3" fontId="18" fillId="17" borderId="23" xfId="0" applyNumberFormat="1" applyFont="1" applyFill="1" applyBorder="1" applyAlignment="1">
      <alignment vertical="center"/>
    </xf>
    <xf numFmtId="3" fontId="14" fillId="17" borderId="67" xfId="0" applyNumberFormat="1" applyFont="1" applyFill="1" applyBorder="1" applyAlignment="1">
      <alignment vertical="center"/>
    </xf>
    <xf numFmtId="3" fontId="2" fillId="17" borderId="58" xfId="0" applyNumberFormat="1" applyFont="1" applyFill="1" applyBorder="1" applyAlignment="1">
      <alignment vertical="center"/>
    </xf>
    <xf numFmtId="3" fontId="0" fillId="17" borderId="17" xfId="0" applyNumberFormat="1" applyFill="1" applyBorder="1" applyAlignment="1">
      <alignment vertical="center"/>
    </xf>
    <xf numFmtId="3" fontId="0" fillId="17" borderId="20" xfId="0" applyNumberFormat="1" applyFill="1" applyBorder="1" applyAlignment="1">
      <alignment vertical="center"/>
    </xf>
    <xf numFmtId="3" fontId="24" fillId="19" borderId="40" xfId="0" applyNumberFormat="1" applyFont="1" applyFill="1" applyBorder="1" applyAlignment="1">
      <alignment vertical="center"/>
    </xf>
    <xf numFmtId="3" fontId="23" fillId="19" borderId="64" xfId="0" applyNumberFormat="1" applyFont="1" applyFill="1" applyBorder="1" applyAlignment="1">
      <alignment vertical="center"/>
    </xf>
    <xf numFmtId="3" fontId="23" fillId="19" borderId="26" xfId="0" applyNumberFormat="1" applyFont="1" applyFill="1" applyBorder="1" applyAlignment="1">
      <alignment vertical="center"/>
    </xf>
    <xf numFmtId="3" fontId="35" fillId="0" borderId="0" xfId="2" applyNumberFormat="1" applyFont="1" applyAlignment="1">
      <alignment vertical="center" wrapText="1"/>
    </xf>
    <xf numFmtId="3" fontId="36" fillId="0" borderId="0" xfId="2" applyNumberFormat="1" applyFont="1" applyAlignment="1">
      <alignment vertical="center" wrapText="1"/>
    </xf>
    <xf numFmtId="166" fontId="36" fillId="0" borderId="0" xfId="2" applyNumberFormat="1" applyFont="1" applyAlignment="1">
      <alignment vertical="center" wrapText="1"/>
    </xf>
    <xf numFmtId="0" fontId="37" fillId="3" borderId="27" xfId="2" applyFont="1" applyFill="1" applyBorder="1" applyAlignment="1">
      <alignment horizontal="center" vertical="center" wrapText="1"/>
    </xf>
    <xf numFmtId="0" fontId="37" fillId="3" borderId="3" xfId="2" applyFont="1" applyFill="1" applyBorder="1" applyAlignment="1">
      <alignment horizontal="center" vertical="center"/>
    </xf>
    <xf numFmtId="3" fontId="38" fillId="0" borderId="0" xfId="2" applyNumberFormat="1" applyFont="1" applyAlignment="1">
      <alignment vertical="center"/>
    </xf>
    <xf numFmtId="3" fontId="39" fillId="0" borderId="0" xfId="2" applyNumberFormat="1" applyFont="1" applyAlignment="1">
      <alignment vertical="center"/>
    </xf>
    <xf numFmtId="0" fontId="39" fillId="0" borderId="0" xfId="2" applyFont="1" applyAlignment="1">
      <alignment vertical="center"/>
    </xf>
    <xf numFmtId="0" fontId="37" fillId="3" borderId="59" xfId="2" applyFont="1" applyFill="1" applyBorder="1" applyAlignment="1">
      <alignment vertical="center"/>
    </xf>
    <xf numFmtId="0" fontId="37" fillId="3" borderId="9" xfId="2" applyFont="1" applyFill="1" applyBorder="1" applyAlignment="1">
      <alignment horizontal="center" vertical="center"/>
    </xf>
    <xf numFmtId="0" fontId="37" fillId="3" borderId="31" xfId="2" applyFont="1" applyFill="1" applyBorder="1" applyAlignment="1">
      <alignment vertical="center"/>
    </xf>
    <xf numFmtId="0" fontId="37" fillId="3" borderId="0" xfId="2" applyFont="1" applyFill="1" applyAlignment="1">
      <alignment vertical="center"/>
    </xf>
    <xf numFmtId="3" fontId="41" fillId="0" borderId="0" xfId="2" applyNumberFormat="1" applyFont="1" applyAlignment="1">
      <alignment vertical="center"/>
    </xf>
    <xf numFmtId="3" fontId="42" fillId="0" borderId="0" xfId="2" applyNumberFormat="1" applyFont="1" applyAlignment="1">
      <alignment vertical="center"/>
    </xf>
    <xf numFmtId="0" fontId="42" fillId="0" borderId="0" xfId="2" applyFont="1" applyAlignment="1">
      <alignment vertical="center"/>
    </xf>
    <xf numFmtId="0" fontId="37" fillId="3" borderId="70" xfId="2" applyFont="1" applyFill="1" applyBorder="1" applyAlignment="1">
      <alignment horizontal="center" vertical="center" wrapText="1"/>
    </xf>
    <xf numFmtId="0" fontId="37" fillId="3" borderId="6" xfId="2" applyFont="1" applyFill="1" applyBorder="1" applyAlignment="1">
      <alignment horizontal="center" vertical="center" wrapText="1"/>
    </xf>
    <xf numFmtId="0" fontId="37" fillId="3" borderId="7" xfId="2" applyFont="1" applyFill="1" applyBorder="1" applyAlignment="1">
      <alignment horizontal="center" vertical="center" wrapText="1"/>
    </xf>
    <xf numFmtId="3" fontId="33" fillId="0" borderId="0" xfId="2" applyNumberFormat="1" applyAlignment="1">
      <alignment vertical="center" wrapText="1"/>
    </xf>
    <xf numFmtId="0" fontId="33" fillId="0" borderId="0" xfId="2" applyAlignment="1">
      <alignment vertical="center" wrapText="1"/>
    </xf>
    <xf numFmtId="0" fontId="43" fillId="3" borderId="48" xfId="2" applyFont="1" applyFill="1" applyBorder="1" applyAlignment="1">
      <alignment horizontal="center" vertical="center" wrapText="1"/>
    </xf>
    <xf numFmtId="0" fontId="43" fillId="3" borderId="49" xfId="2" applyFont="1" applyFill="1" applyBorder="1" applyAlignment="1">
      <alignment horizontal="center" vertical="center" wrapText="1"/>
    </xf>
    <xf numFmtId="0" fontId="43" fillId="3" borderId="53" xfId="2" applyFont="1" applyFill="1" applyBorder="1" applyAlignment="1">
      <alignment horizontal="center" vertical="center" wrapText="1"/>
    </xf>
    <xf numFmtId="0" fontId="43" fillId="3" borderId="50" xfId="2" applyFont="1" applyFill="1" applyBorder="1" applyAlignment="1">
      <alignment horizontal="center" vertical="center" wrapText="1"/>
    </xf>
    <xf numFmtId="3" fontId="38" fillId="0" borderId="0" xfId="2" applyNumberFormat="1" applyFont="1" applyAlignment="1">
      <alignment horizontal="center" vertical="center" wrapText="1"/>
    </xf>
    <xf numFmtId="3" fontId="39" fillId="0" borderId="0" xfId="2" applyNumberFormat="1" applyFont="1" applyAlignment="1">
      <alignment horizontal="center" vertical="center" wrapText="1"/>
    </xf>
    <xf numFmtId="0" fontId="39" fillId="0" borderId="0" xfId="2" applyFont="1" applyAlignment="1">
      <alignment horizontal="center" vertical="center" wrapText="1"/>
    </xf>
    <xf numFmtId="49" fontId="38" fillId="0" borderId="0" xfId="2" applyNumberFormat="1" applyFont="1" applyAlignment="1">
      <alignment horizontal="center" vertical="center" wrapText="1"/>
    </xf>
    <xf numFmtId="49" fontId="39" fillId="0" borderId="0" xfId="2" applyNumberFormat="1" applyFont="1" applyAlignment="1">
      <alignment horizontal="center" vertical="center" wrapText="1"/>
    </xf>
    <xf numFmtId="0" fontId="43" fillId="3" borderId="48" xfId="3" applyFont="1" applyFill="1" applyBorder="1" applyAlignment="1">
      <alignment horizontal="center" vertical="center" wrapText="1"/>
    </xf>
    <xf numFmtId="0" fontId="43" fillId="3" borderId="49" xfId="3" applyFont="1" applyFill="1" applyBorder="1" applyAlignment="1">
      <alignment horizontal="left" vertical="center" wrapText="1" indent="1"/>
    </xf>
    <xf numFmtId="166" fontId="43" fillId="3" borderId="53" xfId="3" applyNumberFormat="1" applyFont="1" applyFill="1" applyBorder="1" applyAlignment="1">
      <alignment horizontal="right" vertical="center" wrapText="1" indent="1"/>
    </xf>
    <xf numFmtId="166" fontId="43" fillId="3" borderId="50" xfId="3" applyNumberFormat="1" applyFont="1" applyFill="1" applyBorder="1" applyAlignment="1">
      <alignment horizontal="right" vertical="center" wrapText="1" indent="1"/>
    </xf>
    <xf numFmtId="3" fontId="41" fillId="0" borderId="0" xfId="2" applyNumberFormat="1" applyFont="1" applyAlignment="1">
      <alignment horizontal="center" vertical="center" wrapText="1"/>
    </xf>
    <xf numFmtId="49" fontId="44" fillId="3" borderId="15" xfId="3" applyNumberFormat="1" applyFont="1" applyFill="1" applyBorder="1" applyAlignment="1">
      <alignment horizontal="center" vertical="center" wrapText="1"/>
    </xf>
    <xf numFmtId="0" fontId="45" fillId="3" borderId="16" xfId="2" applyFont="1" applyFill="1" applyBorder="1" applyAlignment="1">
      <alignment horizontal="left" wrapText="1" indent="1"/>
    </xf>
    <xf numFmtId="166" fontId="46" fillId="3" borderId="71" xfId="3" applyNumberFormat="1" applyFont="1" applyFill="1" applyBorder="1" applyAlignment="1" applyProtection="1">
      <alignment horizontal="right" vertical="center" wrapText="1" indent="1"/>
      <protection locked="0"/>
    </xf>
    <xf numFmtId="166" fontId="46" fillId="3" borderId="17" xfId="3" applyNumberFormat="1" applyFont="1" applyFill="1" applyBorder="1" applyAlignment="1" applyProtection="1">
      <alignment horizontal="right" vertical="center" wrapText="1" indent="1"/>
      <protection locked="0"/>
    </xf>
    <xf numFmtId="3" fontId="47" fillId="0" borderId="0" xfId="2" applyNumberFormat="1" applyFont="1" applyAlignment="1">
      <alignment vertical="center" wrapText="1"/>
    </xf>
    <xf numFmtId="0" fontId="48" fillId="0" borderId="0" xfId="2" applyFont="1" applyAlignment="1">
      <alignment vertical="center" wrapText="1"/>
    </xf>
    <xf numFmtId="49" fontId="44" fillId="3" borderId="18" xfId="3" applyNumberFormat="1" applyFont="1" applyFill="1" applyBorder="1" applyAlignment="1">
      <alignment horizontal="center" vertical="center" wrapText="1"/>
    </xf>
    <xf numFmtId="0" fontId="45" fillId="3" borderId="19" xfId="2" applyFont="1" applyFill="1" applyBorder="1" applyAlignment="1">
      <alignment horizontal="left" wrapText="1" indent="1"/>
    </xf>
    <xf numFmtId="166" fontId="46" fillId="3" borderId="20" xfId="3" applyNumberFormat="1" applyFont="1" applyFill="1" applyBorder="1" applyAlignment="1" applyProtection="1">
      <alignment horizontal="right" vertical="center" wrapText="1" indent="1"/>
      <protection locked="0"/>
    </xf>
    <xf numFmtId="0" fontId="49" fillId="0" borderId="0" xfId="2" applyFont="1" applyAlignment="1">
      <alignment vertical="center" wrapText="1"/>
    </xf>
    <xf numFmtId="49" fontId="44" fillId="3" borderId="21" xfId="3" applyNumberFormat="1" applyFont="1" applyFill="1" applyBorder="1" applyAlignment="1">
      <alignment horizontal="center" vertical="center" wrapText="1"/>
    </xf>
    <xf numFmtId="0" fontId="45" fillId="3" borderId="22" xfId="2" applyFont="1" applyFill="1" applyBorder="1" applyAlignment="1">
      <alignment horizontal="left" wrapText="1" indent="1"/>
    </xf>
    <xf numFmtId="0" fontId="50" fillId="3" borderId="49" xfId="2" applyFont="1" applyFill="1" applyBorder="1" applyAlignment="1">
      <alignment horizontal="left" vertical="center" wrapText="1" indent="1"/>
    </xf>
    <xf numFmtId="166" fontId="44" fillId="3" borderId="71" xfId="3" applyNumberFormat="1" applyFont="1" applyFill="1" applyBorder="1" applyAlignment="1" applyProtection="1">
      <alignment horizontal="right" vertical="center" wrapText="1" indent="1"/>
      <protection locked="0"/>
    </xf>
    <xf numFmtId="166" fontId="44" fillId="3" borderId="17" xfId="3" applyNumberFormat="1" applyFont="1" applyFill="1" applyBorder="1" applyAlignment="1" applyProtection="1">
      <alignment horizontal="right" vertical="center" wrapText="1" indent="1"/>
      <protection locked="0"/>
    </xf>
    <xf numFmtId="166" fontId="44" fillId="3" borderId="20" xfId="3" applyNumberFormat="1" applyFont="1" applyFill="1" applyBorder="1" applyAlignment="1" applyProtection="1">
      <alignment horizontal="right" vertical="center" wrapText="1" indent="1"/>
      <protection locked="0"/>
    </xf>
    <xf numFmtId="166" fontId="44" fillId="3" borderId="23" xfId="3" applyNumberFormat="1" applyFont="1" applyFill="1" applyBorder="1" applyAlignment="1" applyProtection="1">
      <alignment horizontal="right" vertical="center" wrapText="1" indent="1"/>
      <protection locked="0"/>
    </xf>
    <xf numFmtId="166" fontId="51" fillId="3" borderId="53" xfId="3" applyNumberFormat="1" applyFont="1" applyFill="1" applyBorder="1" applyAlignment="1">
      <alignment horizontal="right" vertical="center" wrapText="1" indent="1"/>
    </xf>
    <xf numFmtId="166" fontId="51" fillId="3" borderId="50" xfId="3" applyNumberFormat="1" applyFont="1" applyFill="1" applyBorder="1" applyAlignment="1">
      <alignment horizontal="right" vertical="center" wrapText="1" indent="1"/>
    </xf>
    <xf numFmtId="166" fontId="46" fillId="3" borderId="71" xfId="3" applyNumberFormat="1" applyFont="1" applyFill="1" applyBorder="1" applyAlignment="1">
      <alignment horizontal="right" vertical="center" wrapText="1" indent="1"/>
    </xf>
    <xf numFmtId="166" fontId="46" fillId="3" borderId="17" xfId="3" applyNumberFormat="1" applyFont="1" applyFill="1" applyBorder="1" applyAlignment="1">
      <alignment horizontal="right" vertical="center" wrapText="1" indent="1"/>
    </xf>
    <xf numFmtId="49" fontId="45" fillId="3" borderId="19" xfId="2" applyNumberFormat="1" applyFont="1" applyFill="1" applyBorder="1" applyAlignment="1">
      <alignment horizontal="left" wrapText="1" indent="1"/>
    </xf>
    <xf numFmtId="166" fontId="46" fillId="3" borderId="54" xfId="3" applyNumberFormat="1" applyFont="1" applyFill="1" applyBorder="1" applyAlignment="1" applyProtection="1">
      <alignment horizontal="right" vertical="center" wrapText="1" indent="1"/>
      <protection locked="0"/>
    </xf>
    <xf numFmtId="166" fontId="46" fillId="3" borderId="23" xfId="3" applyNumberFormat="1" applyFont="1" applyFill="1" applyBorder="1" applyAlignment="1" applyProtection="1">
      <alignment horizontal="right" vertical="center" wrapText="1" indent="1"/>
      <protection locked="0"/>
    </xf>
    <xf numFmtId="166" fontId="44" fillId="3" borderId="54" xfId="3" applyNumberFormat="1" applyFont="1" applyFill="1" applyBorder="1" applyAlignment="1" applyProtection="1">
      <alignment horizontal="right" vertical="center" wrapText="1" indent="1"/>
      <protection locked="0"/>
    </xf>
    <xf numFmtId="166" fontId="52" fillId="3" borderId="20" xfId="3" applyNumberFormat="1" applyFont="1" applyFill="1" applyBorder="1" applyAlignment="1" applyProtection="1">
      <alignment horizontal="right" vertical="center" wrapText="1" indent="1"/>
      <protection locked="0"/>
    </xf>
    <xf numFmtId="166" fontId="52" fillId="3" borderId="23" xfId="3" applyNumberFormat="1" applyFont="1" applyFill="1" applyBorder="1" applyAlignment="1" applyProtection="1">
      <alignment horizontal="right" vertical="center" wrapText="1" indent="1"/>
      <protection locked="0"/>
    </xf>
    <xf numFmtId="166" fontId="52" fillId="3" borderId="71" xfId="3" applyNumberFormat="1" applyFont="1" applyFill="1" applyBorder="1" applyAlignment="1" applyProtection="1">
      <alignment horizontal="right" vertical="center" wrapText="1" indent="1"/>
      <protection locked="0"/>
    </xf>
    <xf numFmtId="166" fontId="52" fillId="3" borderId="17" xfId="3" applyNumberFormat="1" applyFont="1" applyFill="1" applyBorder="1" applyAlignment="1" applyProtection="1">
      <alignment horizontal="right" vertical="center" wrapText="1" indent="1"/>
      <protection locked="0"/>
    </xf>
    <xf numFmtId="166" fontId="37" fillId="3" borderId="50" xfId="3" applyNumberFormat="1" applyFont="1" applyFill="1" applyBorder="1" applyAlignment="1">
      <alignment horizontal="right" vertical="center" wrapText="1" indent="1"/>
    </xf>
    <xf numFmtId="166" fontId="52" fillId="3" borderId="54" xfId="3" applyNumberFormat="1" applyFont="1" applyFill="1" applyBorder="1" applyAlignment="1" applyProtection="1">
      <alignment horizontal="right" vertical="center" wrapText="1" indent="1"/>
      <protection locked="0"/>
    </xf>
    <xf numFmtId="0" fontId="50" fillId="3" borderId="48" xfId="2" applyFont="1" applyFill="1" applyBorder="1" applyAlignment="1">
      <alignment horizontal="center" wrapText="1"/>
    </xf>
    <xf numFmtId="0" fontId="45" fillId="3" borderId="22" xfId="2" applyFont="1" applyFill="1" applyBorder="1" applyAlignment="1">
      <alignment wrapText="1"/>
    </xf>
    <xf numFmtId="49" fontId="44" fillId="3" borderId="24" xfId="3" applyNumberFormat="1" applyFont="1" applyFill="1" applyBorder="1" applyAlignment="1">
      <alignment horizontal="center" vertical="center" wrapText="1"/>
    </xf>
    <xf numFmtId="0" fontId="45" fillId="3" borderId="9" xfId="2" applyFont="1" applyFill="1" applyBorder="1" applyAlignment="1">
      <alignment horizontal="left" wrapText="1" indent="1"/>
    </xf>
    <xf numFmtId="166" fontId="52" fillId="3" borderId="25" xfId="3" applyNumberFormat="1" applyFont="1" applyFill="1" applyBorder="1" applyAlignment="1" applyProtection="1">
      <alignment horizontal="right" vertical="center" wrapText="1" indent="1"/>
      <protection locked="0"/>
    </xf>
    <xf numFmtId="0" fontId="45" fillId="3" borderId="15" xfId="2" applyFont="1" applyFill="1" applyBorder="1" applyAlignment="1">
      <alignment horizontal="center" wrapText="1"/>
    </xf>
    <xf numFmtId="0" fontId="45" fillId="3" borderId="18" xfId="2" applyFont="1" applyFill="1" applyBorder="1" applyAlignment="1">
      <alignment horizontal="center" wrapText="1"/>
    </xf>
    <xf numFmtId="0" fontId="45" fillId="3" borderId="21" xfId="2" applyFont="1" applyFill="1" applyBorder="1" applyAlignment="1">
      <alignment horizontal="center" wrapText="1"/>
    </xf>
    <xf numFmtId="166" fontId="43" fillId="3" borderId="53" xfId="3" applyNumberFormat="1" applyFont="1" applyFill="1" applyBorder="1" applyAlignment="1" applyProtection="1">
      <alignment horizontal="right" vertical="center" wrapText="1" indent="1"/>
      <protection locked="0"/>
    </xf>
    <xf numFmtId="166" fontId="43" fillId="3" borderId="50" xfId="3" applyNumberFormat="1" applyFont="1" applyFill="1" applyBorder="1" applyAlignment="1" applyProtection="1">
      <alignment horizontal="right" vertical="center" wrapText="1" indent="1"/>
      <protection locked="0"/>
    </xf>
    <xf numFmtId="0" fontId="50" fillId="3" borderId="49" xfId="2" applyFont="1" applyFill="1" applyBorder="1" applyAlignment="1">
      <alignment wrapText="1"/>
    </xf>
    <xf numFmtId="0" fontId="50" fillId="3" borderId="8" xfId="2" applyFont="1" applyFill="1" applyBorder="1" applyAlignment="1">
      <alignment horizontal="center" wrapText="1"/>
    </xf>
    <xf numFmtId="0" fontId="50" fillId="3" borderId="10" xfId="2" applyFont="1" applyFill="1" applyBorder="1" applyAlignment="1">
      <alignment wrapText="1"/>
    </xf>
    <xf numFmtId="3" fontId="53" fillId="0" borderId="0" xfId="2" applyNumberFormat="1" applyFont="1" applyAlignment="1">
      <alignment vertical="center" wrapText="1"/>
    </xf>
    <xf numFmtId="0" fontId="44" fillId="3" borderId="0" xfId="2" applyFont="1" applyFill="1" applyAlignment="1">
      <alignment horizontal="center" vertical="center" wrapText="1"/>
    </xf>
    <xf numFmtId="0" fontId="37" fillId="3" borderId="0" xfId="2" applyFont="1" applyFill="1" applyAlignment="1">
      <alignment horizontal="left" vertical="center" wrapText="1" indent="1"/>
    </xf>
    <xf numFmtId="166" fontId="43" fillId="3" borderId="0" xfId="2" applyNumberFormat="1" applyFont="1" applyFill="1" applyAlignment="1">
      <alignment horizontal="right" vertical="center" wrapText="1" indent="1"/>
    </xf>
    <xf numFmtId="3" fontId="54" fillId="0" borderId="0" xfId="2" applyNumberFormat="1" applyFont="1" applyAlignment="1">
      <alignment vertical="center" wrapText="1"/>
    </xf>
    <xf numFmtId="3" fontId="49" fillId="0" borderId="0" xfId="2" applyNumberFormat="1" applyFont="1" applyAlignment="1">
      <alignment vertical="center" wrapText="1"/>
    </xf>
    <xf numFmtId="0" fontId="44" fillId="3" borderId="0" xfId="2" applyFont="1" applyFill="1" applyAlignment="1">
      <alignment vertical="center" wrapText="1"/>
    </xf>
    <xf numFmtId="0" fontId="44" fillId="3" borderId="0" xfId="2" applyFont="1" applyFill="1" applyAlignment="1">
      <alignment horizontal="right" vertical="center" wrapText="1" indent="1"/>
    </xf>
    <xf numFmtId="0" fontId="43" fillId="3" borderId="2" xfId="3" applyFont="1" applyFill="1" applyBorder="1" applyAlignment="1">
      <alignment horizontal="center" vertical="center" wrapText="1"/>
    </xf>
    <xf numFmtId="0" fontId="43" fillId="3" borderId="70" xfId="3" applyFont="1" applyFill="1" applyBorder="1" applyAlignment="1">
      <alignment vertical="center" wrapText="1"/>
    </xf>
    <xf numFmtId="166" fontId="43" fillId="3" borderId="6" xfId="3" applyNumberFormat="1" applyFont="1" applyFill="1" applyBorder="1" applyAlignment="1">
      <alignment horizontal="right" vertical="center" wrapText="1" indent="1"/>
    </xf>
    <xf numFmtId="166" fontId="43" fillId="3" borderId="7" xfId="3" applyNumberFormat="1" applyFont="1" applyFill="1" applyBorder="1" applyAlignment="1">
      <alignment horizontal="right" vertical="center" wrapText="1" indent="1"/>
    </xf>
    <xf numFmtId="0" fontId="55" fillId="0" borderId="0" xfId="2" applyFont="1" applyAlignment="1">
      <alignment vertical="center" wrapText="1"/>
    </xf>
    <xf numFmtId="49" fontId="44" fillId="3" borderId="13" xfId="3" applyNumberFormat="1" applyFont="1" applyFill="1" applyBorder="1" applyAlignment="1">
      <alignment horizontal="center" vertical="center" wrapText="1"/>
    </xf>
    <xf numFmtId="0" fontId="44" fillId="3" borderId="3" xfId="3" applyFont="1" applyFill="1" applyBorder="1" applyAlignment="1">
      <alignment horizontal="left" vertical="center" wrapText="1" indent="1"/>
    </xf>
    <xf numFmtId="166" fontId="44" fillId="3" borderId="3" xfId="3" applyNumberFormat="1" applyFont="1" applyFill="1" applyBorder="1" applyAlignment="1" applyProtection="1">
      <alignment horizontal="right" vertical="center" wrapText="1" indent="1"/>
      <protection locked="0"/>
    </xf>
    <xf numFmtId="166" fontId="44" fillId="3" borderId="14" xfId="3" applyNumberFormat="1" applyFont="1" applyFill="1" applyBorder="1" applyAlignment="1" applyProtection="1">
      <alignment horizontal="right" vertical="center" wrapText="1" indent="1"/>
      <protection locked="0"/>
    </xf>
    <xf numFmtId="0" fontId="44" fillId="3" borderId="19" xfId="3" applyFont="1" applyFill="1" applyBorder="1" applyAlignment="1">
      <alignment horizontal="left" vertical="center" wrapText="1" indent="1"/>
    </xf>
    <xf numFmtId="166" fontId="44" fillId="3" borderId="22" xfId="3" applyNumberFormat="1" applyFont="1" applyFill="1" applyBorder="1" applyAlignment="1" applyProtection="1">
      <alignment horizontal="right" vertical="center" wrapText="1" indent="1"/>
      <protection locked="0"/>
    </xf>
    <xf numFmtId="166" fontId="44" fillId="3" borderId="19" xfId="3" applyNumberFormat="1" applyFont="1" applyFill="1" applyBorder="1" applyAlignment="1" applyProtection="1">
      <alignment horizontal="right" vertical="center" wrapText="1" indent="1"/>
      <protection locked="0"/>
    </xf>
    <xf numFmtId="0" fontId="44" fillId="3" borderId="62" xfId="3" applyFont="1" applyFill="1" applyBorder="1" applyAlignment="1">
      <alignment horizontal="left" vertical="center" wrapText="1" indent="1"/>
    </xf>
    <xf numFmtId="0" fontId="44" fillId="3" borderId="0" xfId="3" applyFont="1" applyFill="1" applyAlignment="1">
      <alignment horizontal="left" vertical="center" wrapText="1" indent="1"/>
    </xf>
    <xf numFmtId="166" fontId="44" fillId="3" borderId="72" xfId="3" applyNumberFormat="1" applyFont="1" applyFill="1" applyBorder="1" applyAlignment="1" applyProtection="1">
      <alignment horizontal="right" vertical="center" wrapText="1" indent="1"/>
      <protection locked="0"/>
    </xf>
    <xf numFmtId="166" fontId="44" fillId="3" borderId="73" xfId="3" applyNumberFormat="1" applyFont="1" applyFill="1" applyBorder="1" applyAlignment="1" applyProtection="1">
      <alignment horizontal="right" vertical="center" wrapText="1" indent="1"/>
      <protection locked="0"/>
    </xf>
    <xf numFmtId="0" fontId="44" fillId="3" borderId="19" xfId="3" applyFont="1" applyFill="1" applyBorder="1" applyAlignment="1">
      <alignment horizontal="left" indent="6"/>
    </xf>
    <xf numFmtId="0" fontId="44" fillId="3" borderId="19" xfId="3" applyFont="1" applyFill="1" applyBorder="1" applyAlignment="1">
      <alignment horizontal="left" vertical="center" wrapText="1" indent="6"/>
    </xf>
    <xf numFmtId="49" fontId="44" fillId="3" borderId="51" xfId="3" applyNumberFormat="1" applyFont="1" applyFill="1" applyBorder="1" applyAlignment="1">
      <alignment horizontal="center" vertical="center" wrapText="1"/>
    </xf>
    <xf numFmtId="0" fontId="44" fillId="3" borderId="22" xfId="3" applyFont="1" applyFill="1" applyBorder="1" applyAlignment="1">
      <alignment horizontal="left" vertical="center" wrapText="1" indent="6"/>
    </xf>
    <xf numFmtId="0" fontId="44" fillId="3" borderId="9" xfId="3" applyFont="1" applyFill="1" applyBorder="1" applyAlignment="1">
      <alignment horizontal="left" vertical="center" wrapText="1" indent="6"/>
    </xf>
    <xf numFmtId="166" fontId="44" fillId="3" borderId="25" xfId="3" applyNumberFormat="1" applyFont="1" applyFill="1" applyBorder="1" applyAlignment="1" applyProtection="1">
      <alignment horizontal="right" vertical="center" wrapText="1" indent="1"/>
      <protection locked="0"/>
    </xf>
    <xf numFmtId="0" fontId="43" fillId="3" borderId="49" xfId="3" applyFont="1" applyFill="1" applyBorder="1" applyAlignment="1">
      <alignment vertical="center" wrapText="1"/>
    </xf>
    <xf numFmtId="0" fontId="44" fillId="3" borderId="22" xfId="3" applyFont="1" applyFill="1" applyBorder="1" applyAlignment="1">
      <alignment horizontal="left" vertical="center" wrapText="1" indent="1"/>
    </xf>
    <xf numFmtId="0" fontId="45" fillId="3" borderId="22" xfId="2" applyFont="1" applyFill="1" applyBorder="1" applyAlignment="1">
      <alignment horizontal="left" vertical="center" wrapText="1" indent="1"/>
    </xf>
    <xf numFmtId="166" fontId="44" fillId="3" borderId="56" xfId="3" applyNumberFormat="1" applyFont="1" applyFill="1" applyBorder="1" applyAlignment="1" applyProtection="1">
      <alignment horizontal="right" vertical="center" wrapText="1" indent="1"/>
      <protection locked="0"/>
    </xf>
    <xf numFmtId="0" fontId="45" fillId="3" borderId="19" xfId="2" applyFont="1" applyFill="1" applyBorder="1" applyAlignment="1">
      <alignment horizontal="left" vertical="center" wrapText="1" indent="1"/>
    </xf>
    <xf numFmtId="0" fontId="44" fillId="3" borderId="16" xfId="3" applyFont="1" applyFill="1" applyBorder="1" applyAlignment="1">
      <alignment horizontal="left" vertical="center" wrapText="1" indent="6"/>
    </xf>
    <xf numFmtId="0" fontId="51" fillId="3" borderId="49" xfId="3" applyFont="1" applyFill="1" applyBorder="1" applyAlignment="1">
      <alignment horizontal="left" vertical="center" wrapText="1" indent="1"/>
    </xf>
    <xf numFmtId="0" fontId="44" fillId="3" borderId="16" xfId="3" applyFont="1" applyFill="1" applyBorder="1" applyAlignment="1">
      <alignment horizontal="left" vertical="center" wrapText="1" indent="1"/>
    </xf>
    <xf numFmtId="0" fontId="44" fillId="3" borderId="52" xfId="3" applyFont="1" applyFill="1" applyBorder="1" applyAlignment="1">
      <alignment horizontal="left" vertical="center" wrapText="1" indent="1"/>
    </xf>
    <xf numFmtId="166" fontId="50" fillId="3" borderId="53" xfId="2" applyNumberFormat="1" applyFont="1" applyFill="1" applyBorder="1" applyAlignment="1">
      <alignment horizontal="right" vertical="center" wrapText="1" indent="1"/>
    </xf>
    <xf numFmtId="166" fontId="50" fillId="3" borderId="50" xfId="2" applyNumberFormat="1" applyFont="1" applyFill="1" applyBorder="1" applyAlignment="1">
      <alignment horizontal="right" vertical="center" wrapText="1" indent="1"/>
    </xf>
    <xf numFmtId="166" fontId="56" fillId="3" borderId="53" xfId="2" quotePrefix="1" applyNumberFormat="1" applyFont="1" applyFill="1" applyBorder="1" applyAlignment="1">
      <alignment horizontal="right" vertical="center" wrapText="1" indent="1"/>
    </xf>
    <xf numFmtId="166" fontId="56" fillId="3" borderId="50" xfId="2" quotePrefix="1" applyNumberFormat="1" applyFont="1" applyFill="1" applyBorder="1" applyAlignment="1">
      <alignment horizontal="right" vertical="center" wrapText="1" indent="1"/>
    </xf>
    <xf numFmtId="0" fontId="50" fillId="3" borderId="8" xfId="2" applyFont="1" applyFill="1" applyBorder="1" applyAlignment="1">
      <alignment horizontal="center" vertical="center" wrapText="1"/>
    </xf>
    <xf numFmtId="0" fontId="56" fillId="3" borderId="10" xfId="2" applyFont="1" applyFill="1" applyBorder="1" applyAlignment="1">
      <alignment horizontal="left" vertical="center" wrapText="1" indent="1"/>
    </xf>
    <xf numFmtId="3" fontId="41" fillId="0" borderId="0" xfId="2" applyNumberFormat="1" applyFont="1" applyAlignment="1">
      <alignment vertical="center" wrapText="1"/>
    </xf>
    <xf numFmtId="0" fontId="41" fillId="0" borderId="0" xfId="2" applyFont="1" applyAlignment="1">
      <alignment vertical="center" wrapText="1"/>
    </xf>
    <xf numFmtId="0" fontId="33" fillId="3" borderId="0" xfId="2" applyFill="1" applyAlignment="1">
      <alignment horizontal="left" vertical="center" wrapText="1"/>
    </xf>
    <xf numFmtId="0" fontId="33" fillId="3" borderId="0" xfId="2" applyFill="1" applyAlignment="1">
      <alignment vertical="center" wrapText="1"/>
    </xf>
    <xf numFmtId="0" fontId="33" fillId="3" borderId="0" xfId="2" applyFill="1" applyAlignment="1">
      <alignment horizontal="right" vertical="center" wrapText="1" indent="1"/>
    </xf>
    <xf numFmtId="0" fontId="42" fillId="3" borderId="48" xfId="2" applyFont="1" applyFill="1" applyBorder="1" applyAlignment="1">
      <alignment horizontal="left" vertical="center"/>
    </xf>
    <xf numFmtId="0" fontId="42" fillId="3" borderId="64" xfId="2" applyFont="1" applyFill="1" applyBorder="1" applyAlignment="1">
      <alignment vertical="center" wrapText="1"/>
    </xf>
    <xf numFmtId="3" fontId="42" fillId="3" borderId="53" xfId="2" applyNumberFormat="1" applyFont="1" applyFill="1" applyBorder="1" applyAlignment="1" applyProtection="1">
      <alignment horizontal="right" vertical="center" wrapText="1" indent="1"/>
      <protection locked="0"/>
    </xf>
    <xf numFmtId="3" fontId="42" fillId="3" borderId="50" xfId="2" applyNumberFormat="1" applyFont="1" applyFill="1" applyBorder="1" applyAlignment="1" applyProtection="1">
      <alignment horizontal="right" vertical="center" wrapText="1" indent="1"/>
      <protection locked="0"/>
    </xf>
    <xf numFmtId="0" fontId="57" fillId="3" borderId="0" xfId="3" applyFont="1" applyFill="1"/>
    <xf numFmtId="166" fontId="33" fillId="3" borderId="0" xfId="2" applyNumberFormat="1" applyFill="1" applyAlignment="1">
      <alignment horizontal="right" vertical="center" wrapText="1" indent="1"/>
    </xf>
    <xf numFmtId="3" fontId="17" fillId="10" borderId="53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3" fontId="0" fillId="10" borderId="61" xfId="0" applyNumberFormat="1" applyFill="1" applyBorder="1" applyAlignment="1">
      <alignment vertical="center"/>
    </xf>
    <xf numFmtId="0" fontId="59" fillId="18" borderId="9" xfId="1" applyNumberFormat="1" applyFont="1" applyFill="1" applyBorder="1" applyAlignment="1">
      <alignment vertical="center" wrapText="1"/>
    </xf>
    <xf numFmtId="3" fontId="59" fillId="18" borderId="9" xfId="1" applyNumberFormat="1" applyFont="1" applyFill="1" applyBorder="1" applyAlignment="1">
      <alignment vertical="center"/>
    </xf>
    <xf numFmtId="0" fontId="37" fillId="3" borderId="34" xfId="2" applyFont="1" applyFill="1" applyBorder="1" applyAlignment="1">
      <alignment horizontal="center" vertical="center" wrapText="1"/>
    </xf>
    <xf numFmtId="3" fontId="60" fillId="3" borderId="43" xfId="0" applyNumberFormat="1" applyFont="1" applyFill="1" applyBorder="1" applyAlignment="1">
      <alignment vertical="center"/>
    </xf>
    <xf numFmtId="3" fontId="60" fillId="3" borderId="46" xfId="0" applyNumberFormat="1" applyFont="1" applyFill="1" applyBorder="1" applyAlignment="1">
      <alignment vertical="center"/>
    </xf>
    <xf numFmtId="3" fontId="60" fillId="3" borderId="40" xfId="0" applyNumberFormat="1" applyFont="1" applyFill="1" applyBorder="1" applyAlignment="1">
      <alignment vertical="center"/>
    </xf>
    <xf numFmtId="3" fontId="60" fillId="7" borderId="9" xfId="0" applyNumberFormat="1" applyFont="1" applyFill="1" applyBorder="1" applyAlignment="1">
      <alignment horizontal="center" vertical="center" wrapText="1"/>
    </xf>
    <xf numFmtId="3" fontId="60" fillId="10" borderId="9" xfId="0" applyNumberFormat="1" applyFont="1" applyFill="1" applyBorder="1" applyAlignment="1">
      <alignment horizontal="center" vertical="center" wrapText="1"/>
    </xf>
    <xf numFmtId="166" fontId="33" fillId="0" borderId="0" xfId="2" applyNumberFormat="1" applyAlignment="1">
      <alignment vertical="center" wrapText="1"/>
    </xf>
    <xf numFmtId="0" fontId="43" fillId="3" borderId="27" xfId="2" applyFont="1" applyFill="1" applyBorder="1" applyAlignment="1">
      <alignment horizontal="center" vertical="center" wrapText="1"/>
    </xf>
    <xf numFmtId="0" fontId="41" fillId="0" borderId="0" xfId="2" applyFont="1" applyAlignment="1">
      <alignment vertical="center"/>
    </xf>
    <xf numFmtId="0" fontId="37" fillId="3" borderId="59" xfId="2" applyFont="1" applyFill="1" applyBorder="1" applyAlignment="1">
      <alignment horizontal="center" vertical="center" wrapText="1"/>
    </xf>
    <xf numFmtId="49" fontId="41" fillId="0" borderId="0" xfId="2" applyNumberFormat="1" applyFont="1" applyAlignment="1">
      <alignment vertical="center" wrapText="1"/>
    </xf>
    <xf numFmtId="49" fontId="33" fillId="0" borderId="0" xfId="2" applyNumberFormat="1" applyAlignment="1">
      <alignment vertical="center" wrapText="1"/>
    </xf>
    <xf numFmtId="0" fontId="41" fillId="0" borderId="0" xfId="2" applyFont="1" applyAlignment="1">
      <alignment horizontal="center" vertical="center" wrapText="1"/>
    </xf>
    <xf numFmtId="0" fontId="51" fillId="3" borderId="49" xfId="2" applyFont="1" applyFill="1" applyBorder="1" applyAlignment="1">
      <alignment horizontal="left" vertical="center" wrapText="1" indent="1"/>
    </xf>
    <xf numFmtId="166" fontId="51" fillId="3" borderId="50" xfId="2" applyNumberFormat="1" applyFont="1" applyFill="1" applyBorder="1" applyAlignment="1">
      <alignment horizontal="right" vertical="center" wrapText="1" indent="1"/>
    </xf>
    <xf numFmtId="0" fontId="47" fillId="0" borderId="0" xfId="2" applyFont="1" applyAlignment="1">
      <alignment vertical="center" wrapText="1"/>
    </xf>
    <xf numFmtId="49" fontId="52" fillId="3" borderId="13" xfId="2" applyNumberFormat="1" applyFont="1" applyFill="1" applyBorder="1" applyAlignment="1">
      <alignment horizontal="center" vertical="center" wrapText="1"/>
    </xf>
    <xf numFmtId="166" fontId="52" fillId="3" borderId="17" xfId="2" applyNumberFormat="1" applyFont="1" applyFill="1" applyBorder="1" applyAlignment="1" applyProtection="1">
      <alignment horizontal="right" vertical="center" wrapText="1" indent="1"/>
      <protection locked="0"/>
    </xf>
    <xf numFmtId="166" fontId="44" fillId="3" borderId="14" xfId="2" applyNumberFormat="1" applyFont="1" applyFill="1" applyBorder="1" applyAlignment="1" applyProtection="1">
      <alignment horizontal="right" vertical="center" wrapText="1" indent="1"/>
      <protection locked="0"/>
    </xf>
    <xf numFmtId="49" fontId="52" fillId="3" borderId="18" xfId="2" applyNumberFormat="1" applyFont="1" applyFill="1" applyBorder="1" applyAlignment="1">
      <alignment horizontal="center" vertical="center" wrapText="1"/>
    </xf>
    <xf numFmtId="166" fontId="44" fillId="3" borderId="17" xfId="2" applyNumberFormat="1" applyFont="1" applyFill="1" applyBorder="1" applyAlignment="1" applyProtection="1">
      <alignment horizontal="right" vertical="center" wrapText="1" indent="1"/>
      <protection locked="0"/>
    </xf>
    <xf numFmtId="166" fontId="44" fillId="3" borderId="20" xfId="2" applyNumberFormat="1" applyFont="1" applyFill="1" applyBorder="1" applyAlignment="1" applyProtection="1">
      <alignment horizontal="right" vertical="center" wrapText="1" indent="1"/>
      <protection locked="0"/>
    </xf>
    <xf numFmtId="166" fontId="44" fillId="3" borderId="58" xfId="2" applyNumberFormat="1" applyFont="1" applyFill="1" applyBorder="1" applyAlignment="1" applyProtection="1">
      <alignment horizontal="right" vertical="center" wrapText="1" indent="1"/>
      <protection locked="0"/>
    </xf>
    <xf numFmtId="166" fontId="44" fillId="3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51" fillId="3" borderId="48" xfId="2" applyFont="1" applyFill="1" applyBorder="1" applyAlignment="1">
      <alignment horizontal="center" vertical="center" wrapText="1"/>
    </xf>
    <xf numFmtId="166" fontId="51" fillId="3" borderId="50" xfId="2" applyNumberFormat="1" applyFont="1" applyFill="1" applyBorder="1" applyAlignment="1" applyProtection="1">
      <alignment horizontal="right" vertical="center" wrapText="1" indent="1"/>
      <protection locked="0"/>
    </xf>
    <xf numFmtId="49" fontId="52" fillId="3" borderId="15" xfId="2" applyNumberFormat="1" applyFont="1" applyFill="1" applyBorder="1" applyAlignment="1">
      <alignment horizontal="center" vertical="center" wrapText="1"/>
    </xf>
    <xf numFmtId="0" fontId="52" fillId="3" borderId="16" xfId="3" applyFont="1" applyFill="1" applyBorder="1" applyAlignment="1">
      <alignment horizontal="left" vertical="center" wrapText="1" indent="1"/>
    </xf>
    <xf numFmtId="0" fontId="52" fillId="3" borderId="19" xfId="3" applyFont="1" applyFill="1" applyBorder="1" applyAlignment="1">
      <alignment horizontal="left" vertical="center" wrapText="1" indent="1"/>
    </xf>
    <xf numFmtId="166" fontId="52" fillId="3" borderId="58" xfId="2" applyNumberFormat="1" applyFont="1" applyFill="1" applyBorder="1" applyAlignment="1" applyProtection="1">
      <alignment horizontal="right" vertical="center" wrapText="1" indent="1"/>
      <protection locked="0"/>
    </xf>
    <xf numFmtId="0" fontId="52" fillId="3" borderId="10" xfId="3" quotePrefix="1" applyFont="1" applyFill="1" applyBorder="1" applyAlignment="1">
      <alignment horizontal="left" vertical="center" wrapText="1" indent="1"/>
    </xf>
    <xf numFmtId="166" fontId="52" fillId="3" borderId="25" xfId="2" applyNumberFormat="1" applyFont="1" applyFill="1" applyBorder="1" applyAlignment="1" applyProtection="1">
      <alignment horizontal="right" vertical="center" wrapText="1" indent="1"/>
      <protection locked="0"/>
    </xf>
    <xf numFmtId="0" fontId="52" fillId="3" borderId="10" xfId="3" applyFont="1" applyFill="1" applyBorder="1" applyAlignment="1">
      <alignment horizontal="left" vertical="center" wrapText="1" indent="1"/>
    </xf>
    <xf numFmtId="166" fontId="51" fillId="3" borderId="35" xfId="2" applyNumberFormat="1" applyFont="1" applyFill="1" applyBorder="1" applyAlignment="1" applyProtection="1">
      <alignment horizontal="right" vertical="center" wrapText="1" indent="1"/>
      <protection locked="0"/>
    </xf>
    <xf numFmtId="166" fontId="51" fillId="3" borderId="35" xfId="2" applyNumberFormat="1" applyFont="1" applyFill="1" applyBorder="1" applyAlignment="1">
      <alignment horizontal="right" vertical="center" wrapText="1" indent="1"/>
    </xf>
    <xf numFmtId="0" fontId="50" fillId="3" borderId="48" xfId="2" applyFont="1" applyFill="1" applyBorder="1" applyAlignment="1">
      <alignment horizontal="center" vertical="center" wrapText="1"/>
    </xf>
    <xf numFmtId="0" fontId="61" fillId="3" borderId="64" xfId="2" applyFont="1" applyFill="1" applyBorder="1" applyAlignment="1">
      <alignment horizontal="left" wrapText="1" indent="1"/>
    </xf>
    <xf numFmtId="166" fontId="43" fillId="3" borderId="35" xfId="2" applyNumberFormat="1" applyFont="1" applyFill="1" applyBorder="1" applyAlignment="1">
      <alignment horizontal="right" vertical="center" wrapText="1" indent="1"/>
    </xf>
    <xf numFmtId="0" fontId="44" fillId="3" borderId="0" xfId="2" applyFont="1" applyFill="1" applyAlignment="1">
      <alignment horizontal="left" vertical="center" wrapText="1"/>
    </xf>
    <xf numFmtId="166" fontId="52" fillId="3" borderId="20" xfId="2" applyNumberFormat="1" applyFont="1" applyFill="1" applyBorder="1" applyAlignment="1" applyProtection="1">
      <alignment horizontal="right" vertical="center" wrapText="1" indent="1"/>
      <protection locked="0"/>
    </xf>
    <xf numFmtId="0" fontId="37" fillId="3" borderId="49" xfId="2" applyFont="1" applyFill="1" applyBorder="1" applyAlignment="1">
      <alignment horizontal="left" vertical="center" wrapText="1" indent="1"/>
    </xf>
    <xf numFmtId="166" fontId="43" fillId="3" borderId="50" xfId="2" applyNumberFormat="1" applyFont="1" applyFill="1" applyBorder="1" applyAlignment="1">
      <alignment horizontal="right" vertical="center" wrapText="1" indent="1"/>
    </xf>
    <xf numFmtId="0" fontId="37" fillId="3" borderId="4" xfId="2" applyFont="1" applyFill="1" applyBorder="1" applyAlignment="1">
      <alignment horizontal="center" vertical="center"/>
    </xf>
    <xf numFmtId="0" fontId="37" fillId="3" borderId="68" xfId="2" applyFont="1" applyFill="1" applyBorder="1" applyAlignment="1">
      <alignment horizontal="center" vertical="center"/>
    </xf>
    <xf numFmtId="0" fontId="37" fillId="3" borderId="47" xfId="2" applyFont="1" applyFill="1" applyBorder="1" applyAlignment="1">
      <alignment horizontal="center" vertical="center" wrapText="1"/>
    </xf>
    <xf numFmtId="0" fontId="37" fillId="3" borderId="33" xfId="2" applyFont="1" applyFill="1" applyBorder="1" applyAlignment="1">
      <alignment horizontal="center" vertical="center" wrapText="1"/>
    </xf>
    <xf numFmtId="49" fontId="41" fillId="0" borderId="0" xfId="2" applyNumberFormat="1" applyFont="1" applyAlignment="1">
      <alignment horizontal="center" vertical="center" wrapText="1"/>
    </xf>
    <xf numFmtId="49" fontId="33" fillId="0" borderId="0" xfId="2" applyNumberFormat="1" applyAlignment="1">
      <alignment horizontal="center" vertical="center" wrapText="1"/>
    </xf>
    <xf numFmtId="0" fontId="43" fillId="3" borderId="47" xfId="2" applyFont="1" applyFill="1" applyBorder="1" applyAlignment="1">
      <alignment horizontal="center" vertical="center" wrapText="1"/>
    </xf>
    <xf numFmtId="0" fontId="51" fillId="3" borderId="53" xfId="2" applyFont="1" applyFill="1" applyBorder="1" applyAlignment="1">
      <alignment horizontal="left" vertical="center" wrapText="1" indent="1"/>
    </xf>
    <xf numFmtId="166" fontId="51" fillId="3" borderId="47" xfId="2" applyNumberFormat="1" applyFont="1" applyFill="1" applyBorder="1" applyAlignment="1">
      <alignment horizontal="right" vertical="center" wrapText="1" indent="1"/>
    </xf>
    <xf numFmtId="0" fontId="44" fillId="3" borderId="4" xfId="3" applyFont="1" applyFill="1" applyBorder="1" applyAlignment="1">
      <alignment horizontal="left" vertical="center" wrapText="1" indent="1"/>
    </xf>
    <xf numFmtId="166" fontId="52" fillId="3" borderId="41" xfId="2" applyNumberFormat="1" applyFont="1" applyFill="1" applyBorder="1" applyAlignment="1" applyProtection="1">
      <alignment horizontal="right" vertical="center" wrapText="1" indent="1"/>
      <protection locked="0"/>
    </xf>
    <xf numFmtId="0" fontId="44" fillId="3" borderId="54" xfId="3" applyFont="1" applyFill="1" applyBorder="1" applyAlignment="1">
      <alignment horizontal="left" vertical="center" wrapText="1" indent="1"/>
    </xf>
    <xf numFmtId="0" fontId="44" fillId="3" borderId="72" xfId="3" applyFont="1" applyFill="1" applyBorder="1" applyAlignment="1">
      <alignment horizontal="left" vertical="center" wrapText="1" indent="1"/>
    </xf>
    <xf numFmtId="0" fontId="44" fillId="3" borderId="71" xfId="3" applyFont="1" applyFill="1" applyBorder="1" applyAlignment="1">
      <alignment horizontal="left" vertical="center" wrapText="1" indent="1"/>
    </xf>
    <xf numFmtId="0" fontId="51" fillId="3" borderId="53" xfId="3" applyFont="1" applyFill="1" applyBorder="1" applyAlignment="1">
      <alignment horizontal="left" vertical="center" wrapText="1" indent="1"/>
    </xf>
    <xf numFmtId="166" fontId="51" fillId="3" borderId="47" xfId="2" applyNumberFormat="1" applyFont="1" applyFill="1" applyBorder="1" applyAlignment="1" applyProtection="1">
      <alignment horizontal="right" vertical="center" wrapText="1" indent="1"/>
      <protection locked="0"/>
    </xf>
    <xf numFmtId="0" fontId="52" fillId="3" borderId="71" xfId="3" applyFont="1" applyFill="1" applyBorder="1" applyAlignment="1">
      <alignment horizontal="left" vertical="center" wrapText="1" indent="1"/>
    </xf>
    <xf numFmtId="0" fontId="52" fillId="3" borderId="54" xfId="3" applyFont="1" applyFill="1" applyBorder="1" applyAlignment="1">
      <alignment horizontal="left" vertical="center" wrapText="1" indent="1"/>
    </xf>
    <xf numFmtId="0" fontId="52" fillId="3" borderId="11" xfId="3" quotePrefix="1" applyFont="1" applyFill="1" applyBorder="1" applyAlignment="1">
      <alignment horizontal="left" vertical="center" wrapText="1" indent="1"/>
    </xf>
    <xf numFmtId="0" fontId="52" fillId="3" borderId="11" xfId="3" applyFont="1" applyFill="1" applyBorder="1" applyAlignment="1">
      <alignment horizontal="left" vertical="center" wrapText="1" indent="1"/>
    </xf>
    <xf numFmtId="0" fontId="61" fillId="3" borderId="26" xfId="2" applyFont="1" applyFill="1" applyBorder="1" applyAlignment="1">
      <alignment horizontal="left" wrapText="1" indent="1"/>
    </xf>
    <xf numFmtId="166" fontId="43" fillId="3" borderId="47" xfId="2" applyNumberFormat="1" applyFont="1" applyFill="1" applyBorder="1" applyAlignment="1">
      <alignment horizontal="right" vertical="center" wrapText="1" indent="1"/>
    </xf>
    <xf numFmtId="3" fontId="55" fillId="0" borderId="0" xfId="2" applyNumberFormat="1" applyFont="1" applyAlignment="1">
      <alignment vertical="center" wrapText="1"/>
    </xf>
    <xf numFmtId="0" fontId="37" fillId="3" borderId="53" xfId="2" applyFont="1" applyFill="1" applyBorder="1" applyAlignment="1">
      <alignment horizontal="left" vertical="center" wrapText="1" indent="1"/>
    </xf>
    <xf numFmtId="0" fontId="42" fillId="3" borderId="26" xfId="2" applyFont="1" applyFill="1" applyBorder="1" applyAlignment="1">
      <alignment vertical="center" wrapText="1"/>
    </xf>
    <xf numFmtId="3" fontId="42" fillId="3" borderId="47" xfId="2" applyNumberFormat="1" applyFont="1" applyFill="1" applyBorder="1" applyAlignment="1" applyProtection="1">
      <alignment horizontal="right" vertical="center" wrapText="1" indent="1"/>
      <protection locked="0"/>
    </xf>
    <xf numFmtId="166" fontId="43" fillId="3" borderId="53" xfId="2" applyNumberFormat="1" applyFont="1" applyFill="1" applyBorder="1" applyAlignment="1">
      <alignment horizontal="center" vertical="center" wrapText="1"/>
    </xf>
    <xf numFmtId="166" fontId="44" fillId="3" borderId="9" xfId="3" applyNumberFormat="1" applyFont="1" applyFill="1" applyBorder="1" applyAlignment="1" applyProtection="1">
      <alignment horizontal="right" vertical="center" wrapText="1" indent="1"/>
      <protection locked="0"/>
    </xf>
    <xf numFmtId="16" fontId="33" fillId="0" borderId="0" xfId="2" applyNumberFormat="1" applyAlignment="1">
      <alignment vertical="center" wrapText="1"/>
    </xf>
    <xf numFmtId="0" fontId="35" fillId="3" borderId="0" xfId="3" applyFill="1"/>
    <xf numFmtId="0" fontId="35" fillId="0" borderId="0" xfId="3"/>
    <xf numFmtId="0" fontId="37" fillId="3" borderId="48" xfId="3" applyFont="1" applyFill="1" applyBorder="1" applyAlignment="1">
      <alignment horizontal="center" vertical="center" wrapText="1"/>
    </xf>
    <xf numFmtId="0" fontId="37" fillId="3" borderId="49" xfId="3" applyFont="1" applyFill="1" applyBorder="1" applyAlignment="1">
      <alignment vertical="center" wrapText="1"/>
    </xf>
    <xf numFmtId="166" fontId="37" fillId="3" borderId="53" xfId="3" applyNumberFormat="1" applyFont="1" applyFill="1" applyBorder="1" applyAlignment="1">
      <alignment horizontal="right" vertical="center" wrapText="1" indent="1"/>
    </xf>
    <xf numFmtId="166" fontId="37" fillId="3" borderId="0" xfId="3" applyNumberFormat="1" applyFont="1" applyFill="1" applyAlignment="1">
      <alignment horizontal="right" vertical="center" wrapText="1" indent="1"/>
    </xf>
    <xf numFmtId="166" fontId="44" fillId="21" borderId="3" xfId="3" applyNumberFormat="1" applyFont="1" applyFill="1" applyBorder="1" applyAlignment="1" applyProtection="1">
      <alignment horizontal="right" vertical="center" wrapText="1" indent="1"/>
      <protection locked="0"/>
    </xf>
    <xf numFmtId="166" fontId="33" fillId="3" borderId="0" xfId="2" applyNumberFormat="1" applyFill="1" applyAlignment="1">
      <alignment vertical="center" wrapText="1"/>
    </xf>
    <xf numFmtId="166" fontId="39" fillId="3" borderId="0" xfId="2" applyNumberFormat="1" applyFont="1" applyFill="1" applyAlignment="1">
      <alignment horizontal="centerContinuous" vertical="center" wrapText="1"/>
    </xf>
    <xf numFmtId="166" fontId="33" fillId="3" borderId="0" xfId="2" applyNumberFormat="1" applyFill="1" applyAlignment="1">
      <alignment horizontal="centerContinuous" vertical="center"/>
    </xf>
    <xf numFmtId="166" fontId="33" fillId="3" borderId="0" xfId="2" applyNumberFormat="1" applyFill="1" applyAlignment="1">
      <alignment horizontal="center" vertical="center" wrapText="1"/>
    </xf>
    <xf numFmtId="166" fontId="37" fillId="3" borderId="48" xfId="2" applyNumberFormat="1" applyFont="1" applyFill="1" applyBorder="1" applyAlignment="1">
      <alignment horizontal="centerContinuous" vertical="center" wrapText="1"/>
    </xf>
    <xf numFmtId="166" fontId="37" fillId="3" borderId="49" xfId="2" applyNumberFormat="1" applyFont="1" applyFill="1" applyBorder="1" applyAlignment="1">
      <alignment horizontal="centerContinuous" vertical="center" wrapText="1"/>
    </xf>
    <xf numFmtId="166" fontId="37" fillId="3" borderId="64" xfId="2" applyNumberFormat="1" applyFont="1" applyFill="1" applyBorder="1" applyAlignment="1">
      <alignment horizontal="centerContinuous" vertical="center" wrapText="1"/>
    </xf>
    <xf numFmtId="166" fontId="37" fillId="3" borderId="50" xfId="2" applyNumberFormat="1" applyFont="1" applyFill="1" applyBorder="1" applyAlignment="1">
      <alignment horizontal="centerContinuous" vertical="center" wrapText="1"/>
    </xf>
    <xf numFmtId="166" fontId="37" fillId="3" borderId="48" xfId="2" applyNumberFormat="1" applyFont="1" applyFill="1" applyBorder="1" applyAlignment="1">
      <alignment horizontal="center" vertical="center" wrapText="1"/>
    </xf>
    <xf numFmtId="166" fontId="37" fillId="3" borderId="49" xfId="2" applyNumberFormat="1" applyFont="1" applyFill="1" applyBorder="1" applyAlignment="1">
      <alignment horizontal="center" vertical="center" wrapText="1"/>
    </xf>
    <xf numFmtId="166" fontId="42" fillId="0" borderId="0" xfId="2" applyNumberFormat="1" applyFont="1" applyAlignment="1">
      <alignment horizontal="center" vertical="center" wrapText="1"/>
    </xf>
    <xf numFmtId="166" fontId="51" fillId="3" borderId="47" xfId="2" applyNumberFormat="1" applyFont="1" applyFill="1" applyBorder="1" applyAlignment="1">
      <alignment horizontal="center" vertical="center" wrapText="1"/>
    </xf>
    <xf numFmtId="166" fontId="51" fillId="3" borderId="48" xfId="2" applyNumberFormat="1" applyFont="1" applyFill="1" applyBorder="1" applyAlignment="1">
      <alignment horizontal="center" vertical="center" wrapText="1"/>
    </xf>
    <xf numFmtId="166" fontId="51" fillId="3" borderId="49" xfId="2" applyNumberFormat="1" applyFont="1" applyFill="1" applyBorder="1" applyAlignment="1">
      <alignment horizontal="center" vertical="center" wrapText="1"/>
    </xf>
    <xf numFmtId="166" fontId="51" fillId="3" borderId="6" xfId="2" applyNumberFormat="1" applyFont="1" applyFill="1" applyBorder="1" applyAlignment="1">
      <alignment horizontal="center" vertical="center" wrapText="1"/>
    </xf>
    <xf numFmtId="166" fontId="51" fillId="3" borderId="50" xfId="2" applyNumberFormat="1" applyFont="1" applyFill="1" applyBorder="1" applyAlignment="1">
      <alignment horizontal="center" vertical="center" wrapText="1"/>
    </xf>
    <xf numFmtId="166" fontId="51" fillId="0" borderId="0" xfId="2" applyNumberFormat="1" applyFont="1" applyAlignment="1">
      <alignment horizontal="center" vertical="center" wrapText="1"/>
    </xf>
    <xf numFmtId="166" fontId="33" fillId="3" borderId="41" xfId="2" applyNumberFormat="1" applyFill="1" applyBorder="1" applyAlignment="1">
      <alignment horizontal="left" vertical="center" wrapText="1" indent="1"/>
    </xf>
    <xf numFmtId="166" fontId="44" fillId="3" borderId="15" xfId="2" applyNumberFormat="1" applyFont="1" applyFill="1" applyBorder="1" applyAlignment="1">
      <alignment horizontal="left" vertical="center" wrapText="1" indent="1"/>
    </xf>
    <xf numFmtId="166" fontId="44" fillId="3" borderId="16" xfId="2" applyNumberFormat="1" applyFont="1" applyFill="1" applyBorder="1" applyAlignment="1" applyProtection="1">
      <alignment horizontal="right" vertical="center" wrapText="1" indent="1"/>
      <protection locked="0"/>
    </xf>
    <xf numFmtId="166" fontId="44" fillId="3" borderId="3" xfId="2" applyNumberFormat="1" applyFont="1" applyFill="1" applyBorder="1" applyAlignment="1" applyProtection="1">
      <alignment horizontal="right" vertical="center" wrapText="1" indent="1"/>
      <protection locked="0"/>
    </xf>
    <xf numFmtId="166" fontId="33" fillId="3" borderId="43" xfId="2" applyNumberFormat="1" applyFill="1" applyBorder="1" applyAlignment="1">
      <alignment horizontal="left" vertical="center" wrapText="1" indent="1"/>
    </xf>
    <xf numFmtId="166" fontId="44" fillId="3" borderId="18" xfId="2" applyNumberFormat="1" applyFont="1" applyFill="1" applyBorder="1" applyAlignment="1">
      <alignment horizontal="left" vertical="center" wrapText="1" indent="1"/>
    </xf>
    <xf numFmtId="166" fontId="44" fillId="3" borderId="19" xfId="2" applyNumberFormat="1" applyFont="1" applyFill="1" applyBorder="1" applyAlignment="1" applyProtection="1">
      <alignment horizontal="right" vertical="center" wrapText="1" indent="1"/>
      <protection locked="0"/>
    </xf>
    <xf numFmtId="166" fontId="44" fillId="3" borderId="31" xfId="2" applyNumberFormat="1" applyFont="1" applyFill="1" applyBorder="1" applyAlignment="1">
      <alignment horizontal="left" vertical="center" wrapText="1" indent="1"/>
    </xf>
    <xf numFmtId="166" fontId="44" fillId="3" borderId="54" xfId="2" applyNumberFormat="1" applyFont="1" applyFill="1" applyBorder="1" applyAlignment="1" applyProtection="1">
      <alignment horizontal="right" vertical="center" wrapText="1" indent="1"/>
      <protection locked="0"/>
    </xf>
    <xf numFmtId="166" fontId="44" fillId="3" borderId="18" xfId="2" applyNumberFormat="1" applyFont="1" applyFill="1" applyBorder="1" applyAlignment="1" applyProtection="1">
      <alignment horizontal="left" vertical="center" wrapText="1" indent="1"/>
      <protection locked="0"/>
    </xf>
    <xf numFmtId="166" fontId="52" fillId="3" borderId="0" xfId="2" applyNumberFormat="1" applyFont="1" applyFill="1" applyAlignment="1" applyProtection="1">
      <alignment horizontal="left" vertical="center" wrapText="1" indent="1"/>
      <protection locked="0"/>
    </xf>
    <xf numFmtId="166" fontId="44" fillId="3" borderId="21" xfId="2" applyNumberFormat="1" applyFont="1" applyFill="1" applyBorder="1" applyAlignment="1" applyProtection="1">
      <alignment horizontal="left" vertical="center" wrapText="1" indent="1"/>
      <protection locked="0"/>
    </xf>
    <xf numFmtId="166" fontId="44" fillId="3" borderId="22" xfId="2" applyNumberFormat="1" applyFont="1" applyFill="1" applyBorder="1" applyAlignment="1" applyProtection="1">
      <alignment horizontal="right" vertical="center" wrapText="1" indent="1"/>
      <protection locked="0"/>
    </xf>
    <xf numFmtId="166" fontId="44" fillId="3" borderId="73" xfId="2" applyNumberFormat="1" applyFont="1" applyFill="1" applyBorder="1" applyAlignment="1" applyProtection="1">
      <alignment horizontal="right" vertical="center" wrapText="1" indent="1"/>
      <protection locked="0"/>
    </xf>
    <xf numFmtId="166" fontId="41" fillId="3" borderId="47" xfId="2" applyNumberFormat="1" applyFont="1" applyFill="1" applyBorder="1" applyAlignment="1">
      <alignment horizontal="left" vertical="center" wrapText="1" indent="1"/>
    </xf>
    <xf numFmtId="166" fontId="51" fillId="3" borderId="48" xfId="2" applyNumberFormat="1" applyFont="1" applyFill="1" applyBorder="1" applyAlignment="1">
      <alignment horizontal="left" vertical="center" wrapText="1" indent="1"/>
    </xf>
    <xf numFmtId="166" fontId="51" fillId="3" borderId="49" xfId="2" applyNumberFormat="1" applyFont="1" applyFill="1" applyBorder="1" applyAlignment="1">
      <alignment horizontal="right" vertical="center" wrapText="1" indent="1"/>
    </xf>
    <xf numFmtId="166" fontId="51" fillId="3" borderId="53" xfId="2" applyNumberFormat="1" applyFont="1" applyFill="1" applyBorder="1" applyAlignment="1">
      <alignment horizontal="right" vertical="center" wrapText="1" indent="1"/>
    </xf>
    <xf numFmtId="166" fontId="33" fillId="3" borderId="36" xfId="2" applyNumberFormat="1" applyFill="1" applyBorder="1" applyAlignment="1">
      <alignment horizontal="left" vertical="center" wrapText="1" indent="1"/>
    </xf>
    <xf numFmtId="166" fontId="52" fillId="3" borderId="51" xfId="2" applyNumberFormat="1" applyFont="1" applyFill="1" applyBorder="1" applyAlignment="1">
      <alignment horizontal="left" vertical="center" wrapText="1" indent="1"/>
    </xf>
    <xf numFmtId="166" fontId="65" fillId="3" borderId="52" xfId="2" applyNumberFormat="1" applyFont="1" applyFill="1" applyBorder="1" applyAlignment="1">
      <alignment horizontal="right" vertical="center" wrapText="1" indent="1"/>
    </xf>
    <xf numFmtId="166" fontId="52" fillId="3" borderId="18" xfId="2" applyNumberFormat="1" applyFont="1" applyFill="1" applyBorder="1" applyAlignment="1">
      <alignment horizontal="left" vertical="center" wrapText="1" indent="1"/>
    </xf>
    <xf numFmtId="166" fontId="52" fillId="3" borderId="72" xfId="2" applyNumberFormat="1" applyFont="1" applyFill="1" applyBorder="1" applyAlignment="1" applyProtection="1">
      <alignment horizontal="right" vertical="center" wrapText="1" indent="1"/>
      <protection locked="0"/>
    </xf>
    <xf numFmtId="166" fontId="52" fillId="3" borderId="19" xfId="2" applyNumberFormat="1" applyFont="1" applyFill="1" applyBorder="1" applyAlignment="1" applyProtection="1">
      <alignment horizontal="right" vertical="center" wrapText="1" indent="1"/>
      <protection locked="0"/>
    </xf>
    <xf numFmtId="166" fontId="52" fillId="3" borderId="54" xfId="2" applyNumberFormat="1" applyFont="1" applyFill="1" applyBorder="1" applyAlignment="1" applyProtection="1">
      <alignment horizontal="right" vertical="center" wrapText="1" indent="1"/>
      <protection locked="0"/>
    </xf>
    <xf numFmtId="166" fontId="65" fillId="3" borderId="19" xfId="2" applyNumberFormat="1" applyFont="1" applyFill="1" applyBorder="1" applyAlignment="1">
      <alignment horizontal="right" vertical="center" wrapText="1" indent="1"/>
    </xf>
    <xf numFmtId="166" fontId="52" fillId="3" borderId="52" xfId="2" applyNumberFormat="1" applyFont="1" applyFill="1" applyBorder="1" applyAlignment="1" applyProtection="1">
      <alignment horizontal="right" vertical="center" wrapText="1" indent="1"/>
      <protection locked="0"/>
    </xf>
    <xf numFmtId="166" fontId="41" fillId="3" borderId="48" xfId="2" applyNumberFormat="1" applyFont="1" applyFill="1" applyBorder="1" applyAlignment="1">
      <alignment horizontal="left" vertical="center" wrapText="1" indent="1"/>
    </xf>
    <xf numFmtId="166" fontId="41" fillId="3" borderId="26" xfId="2" applyNumberFormat="1" applyFont="1" applyFill="1" applyBorder="1" applyAlignment="1">
      <alignment horizontal="right" vertical="center" wrapText="1" indent="1"/>
    </xf>
    <xf numFmtId="166" fontId="41" fillId="3" borderId="50" xfId="2" applyNumberFormat="1" applyFont="1" applyFill="1" applyBorder="1" applyAlignment="1">
      <alignment horizontal="right" vertical="center" wrapText="1" indent="1"/>
    </xf>
    <xf numFmtId="166" fontId="44" fillId="3" borderId="15" xfId="2" applyNumberFormat="1" applyFont="1" applyFill="1" applyBorder="1" applyAlignment="1" applyProtection="1">
      <alignment horizontal="left" vertical="center" wrapText="1" indent="1"/>
      <protection locked="0"/>
    </xf>
    <xf numFmtId="166" fontId="52" fillId="3" borderId="61" xfId="2" applyNumberFormat="1" applyFont="1" applyFill="1" applyBorder="1" applyAlignment="1" applyProtection="1">
      <alignment horizontal="right" vertical="center" wrapText="1" indent="1"/>
      <protection locked="0"/>
    </xf>
    <xf numFmtId="166" fontId="44" fillId="3" borderId="21" xfId="2" applyNumberFormat="1" applyFont="1" applyFill="1" applyBorder="1" applyAlignment="1">
      <alignment horizontal="left" vertical="center" wrapText="1" indent="2"/>
    </xf>
    <xf numFmtId="166" fontId="52" fillId="3" borderId="62" xfId="2" applyNumberFormat="1" applyFont="1" applyFill="1" applyBorder="1" applyAlignment="1" applyProtection="1">
      <alignment horizontal="right" vertical="center" wrapText="1" indent="1"/>
      <protection locked="0"/>
    </xf>
    <xf numFmtId="166" fontId="44" fillId="3" borderId="15" xfId="2" applyNumberFormat="1" applyFont="1" applyFill="1" applyBorder="1" applyAlignment="1">
      <alignment horizontal="left" vertical="center" wrapText="1" indent="2"/>
    </xf>
    <xf numFmtId="166" fontId="52" fillId="3" borderId="18" xfId="2" applyNumberFormat="1" applyFont="1" applyFill="1" applyBorder="1" applyAlignment="1">
      <alignment horizontal="left" vertical="center" wrapText="1" indent="2"/>
    </xf>
    <xf numFmtId="166" fontId="52" fillId="3" borderId="15" xfId="2" applyNumberFormat="1" applyFont="1" applyFill="1" applyBorder="1" applyAlignment="1" applyProtection="1">
      <alignment horizontal="left" vertical="center" wrapText="1" indent="1"/>
      <protection locked="0"/>
    </xf>
    <xf numFmtId="166" fontId="52" fillId="3" borderId="19" xfId="2" applyNumberFormat="1" applyFont="1" applyFill="1" applyBorder="1" applyAlignment="1">
      <alignment horizontal="left" vertical="center" wrapText="1" indent="2"/>
    </xf>
    <xf numFmtId="166" fontId="52" fillId="3" borderId="15" xfId="2" applyNumberFormat="1" applyFont="1" applyFill="1" applyBorder="1" applyAlignment="1">
      <alignment horizontal="left" vertical="center" wrapText="1" indent="1"/>
    </xf>
    <xf numFmtId="166" fontId="65" fillId="3" borderId="19" xfId="2" applyNumberFormat="1" applyFont="1" applyFill="1" applyBorder="1" applyAlignment="1">
      <alignment horizontal="left" vertical="center" wrapText="1" indent="1"/>
    </xf>
    <xf numFmtId="166" fontId="52" fillId="3" borderId="67" xfId="2" applyNumberFormat="1" applyFont="1" applyFill="1" applyBorder="1" applyAlignment="1" applyProtection="1">
      <alignment horizontal="right" vertical="center" wrapText="1" indent="1"/>
      <protection locked="0"/>
    </xf>
    <xf numFmtId="166" fontId="52" fillId="3" borderId="71" xfId="2" applyNumberFormat="1" applyFont="1" applyFill="1" applyBorder="1" applyAlignment="1" applyProtection="1">
      <alignment horizontal="right" vertical="center" wrapText="1" indent="1"/>
      <protection locked="0"/>
    </xf>
    <xf numFmtId="166" fontId="65" fillId="3" borderId="16" xfId="2" applyNumberFormat="1" applyFont="1" applyFill="1" applyBorder="1" applyAlignment="1">
      <alignment horizontal="right" vertical="center" wrapText="1" indent="1"/>
    </xf>
    <xf numFmtId="166" fontId="65" fillId="3" borderId="51" xfId="2" applyNumberFormat="1" applyFont="1" applyFill="1" applyBorder="1" applyAlignment="1">
      <alignment horizontal="left" vertical="center" wrapText="1" indent="1"/>
    </xf>
    <xf numFmtId="166" fontId="44" fillId="3" borderId="72" xfId="2" applyNumberFormat="1" applyFont="1" applyFill="1" applyBorder="1" applyAlignment="1" applyProtection="1">
      <alignment horizontal="right" vertical="center" wrapText="1" indent="1"/>
      <protection locked="0"/>
    </xf>
    <xf numFmtId="166" fontId="44" fillId="3" borderId="51" xfId="2" applyNumberFormat="1" applyFont="1" applyFill="1" applyBorder="1" applyAlignment="1">
      <alignment horizontal="left" vertical="center" wrapText="1" indent="1"/>
    </xf>
    <xf numFmtId="166" fontId="44" fillId="3" borderId="12" xfId="2" applyNumberFormat="1" applyFont="1" applyFill="1" applyBorder="1" applyAlignment="1" applyProtection="1">
      <alignment horizontal="right" vertical="center" wrapText="1" indent="1"/>
      <protection locked="0"/>
    </xf>
    <xf numFmtId="166" fontId="44" fillId="3" borderId="51" xfId="2" applyNumberFormat="1" applyFont="1" applyFill="1" applyBorder="1" applyAlignment="1" applyProtection="1">
      <alignment horizontal="left" vertical="center" wrapText="1" indent="1"/>
      <protection locked="0"/>
    </xf>
    <xf numFmtId="166" fontId="44" fillId="3" borderId="62" xfId="2" applyNumberFormat="1" applyFont="1" applyFill="1" applyBorder="1" applyAlignment="1" applyProtection="1">
      <alignment horizontal="right" vertical="center" wrapText="1" indent="1"/>
      <protection locked="0"/>
    </xf>
    <xf numFmtId="166" fontId="44" fillId="3" borderId="4" xfId="2" applyNumberFormat="1" applyFont="1" applyFill="1" applyBorder="1" applyAlignment="1" applyProtection="1">
      <alignment horizontal="right" vertical="center" wrapText="1" indent="1"/>
      <protection locked="0"/>
    </xf>
    <xf numFmtId="166" fontId="44" fillId="3" borderId="61" xfId="2" applyNumberFormat="1" applyFont="1" applyFill="1" applyBorder="1" applyAlignment="1" applyProtection="1">
      <alignment horizontal="right" vertical="center" wrapText="1" indent="1"/>
      <protection locked="0"/>
    </xf>
    <xf numFmtId="166" fontId="51" fillId="3" borderId="53" xfId="2" applyNumberFormat="1" applyFont="1" applyFill="1" applyBorder="1" applyAlignment="1">
      <alignment horizontal="center" vertical="center" wrapText="1"/>
    </xf>
    <xf numFmtId="166" fontId="51" fillId="3" borderId="64" xfId="2" applyNumberFormat="1" applyFont="1" applyFill="1" applyBorder="1" applyAlignment="1">
      <alignment horizontal="center" vertical="center" wrapText="1"/>
    </xf>
    <xf numFmtId="0" fontId="49" fillId="0" borderId="0" xfId="3" applyFont="1"/>
    <xf numFmtId="166" fontId="66" fillId="3" borderId="0" xfId="3" applyNumberFormat="1" applyFont="1" applyFill="1" applyAlignment="1">
      <alignment horizontal="centerContinuous" vertical="center"/>
    </xf>
    <xf numFmtId="0" fontId="67" fillId="0" borderId="0" xfId="2" applyFont="1"/>
    <xf numFmtId="0" fontId="41" fillId="3" borderId="22" xfId="3" applyFont="1" applyFill="1" applyBorder="1" applyAlignment="1">
      <alignment horizontal="center" vertical="center" wrapText="1"/>
    </xf>
    <xf numFmtId="0" fontId="68" fillId="3" borderId="48" xfId="3" applyFont="1" applyFill="1" applyBorder="1" applyAlignment="1">
      <alignment horizontal="center" vertical="center"/>
    </xf>
    <xf numFmtId="0" fontId="68" fillId="3" borderId="49" xfId="3" applyFont="1" applyFill="1" applyBorder="1" applyAlignment="1">
      <alignment horizontal="center" vertical="center"/>
    </xf>
    <xf numFmtId="0" fontId="68" fillId="3" borderId="50" xfId="3" applyFont="1" applyFill="1" applyBorder="1" applyAlignment="1">
      <alignment horizontal="center" vertical="center"/>
    </xf>
    <xf numFmtId="0" fontId="68" fillId="3" borderId="15" xfId="3" applyFont="1" applyFill="1" applyBorder="1" applyAlignment="1">
      <alignment horizontal="center" vertical="center"/>
    </xf>
    <xf numFmtId="0" fontId="68" fillId="3" borderId="19" xfId="3" applyFont="1" applyFill="1" applyBorder="1" applyProtection="1">
      <protection locked="0"/>
    </xf>
    <xf numFmtId="167" fontId="68" fillId="3" borderId="19" xfId="4" applyNumberFormat="1" applyFont="1" applyFill="1" applyBorder="1" applyProtection="1">
      <protection locked="0"/>
    </xf>
    <xf numFmtId="167" fontId="68" fillId="3" borderId="20" xfId="4" applyNumberFormat="1" applyFont="1" applyFill="1" applyBorder="1"/>
    <xf numFmtId="0" fontId="68" fillId="3" borderId="18" xfId="3" applyFont="1" applyFill="1" applyBorder="1" applyAlignment="1">
      <alignment horizontal="center" vertical="center"/>
    </xf>
    <xf numFmtId="0" fontId="68" fillId="3" borderId="21" xfId="3" applyFont="1" applyFill="1" applyBorder="1" applyAlignment="1">
      <alignment horizontal="center" vertical="center"/>
    </xf>
    <xf numFmtId="0" fontId="68" fillId="3" borderId="22" xfId="3" applyFont="1" applyFill="1" applyBorder="1" applyProtection="1">
      <protection locked="0"/>
    </xf>
    <xf numFmtId="167" fontId="68" fillId="3" borderId="22" xfId="4" applyNumberFormat="1" applyFont="1" applyFill="1" applyBorder="1" applyProtection="1">
      <protection locked="0"/>
    </xf>
    <xf numFmtId="0" fontId="41" fillId="3" borderId="48" xfId="3" applyFont="1" applyFill="1" applyBorder="1" applyAlignment="1">
      <alignment horizontal="center" vertical="center"/>
    </xf>
    <xf numFmtId="0" fontId="41" fillId="3" borderId="49" xfId="3" applyFont="1" applyFill="1" applyBorder="1"/>
    <xf numFmtId="167" fontId="41" fillId="3" borderId="49" xfId="3" applyNumberFormat="1" applyFont="1" applyFill="1" applyBorder="1"/>
    <xf numFmtId="167" fontId="41" fillId="3" borderId="50" xfId="3" applyNumberFormat="1" applyFont="1" applyFill="1" applyBorder="1"/>
    <xf numFmtId="0" fontId="53" fillId="0" borderId="0" xfId="3" applyFont="1"/>
    <xf numFmtId="0" fontId="49" fillId="3" borderId="0" xfId="3" applyFont="1" applyFill="1"/>
    <xf numFmtId="0" fontId="51" fillId="3" borderId="13" xfId="3" applyFont="1" applyFill="1" applyBorder="1" applyAlignment="1">
      <alignment horizontal="center" vertical="center" wrapText="1"/>
    </xf>
    <xf numFmtId="0" fontId="51" fillId="3" borderId="4" xfId="3" applyFont="1" applyFill="1" applyBorder="1" applyAlignment="1">
      <alignment horizontal="center" vertical="center" wrapText="1"/>
    </xf>
    <xf numFmtId="0" fontId="51" fillId="3" borderId="40" xfId="3" applyFont="1" applyFill="1" applyBorder="1" applyAlignment="1">
      <alignment horizontal="center" vertical="center" wrapText="1"/>
    </xf>
    <xf numFmtId="0" fontId="51" fillId="0" borderId="37" xfId="3" applyFont="1" applyBorder="1" applyAlignment="1">
      <alignment horizontal="center" vertical="center" wrapText="1"/>
    </xf>
    <xf numFmtId="0" fontId="52" fillId="3" borderId="48" xfId="3" applyFont="1" applyFill="1" applyBorder="1" applyAlignment="1">
      <alignment horizontal="center" vertical="center"/>
    </xf>
    <xf numFmtId="0" fontId="52" fillId="3" borderId="53" xfId="3" applyFont="1" applyFill="1" applyBorder="1" applyAlignment="1">
      <alignment horizontal="center" vertical="center"/>
    </xf>
    <xf numFmtId="0" fontId="52" fillId="3" borderId="47" xfId="3" applyFont="1" applyFill="1" applyBorder="1" applyAlignment="1">
      <alignment horizontal="center" vertical="center"/>
    </xf>
    <xf numFmtId="0" fontId="44" fillId="0" borderId="47" xfId="3" applyFont="1" applyBorder="1" applyAlignment="1">
      <alignment horizontal="center" vertical="center"/>
    </xf>
    <xf numFmtId="0" fontId="52" fillId="3" borderId="13" xfId="3" applyFont="1" applyFill="1" applyBorder="1" applyAlignment="1">
      <alignment horizontal="center" vertical="center"/>
    </xf>
    <xf numFmtId="0" fontId="52" fillId="3" borderId="71" xfId="3" applyFont="1" applyFill="1" applyBorder="1"/>
    <xf numFmtId="167" fontId="52" fillId="3" borderId="40" xfId="4" applyNumberFormat="1" applyFont="1" applyFill="1" applyBorder="1" applyAlignment="1" applyProtection="1">
      <alignment vertical="center"/>
      <protection locked="0"/>
    </xf>
    <xf numFmtId="3" fontId="44" fillId="0" borderId="41" xfId="3" applyNumberFormat="1" applyFont="1" applyBorder="1" applyAlignment="1">
      <alignment vertical="center"/>
    </xf>
    <xf numFmtId="0" fontId="52" fillId="3" borderId="18" xfId="3" applyFont="1" applyFill="1" applyBorder="1" applyAlignment="1">
      <alignment horizontal="center" vertical="center"/>
    </xf>
    <xf numFmtId="0" fontId="34" fillId="3" borderId="54" xfId="2" applyFont="1" applyFill="1" applyBorder="1" applyAlignment="1">
      <alignment horizontal="justify" wrapText="1"/>
    </xf>
    <xf numFmtId="167" fontId="52" fillId="3" borderId="43" xfId="4" applyNumberFormat="1" applyFont="1" applyFill="1" applyBorder="1" applyAlignment="1" applyProtection="1">
      <alignment vertical="center"/>
      <protection locked="0"/>
    </xf>
    <xf numFmtId="3" fontId="44" fillId="0" borderId="43" xfId="3" applyNumberFormat="1" applyFont="1" applyBorder="1" applyAlignment="1">
      <alignment vertical="center"/>
    </xf>
    <xf numFmtId="0" fontId="34" fillId="3" borderId="54" xfId="2" applyFont="1" applyFill="1" applyBorder="1" applyAlignment="1">
      <alignment wrapText="1"/>
    </xf>
    <xf numFmtId="0" fontId="52" fillId="3" borderId="21" xfId="3" applyFont="1" applyFill="1" applyBorder="1" applyAlignment="1">
      <alignment horizontal="center" vertical="center"/>
    </xf>
    <xf numFmtId="167" fontId="52" fillId="3" borderId="44" xfId="4" applyNumberFormat="1" applyFont="1" applyFill="1" applyBorder="1" applyAlignment="1" applyProtection="1">
      <alignment vertical="center"/>
      <protection locked="0"/>
    </xf>
    <xf numFmtId="0" fontId="34" fillId="3" borderId="68" xfId="2" applyFont="1" applyFill="1" applyBorder="1" applyAlignment="1">
      <alignment wrapText="1"/>
    </xf>
    <xf numFmtId="3" fontId="44" fillId="0" borderId="44" xfId="3" applyNumberFormat="1" applyFont="1" applyBorder="1" applyAlignment="1">
      <alignment vertical="center"/>
    </xf>
    <xf numFmtId="167" fontId="51" fillId="3" borderId="47" xfId="4" applyNumberFormat="1" applyFont="1" applyFill="1" applyBorder="1" applyAlignment="1" applyProtection="1">
      <alignment vertical="center"/>
    </xf>
    <xf numFmtId="167" fontId="51" fillId="3" borderId="50" xfId="4" applyNumberFormat="1" applyFont="1" applyFill="1" applyBorder="1" applyAlignment="1" applyProtection="1">
      <alignment horizontal="right" vertical="center"/>
    </xf>
    <xf numFmtId="166" fontId="33" fillId="0" borderId="0" xfId="2" applyNumberFormat="1" applyAlignment="1">
      <alignment horizontal="center" vertical="center" wrapText="1"/>
    </xf>
    <xf numFmtId="166" fontId="40" fillId="0" borderId="0" xfId="2" applyNumberFormat="1" applyFont="1" applyAlignment="1">
      <alignment horizontal="right" wrapText="1"/>
    </xf>
    <xf numFmtId="166" fontId="37" fillId="0" borderId="76" xfId="2" applyNumberFormat="1" applyFont="1" applyBorder="1" applyAlignment="1">
      <alignment horizontal="center" vertical="center" wrapText="1"/>
    </xf>
    <xf numFmtId="166" fontId="37" fillId="0" borderId="49" xfId="2" applyNumberFormat="1" applyFont="1" applyBorder="1" applyAlignment="1">
      <alignment horizontal="center" vertical="center" wrapText="1"/>
    </xf>
    <xf numFmtId="166" fontId="37" fillId="0" borderId="77" xfId="2" applyNumberFormat="1" applyFont="1" applyBorder="1" applyAlignment="1">
      <alignment horizontal="center" vertical="center" wrapText="1"/>
    </xf>
    <xf numFmtId="166" fontId="43" fillId="0" borderId="78" xfId="2" applyNumberFormat="1" applyFont="1" applyBorder="1" applyAlignment="1">
      <alignment horizontal="center" vertical="center" wrapText="1"/>
    </xf>
    <xf numFmtId="166" fontId="43" fillId="0" borderId="10" xfId="2" applyNumberFormat="1" applyFont="1" applyBorder="1" applyAlignment="1">
      <alignment horizontal="center" vertical="center" wrapText="1"/>
    </xf>
    <xf numFmtId="166" fontId="43" fillId="0" borderId="79" xfId="2" applyNumberFormat="1" applyFont="1" applyBorder="1" applyAlignment="1">
      <alignment horizontal="center" vertical="center" wrapText="1"/>
    </xf>
    <xf numFmtId="166" fontId="57" fillId="0" borderId="82" xfId="2" applyNumberFormat="1" applyFont="1" applyBorder="1" applyAlignment="1" applyProtection="1">
      <alignment horizontal="left" vertical="center"/>
      <protection locked="0"/>
    </xf>
    <xf numFmtId="49" fontId="57" fillId="0" borderId="19" xfId="2" applyNumberFormat="1" applyFont="1" applyBorder="1" applyAlignment="1" applyProtection="1">
      <alignment horizontal="center" vertical="center"/>
      <protection locked="0"/>
    </xf>
    <xf numFmtId="166" fontId="57" fillId="0" borderId="19" xfId="2" applyNumberFormat="1" applyFont="1" applyBorder="1" applyAlignment="1" applyProtection="1">
      <alignment vertical="center"/>
      <protection locked="0"/>
    </xf>
    <xf numFmtId="166" fontId="57" fillId="0" borderId="83" xfId="2" applyNumberFormat="1" applyFont="1" applyBorder="1" applyAlignment="1">
      <alignment vertical="center"/>
    </xf>
    <xf numFmtId="166" fontId="57" fillId="0" borderId="84" xfId="2" applyNumberFormat="1" applyFont="1" applyBorder="1" applyAlignment="1" applyProtection="1">
      <alignment horizontal="center" vertical="center"/>
      <protection locked="0"/>
    </xf>
    <xf numFmtId="166" fontId="57" fillId="0" borderId="9" xfId="2" applyNumberFormat="1" applyFont="1" applyBorder="1" applyAlignment="1" applyProtection="1">
      <alignment horizontal="center" vertical="center"/>
      <protection locked="0"/>
    </xf>
    <xf numFmtId="49" fontId="57" fillId="0" borderId="9" xfId="2" applyNumberFormat="1" applyFont="1" applyBorder="1" applyAlignment="1" applyProtection="1">
      <alignment horizontal="center" vertical="center"/>
      <protection locked="0"/>
    </xf>
    <xf numFmtId="166" fontId="57" fillId="0" borderId="85" xfId="2" applyNumberFormat="1" applyFont="1" applyBorder="1" applyAlignment="1">
      <alignment horizontal="center" vertical="center"/>
    </xf>
    <xf numFmtId="166" fontId="70" fillId="0" borderId="83" xfId="2" applyNumberFormat="1" applyFont="1" applyBorder="1" applyAlignment="1">
      <alignment vertical="center"/>
    </xf>
    <xf numFmtId="166" fontId="42" fillId="0" borderId="0" xfId="2" applyNumberFormat="1" applyFont="1" applyAlignment="1">
      <alignment vertical="center" wrapText="1"/>
    </xf>
    <xf numFmtId="166" fontId="37" fillId="0" borderId="76" xfId="2" applyNumberFormat="1" applyFont="1" applyBorder="1" applyAlignment="1">
      <alignment horizontal="left" vertical="center" wrapText="1"/>
    </xf>
    <xf numFmtId="166" fontId="43" fillId="0" borderId="49" xfId="2" applyNumberFormat="1" applyFont="1" applyBorder="1" applyAlignment="1">
      <alignment vertical="center" wrapText="1"/>
    </xf>
    <xf numFmtId="166" fontId="43" fillId="0" borderId="77" xfId="2" applyNumberFormat="1" applyFont="1" applyBorder="1" applyAlignment="1">
      <alignment vertical="center" wrapText="1"/>
    </xf>
    <xf numFmtId="166" fontId="52" fillId="0" borderId="0" xfId="2" applyNumberFormat="1" applyFont="1" applyAlignment="1">
      <alignment horizontal="left" vertical="center" wrapText="1"/>
    </xf>
    <xf numFmtId="166" fontId="40" fillId="3" borderId="0" xfId="2" applyNumberFormat="1" applyFont="1" applyFill="1" applyAlignment="1">
      <alignment horizontal="right" wrapText="1"/>
    </xf>
    <xf numFmtId="166" fontId="37" fillId="3" borderId="50" xfId="2" applyNumberFormat="1" applyFont="1" applyFill="1" applyBorder="1" applyAlignment="1">
      <alignment horizontal="center" vertical="center" wrapText="1"/>
    </xf>
    <xf numFmtId="166" fontId="43" fillId="3" borderId="8" xfId="2" applyNumberFormat="1" applyFont="1" applyFill="1" applyBorder="1" applyAlignment="1">
      <alignment horizontal="center" vertical="center" wrapText="1"/>
    </xf>
    <xf numFmtId="166" fontId="43" fillId="3" borderId="10" xfId="2" applyNumberFormat="1" applyFont="1" applyFill="1" applyBorder="1" applyAlignment="1">
      <alignment horizontal="center" vertical="center" wrapText="1"/>
    </xf>
    <xf numFmtId="166" fontId="43" fillId="3" borderId="12" xfId="2" applyNumberFormat="1" applyFont="1" applyFill="1" applyBorder="1" applyAlignment="1">
      <alignment horizontal="center" vertical="center" wrapText="1"/>
    </xf>
    <xf numFmtId="166" fontId="46" fillId="3" borderId="19" xfId="2" applyNumberFormat="1" applyFont="1" applyFill="1" applyBorder="1" applyAlignment="1" applyProtection="1">
      <alignment vertical="center" wrapText="1"/>
      <protection locked="0"/>
    </xf>
    <xf numFmtId="49" fontId="46" fillId="3" borderId="19" xfId="2" applyNumberFormat="1" applyFont="1" applyFill="1" applyBorder="1" applyAlignment="1" applyProtection="1">
      <alignment horizontal="center" vertical="center" wrapText="1"/>
      <protection locked="0"/>
    </xf>
    <xf numFmtId="166" fontId="46" fillId="3" borderId="20" xfId="2" applyNumberFormat="1" applyFont="1" applyFill="1" applyBorder="1" applyAlignment="1">
      <alignment vertical="center" wrapText="1"/>
    </xf>
    <xf numFmtId="166" fontId="46" fillId="3" borderId="18" xfId="2" applyNumberFormat="1" applyFont="1" applyFill="1" applyBorder="1" applyAlignment="1" applyProtection="1">
      <alignment horizontal="left" vertical="center" wrapText="1" indent="1"/>
      <protection locked="0"/>
    </xf>
    <xf numFmtId="166" fontId="46" fillId="3" borderId="21" xfId="2" applyNumberFormat="1" applyFont="1" applyFill="1" applyBorder="1" applyAlignment="1" applyProtection="1">
      <alignment horizontal="left" vertical="center" wrapText="1" indent="1"/>
      <protection locked="0"/>
    </xf>
    <xf numFmtId="166" fontId="46" fillId="3" borderId="22" xfId="2" applyNumberFormat="1" applyFont="1" applyFill="1" applyBorder="1" applyAlignment="1" applyProtection="1">
      <alignment vertical="center" wrapText="1"/>
      <protection locked="0"/>
    </xf>
    <xf numFmtId="49" fontId="46" fillId="3" borderId="22" xfId="2" applyNumberFormat="1" applyFont="1" applyFill="1" applyBorder="1" applyAlignment="1" applyProtection="1">
      <alignment horizontal="center" vertical="center" wrapText="1"/>
      <protection locked="0"/>
    </xf>
    <xf numFmtId="166" fontId="46" fillId="3" borderId="23" xfId="2" applyNumberFormat="1" applyFont="1" applyFill="1" applyBorder="1" applyAlignment="1">
      <alignment vertical="center" wrapText="1"/>
    </xf>
    <xf numFmtId="166" fontId="37" fillId="3" borderId="48" xfId="2" applyNumberFormat="1" applyFont="1" applyFill="1" applyBorder="1" applyAlignment="1">
      <alignment horizontal="left" vertical="center" wrapText="1"/>
    </xf>
    <xf numFmtId="166" fontId="37" fillId="3" borderId="49" xfId="2" applyNumberFormat="1" applyFont="1" applyFill="1" applyBorder="1" applyAlignment="1">
      <alignment vertical="center" wrapText="1"/>
    </xf>
    <xf numFmtId="166" fontId="37" fillId="22" borderId="49" xfId="2" applyNumberFormat="1" applyFont="1" applyFill="1" applyBorder="1" applyAlignment="1">
      <alignment vertical="center" wrapText="1"/>
    </xf>
    <xf numFmtId="166" fontId="37" fillId="3" borderId="50" xfId="2" applyNumberFormat="1" applyFont="1" applyFill="1" applyBorder="1" applyAlignment="1">
      <alignment vertical="center" wrapText="1"/>
    </xf>
    <xf numFmtId="166" fontId="33" fillId="3" borderId="18" xfId="2" applyNumberFormat="1" applyFont="1" applyFill="1" applyBorder="1" applyAlignment="1" applyProtection="1">
      <alignment horizontal="left" vertical="center" wrapText="1" indent="1"/>
      <protection locked="0"/>
    </xf>
    <xf numFmtId="0" fontId="15" fillId="0" borderId="0" xfId="6"/>
    <xf numFmtId="0" fontId="73" fillId="0" borderId="0" xfId="5" applyFont="1" applyAlignment="1">
      <alignment horizontal="center" vertical="center"/>
    </xf>
    <xf numFmtId="0" fontId="74" fillId="3" borderId="37" xfId="5" applyFont="1" applyFill="1" applyBorder="1" applyAlignment="1">
      <alignment horizontal="center"/>
    </xf>
    <xf numFmtId="0" fontId="73" fillId="0" borderId="0" xfId="5" applyFont="1" applyAlignment="1">
      <alignment horizontal="right"/>
    </xf>
    <xf numFmtId="0" fontId="74" fillId="3" borderId="38" xfId="5" applyFont="1" applyFill="1" applyBorder="1" applyAlignment="1">
      <alignment horizontal="center" wrapText="1"/>
    </xf>
    <xf numFmtId="0" fontId="76" fillId="3" borderId="24" xfId="5" applyFont="1" applyFill="1" applyBorder="1" applyAlignment="1">
      <alignment horizontal="center" vertical="center"/>
    </xf>
    <xf numFmtId="0" fontId="76" fillId="3" borderId="25" xfId="5" applyFont="1" applyFill="1" applyBorder="1" applyAlignment="1">
      <alignment horizontal="center" vertical="center"/>
    </xf>
    <xf numFmtId="0" fontId="77" fillId="0" borderId="0" xfId="5" applyFont="1" applyAlignment="1">
      <alignment horizontal="right"/>
    </xf>
    <xf numFmtId="0" fontId="77" fillId="3" borderId="42" xfId="5" applyFont="1" applyFill="1" applyBorder="1" applyAlignment="1">
      <alignment horizontal="left" wrapText="1"/>
    </xf>
    <xf numFmtId="0" fontId="14" fillId="0" borderId="0" xfId="6" applyFont="1"/>
    <xf numFmtId="3" fontId="78" fillId="0" borderId="65" xfId="5" applyNumberFormat="1" applyFont="1" applyBorder="1" applyAlignment="1">
      <alignment horizontal="right"/>
    </xf>
    <xf numFmtId="3" fontId="78" fillId="0" borderId="43" xfId="5" applyNumberFormat="1" applyFont="1" applyBorder="1" applyAlignment="1">
      <alignment horizontal="right"/>
    </xf>
    <xf numFmtId="0" fontId="33" fillId="0" borderId="0" xfId="2"/>
    <xf numFmtId="0" fontId="71" fillId="0" borderId="0" xfId="5"/>
    <xf numFmtId="0" fontId="79" fillId="0" borderId="0" xfId="5" applyFont="1" applyAlignment="1">
      <alignment wrapText="1"/>
    </xf>
    <xf numFmtId="0" fontId="15" fillId="0" borderId="0" xfId="6" applyAlignment="1">
      <alignment wrapText="1"/>
    </xf>
    <xf numFmtId="3" fontId="80" fillId="0" borderId="65" xfId="5" applyNumberFormat="1" applyFont="1" applyBorder="1" applyAlignment="1">
      <alignment horizontal="right"/>
    </xf>
    <xf numFmtId="3" fontId="80" fillId="0" borderId="43" xfId="5" applyNumberFormat="1" applyFont="1" applyBorder="1" applyAlignment="1">
      <alignment horizontal="right"/>
    </xf>
    <xf numFmtId="0" fontId="77" fillId="3" borderId="42" xfId="5" applyFont="1" applyFill="1" applyBorder="1" applyAlignment="1">
      <alignment horizontal="left" indent="1"/>
    </xf>
    <xf numFmtId="3" fontId="78" fillId="3" borderId="43" xfId="5" applyNumberFormat="1" applyFont="1" applyFill="1" applyBorder="1" applyAlignment="1">
      <alignment horizontal="right"/>
    </xf>
    <xf numFmtId="3" fontId="78" fillId="3" borderId="18" xfId="5" applyNumberFormat="1" applyFont="1" applyFill="1" applyBorder="1" applyAlignment="1">
      <alignment horizontal="right"/>
    </xf>
    <xf numFmtId="3" fontId="78" fillId="3" borderId="20" xfId="5" applyNumberFormat="1" applyFont="1" applyFill="1" applyBorder="1" applyAlignment="1">
      <alignment horizontal="right"/>
    </xf>
    <xf numFmtId="0" fontId="73" fillId="3" borderId="45" xfId="5" applyFont="1" applyFill="1" applyBorder="1" applyAlignment="1">
      <alignment horizontal="left" indent="1"/>
    </xf>
    <xf numFmtId="3" fontId="4" fillId="3" borderId="43" xfId="5" applyNumberFormat="1" applyFont="1" applyFill="1" applyBorder="1" applyAlignment="1">
      <alignment horizontal="right"/>
    </xf>
    <xf numFmtId="3" fontId="4" fillId="3" borderId="18" xfId="5" applyNumberFormat="1" applyFont="1" applyFill="1" applyBorder="1" applyAlignment="1">
      <alignment horizontal="right"/>
    </xf>
    <xf numFmtId="3" fontId="4" fillId="3" borderId="20" xfId="5" applyNumberFormat="1" applyFont="1" applyFill="1" applyBorder="1" applyAlignment="1">
      <alignment horizontal="right"/>
    </xf>
    <xf numFmtId="3" fontId="4" fillId="0" borderId="66" xfId="5" applyNumberFormat="1" applyFont="1" applyBorder="1" applyAlignment="1">
      <alignment horizontal="right"/>
    </xf>
    <xf numFmtId="3" fontId="4" fillId="0" borderId="44" xfId="5" applyNumberFormat="1" applyFont="1" applyBorder="1" applyAlignment="1">
      <alignment horizontal="right"/>
    </xf>
    <xf numFmtId="0" fontId="77" fillId="3" borderId="45" xfId="5" applyFont="1" applyFill="1" applyBorder="1" applyAlignment="1">
      <alignment horizontal="left" indent="1"/>
    </xf>
    <xf numFmtId="3" fontId="78" fillId="0" borderId="66" xfId="5" applyNumberFormat="1" applyFont="1" applyBorder="1" applyAlignment="1">
      <alignment horizontal="right"/>
    </xf>
    <xf numFmtId="3" fontId="78" fillId="0" borderId="44" xfId="5" applyNumberFormat="1" applyFont="1" applyBorder="1" applyAlignment="1">
      <alignment horizontal="right"/>
    </xf>
    <xf numFmtId="3" fontId="78" fillId="3" borderId="44" xfId="5" applyNumberFormat="1" applyFont="1" applyFill="1" applyBorder="1" applyAlignment="1">
      <alignment horizontal="right"/>
    </xf>
    <xf numFmtId="3" fontId="78" fillId="3" borderId="21" xfId="5" applyNumberFormat="1" applyFont="1" applyFill="1" applyBorder="1" applyAlignment="1">
      <alignment horizontal="right"/>
    </xf>
    <xf numFmtId="3" fontId="78" fillId="3" borderId="23" xfId="5" applyNumberFormat="1" applyFont="1" applyFill="1" applyBorder="1" applyAlignment="1">
      <alignment horizontal="right"/>
    </xf>
    <xf numFmtId="0" fontId="80" fillId="3" borderId="34" xfId="5" applyFont="1" applyFill="1" applyBorder="1" applyAlignment="1">
      <alignment horizontal="center"/>
    </xf>
    <xf numFmtId="3" fontId="80" fillId="3" borderId="47" xfId="5" applyNumberFormat="1" applyFont="1" applyFill="1" applyBorder="1"/>
    <xf numFmtId="3" fontId="80" fillId="3" borderId="34" xfId="5" applyNumberFormat="1" applyFont="1" applyFill="1" applyBorder="1"/>
    <xf numFmtId="3" fontId="80" fillId="3" borderId="50" xfId="5" applyNumberFormat="1" applyFont="1" applyFill="1" applyBorder="1"/>
    <xf numFmtId="3" fontId="80" fillId="0" borderId="75" xfId="5" applyNumberFormat="1" applyFont="1" applyBorder="1"/>
    <xf numFmtId="3" fontId="80" fillId="0" borderId="46" xfId="5" applyNumberFormat="1" applyFont="1" applyBorder="1"/>
    <xf numFmtId="0" fontId="15" fillId="3" borderId="0" xfId="6" applyFill="1"/>
    <xf numFmtId="0" fontId="77" fillId="3" borderId="40" xfId="5" applyFont="1" applyFill="1" applyBorder="1" applyAlignment="1">
      <alignment horizontal="left"/>
    </xf>
    <xf numFmtId="3" fontId="77" fillId="3" borderId="41" xfId="5" applyNumberFormat="1" applyFont="1" applyFill="1" applyBorder="1" applyAlignment="1">
      <alignment horizontal="right"/>
    </xf>
    <xf numFmtId="0" fontId="73" fillId="3" borderId="15" xfId="5" applyFont="1" applyFill="1" applyBorder="1" applyAlignment="1">
      <alignment horizontal="right"/>
    </xf>
    <xf numFmtId="3" fontId="73" fillId="3" borderId="17" xfId="5" applyNumberFormat="1" applyFont="1" applyFill="1" applyBorder="1" applyAlignment="1">
      <alignment horizontal="right"/>
    </xf>
    <xf numFmtId="0" fontId="77" fillId="3" borderId="43" xfId="5" applyFont="1" applyFill="1" applyBorder="1" applyAlignment="1">
      <alignment horizontal="right"/>
    </xf>
    <xf numFmtId="0" fontId="77" fillId="3" borderId="18" xfId="5" applyFont="1" applyFill="1" applyBorder="1" applyAlignment="1">
      <alignment horizontal="right"/>
    </xf>
    <xf numFmtId="3" fontId="77" fillId="3" borderId="20" xfId="5" applyNumberFormat="1" applyFont="1" applyFill="1" applyBorder="1" applyAlignment="1">
      <alignment horizontal="right"/>
    </xf>
    <xf numFmtId="3" fontId="73" fillId="3" borderId="43" xfId="5" applyNumberFormat="1" applyFont="1" applyFill="1" applyBorder="1" applyAlignment="1">
      <alignment horizontal="right"/>
    </xf>
    <xf numFmtId="3" fontId="73" fillId="3" borderId="18" xfId="5" applyNumberFormat="1" applyFont="1" applyFill="1" applyBorder="1" applyAlignment="1">
      <alignment horizontal="right"/>
    </xf>
    <xf numFmtId="0" fontId="77" fillId="3" borderId="42" xfId="5" applyFont="1" applyFill="1" applyBorder="1" applyAlignment="1">
      <alignment horizontal="left"/>
    </xf>
    <xf numFmtId="3" fontId="77" fillId="3" borderId="43" xfId="5" applyNumberFormat="1" applyFont="1" applyFill="1" applyBorder="1" applyAlignment="1">
      <alignment horizontal="right"/>
    </xf>
    <xf numFmtId="3" fontId="77" fillId="3" borderId="18" xfId="5" applyNumberFormat="1" applyFont="1" applyFill="1" applyBorder="1" applyAlignment="1">
      <alignment horizontal="right"/>
    </xf>
    <xf numFmtId="3" fontId="77" fillId="3" borderId="18" xfId="5" applyNumberFormat="1" applyFont="1" applyFill="1" applyBorder="1"/>
    <xf numFmtId="3" fontId="77" fillId="3" borderId="20" xfId="5" applyNumberFormat="1" applyFont="1" applyFill="1" applyBorder="1"/>
    <xf numFmtId="3" fontId="77" fillId="3" borderId="43" xfId="5" applyNumberFormat="1" applyFont="1" applyFill="1" applyBorder="1" applyAlignment="1">
      <alignment wrapText="1"/>
    </xf>
    <xf numFmtId="3" fontId="77" fillId="3" borderId="18" xfId="5" applyNumberFormat="1" applyFont="1" applyFill="1" applyBorder="1" applyAlignment="1">
      <alignment wrapText="1"/>
    </xf>
    <xf numFmtId="3" fontId="77" fillId="3" borderId="20" xfId="5" applyNumberFormat="1" applyFont="1" applyFill="1" applyBorder="1" applyAlignment="1">
      <alignment wrapText="1"/>
    </xf>
    <xf numFmtId="3" fontId="81" fillId="3" borderId="43" xfId="5" applyNumberFormat="1" applyFont="1" applyFill="1" applyBorder="1" applyAlignment="1">
      <alignment horizontal="right"/>
    </xf>
    <xf numFmtId="3" fontId="73" fillId="3" borderId="20" xfId="5" applyNumberFormat="1" applyFont="1" applyFill="1" applyBorder="1" applyAlignment="1">
      <alignment horizontal="right"/>
    </xf>
    <xf numFmtId="0" fontId="33" fillId="0" borderId="0" xfId="2" applyAlignment="1">
      <alignment vertical="center"/>
    </xf>
    <xf numFmtId="0" fontId="82" fillId="0" borderId="0" xfId="2" applyFont="1" applyAlignment="1">
      <alignment vertical="center"/>
    </xf>
    <xf numFmtId="0" fontId="36" fillId="0" borderId="0" xfId="2" applyFont="1" applyAlignment="1">
      <alignment vertical="center"/>
    </xf>
    <xf numFmtId="0" fontId="36" fillId="0" borderId="0" xfId="2" applyFont="1" applyAlignment="1" applyProtection="1">
      <alignment vertical="center"/>
      <protection locked="0"/>
    </xf>
    <xf numFmtId="0" fontId="36" fillId="0" borderId="0" xfId="2" applyFont="1" applyProtection="1">
      <protection locked="0"/>
    </xf>
    <xf numFmtId="0" fontId="33" fillId="0" borderId="0" xfId="2" applyAlignment="1" applyProtection="1">
      <alignment vertical="center"/>
      <protection locked="0"/>
    </xf>
    <xf numFmtId="0" fontId="33" fillId="0" borderId="0" xfId="2" applyProtection="1">
      <protection locked="0"/>
    </xf>
    <xf numFmtId="0" fontId="53" fillId="0" borderId="0" xfId="2" applyFont="1" applyAlignment="1" applyProtection="1">
      <alignment vertical="center"/>
      <protection locked="0"/>
    </xf>
    <xf numFmtId="0" fontId="54" fillId="0" borderId="0" xfId="2" applyFont="1" applyAlignment="1">
      <alignment vertical="center"/>
    </xf>
    <xf numFmtId="0" fontId="54" fillId="0" borderId="0" xfId="2" applyFont="1"/>
    <xf numFmtId="6" fontId="54" fillId="0" borderId="0" xfId="2" applyNumberFormat="1" applyFont="1" applyAlignment="1">
      <alignment vertical="center"/>
    </xf>
    <xf numFmtId="0" fontId="37" fillId="0" borderId="48" xfId="2" applyFont="1" applyBorder="1" applyAlignment="1">
      <alignment horizontal="center" vertical="center" wrapText="1"/>
    </xf>
    <xf numFmtId="0" fontId="37" fillId="0" borderId="49" xfId="2" applyFont="1" applyBorder="1" applyAlignment="1">
      <alignment horizontal="center" vertical="center" wrapText="1"/>
    </xf>
    <xf numFmtId="0" fontId="37" fillId="0" borderId="50" xfId="2" applyFont="1" applyBorder="1" applyAlignment="1">
      <alignment horizontal="center" vertical="center" wrapText="1"/>
    </xf>
    <xf numFmtId="0" fontId="42" fillId="0" borderId="0" xfId="2" applyFont="1" applyAlignment="1">
      <alignment horizontal="center" vertical="center" wrapText="1"/>
    </xf>
    <xf numFmtId="0" fontId="52" fillId="0" borderId="15" xfId="2" applyFont="1" applyBorder="1" applyAlignment="1">
      <alignment horizontal="center" vertical="center"/>
    </xf>
    <xf numFmtId="0" fontId="52" fillId="0" borderId="16" xfId="2" applyFont="1" applyBorder="1" applyAlignment="1">
      <alignment vertical="center" wrapText="1"/>
    </xf>
    <xf numFmtId="166" fontId="52" fillId="0" borderId="16" xfId="2" applyNumberFormat="1" applyFont="1" applyBorder="1" applyAlignment="1" applyProtection="1">
      <alignment vertical="center"/>
      <protection locked="0"/>
    </xf>
    <xf numFmtId="166" fontId="51" fillId="0" borderId="17" xfId="2" applyNumberFormat="1" applyFont="1" applyBorder="1" applyAlignment="1">
      <alignment vertical="center"/>
    </xf>
    <xf numFmtId="0" fontId="52" fillId="0" borderId="18" xfId="2" applyFont="1" applyBorder="1" applyAlignment="1">
      <alignment horizontal="center" vertical="center"/>
    </xf>
    <xf numFmtId="0" fontId="52" fillId="0" borderId="19" xfId="2" applyFont="1" applyBorder="1" applyAlignment="1">
      <alignment vertical="center" wrapText="1"/>
    </xf>
    <xf numFmtId="166" fontId="52" fillId="0" borderId="19" xfId="2" applyNumberFormat="1" applyFont="1" applyBorder="1" applyAlignment="1" applyProtection="1">
      <alignment vertical="center"/>
      <protection locked="0"/>
    </xf>
    <xf numFmtId="166" fontId="51" fillId="0" borderId="20" xfId="2" applyNumberFormat="1" applyFont="1" applyBorder="1" applyAlignment="1">
      <alignment vertical="center"/>
    </xf>
    <xf numFmtId="0" fontId="52" fillId="0" borderId="21" xfId="2" applyFont="1" applyBorder="1" applyAlignment="1">
      <alignment horizontal="center" vertical="center"/>
    </xf>
    <xf numFmtId="0" fontId="52" fillId="0" borderId="22" xfId="2" applyFont="1" applyBorder="1" applyAlignment="1">
      <alignment vertical="center" wrapText="1"/>
    </xf>
    <xf numFmtId="166" fontId="52" fillId="0" borderId="22" xfId="2" applyNumberFormat="1" applyFont="1" applyBorder="1" applyAlignment="1" applyProtection="1">
      <alignment vertical="center"/>
      <protection locked="0"/>
    </xf>
    <xf numFmtId="166" fontId="51" fillId="0" borderId="23" xfId="2" applyNumberFormat="1" applyFont="1" applyBorder="1" applyAlignment="1">
      <alignment vertical="center"/>
    </xf>
    <xf numFmtId="0" fontId="51" fillId="0" borderId="48" xfId="2" applyFont="1" applyBorder="1" applyAlignment="1">
      <alignment horizontal="center" vertical="center"/>
    </xf>
    <xf numFmtId="0" fontId="62" fillId="0" borderId="49" xfId="2" applyFont="1" applyBorder="1" applyAlignment="1">
      <alignment vertical="center" wrapText="1"/>
    </xf>
    <xf numFmtId="166" fontId="51" fillId="0" borderId="49" xfId="2" applyNumberFormat="1" applyFont="1" applyBorder="1" applyAlignment="1">
      <alignment vertical="center"/>
    </xf>
    <xf numFmtId="166" fontId="51" fillId="0" borderId="50" xfId="2" applyNumberFormat="1" applyFont="1" applyBorder="1" applyAlignment="1">
      <alignment vertical="center"/>
    </xf>
    <xf numFmtId="0" fontId="42" fillId="0" borderId="0" xfId="2" applyFont="1"/>
    <xf numFmtId="0" fontId="40" fillId="0" borderId="0" xfId="2" applyFont="1" applyAlignment="1">
      <alignment horizontal="center" vertical="center"/>
    </xf>
    <xf numFmtId="0" fontId="33" fillId="0" borderId="0" xfId="7" applyFont="1" applyProtection="1">
      <protection locked="0"/>
    </xf>
    <xf numFmtId="0" fontId="35" fillId="0" borderId="0" xfId="7" applyProtection="1">
      <protection locked="0"/>
    </xf>
    <xf numFmtId="0" fontId="35" fillId="0" borderId="0" xfId="7"/>
    <xf numFmtId="0" fontId="40" fillId="0" borderId="0" xfId="2" applyFont="1" applyAlignment="1">
      <alignment horizontal="right"/>
    </xf>
    <xf numFmtId="0" fontId="62" fillId="0" borderId="2" xfId="7" applyFont="1" applyBorder="1" applyAlignment="1">
      <alignment horizontal="center" vertical="center" wrapText="1"/>
    </xf>
    <xf numFmtId="0" fontId="62" fillId="0" borderId="70" xfId="7" applyFont="1" applyBorder="1" applyAlignment="1">
      <alignment horizontal="center" vertical="center"/>
    </xf>
    <xf numFmtId="0" fontId="62" fillId="0" borderId="7" xfId="7" applyFont="1" applyBorder="1" applyAlignment="1">
      <alignment horizontal="center" vertical="center"/>
    </xf>
    <xf numFmtId="0" fontId="33" fillId="0" borderId="0" xfId="7" applyFont="1"/>
    <xf numFmtId="0" fontId="44" fillId="0" borderId="48" xfId="7" applyFont="1" applyBorder="1" applyAlignment="1">
      <alignment horizontal="left" vertical="center" indent="1"/>
    </xf>
    <xf numFmtId="0" fontId="33" fillId="0" borderId="0" xfId="7" applyFont="1" applyAlignment="1">
      <alignment vertical="center"/>
    </xf>
    <xf numFmtId="0" fontId="35" fillId="0" borderId="0" xfId="7" applyAlignment="1">
      <alignment vertical="center"/>
    </xf>
    <xf numFmtId="0" fontId="44" fillId="0" borderId="51" xfId="7" applyFont="1" applyBorder="1" applyAlignment="1">
      <alignment horizontal="left" vertical="center" indent="1"/>
    </xf>
    <xf numFmtId="0" fontId="44" fillId="0" borderId="52" xfId="7" applyFont="1" applyBorder="1" applyAlignment="1">
      <alignment horizontal="left" vertical="center" wrapText="1" indent="1"/>
    </xf>
    <xf numFmtId="166" fontId="44" fillId="0" borderId="52" xfId="7" applyNumberFormat="1" applyFont="1" applyBorder="1" applyAlignment="1" applyProtection="1">
      <alignment vertical="center"/>
      <protection locked="0"/>
    </xf>
    <xf numFmtId="166" fontId="44" fillId="0" borderId="58" xfId="7" applyNumberFormat="1" applyFont="1" applyBorder="1" applyAlignment="1">
      <alignment vertical="center"/>
    </xf>
    <xf numFmtId="0" fontId="44" fillId="0" borderId="18" xfId="7" applyFont="1" applyBorder="1" applyAlignment="1">
      <alignment horizontal="left" vertical="center" indent="1"/>
    </xf>
    <xf numFmtId="0" fontId="44" fillId="0" borderId="19" xfId="7" applyFont="1" applyBorder="1" applyAlignment="1">
      <alignment horizontal="left" vertical="center" wrapText="1" indent="1"/>
    </xf>
    <xf numFmtId="166" fontId="44" fillId="0" borderId="19" xfId="7" applyNumberFormat="1" applyFont="1" applyBorder="1" applyAlignment="1" applyProtection="1">
      <alignment vertical="center"/>
      <protection locked="0"/>
    </xf>
    <xf numFmtId="166" fontId="44" fillId="0" borderId="20" xfId="7" applyNumberFormat="1" applyFont="1" applyBorder="1" applyAlignment="1">
      <alignment vertical="center"/>
    </xf>
    <xf numFmtId="0" fontId="33" fillId="0" borderId="0" xfId="7" applyFont="1" applyAlignment="1" applyProtection="1">
      <alignment vertical="center"/>
      <protection locked="0"/>
    </xf>
    <xf numFmtId="0" fontId="35" fillId="0" borderId="0" xfId="7" applyAlignment="1" applyProtection="1">
      <alignment vertical="center"/>
      <protection locked="0"/>
    </xf>
    <xf numFmtId="0" fontId="44" fillId="0" borderId="16" xfId="7" applyFont="1" applyBorder="1" applyAlignment="1">
      <alignment horizontal="left" vertical="center" wrapText="1" indent="1"/>
    </xf>
    <xf numFmtId="166" fontId="44" fillId="0" borderId="16" xfId="7" applyNumberFormat="1" applyFont="1" applyBorder="1" applyAlignment="1" applyProtection="1">
      <alignment vertical="center"/>
      <protection locked="0"/>
    </xf>
    <xf numFmtId="166" fontId="44" fillId="0" borderId="17" xfId="7" applyNumberFormat="1" applyFont="1" applyBorder="1" applyAlignment="1">
      <alignment vertical="center"/>
    </xf>
    <xf numFmtId="0" fontId="44" fillId="0" borderId="19" xfId="7" applyFont="1" applyBorder="1" applyAlignment="1">
      <alignment horizontal="left" vertical="center" indent="1"/>
    </xf>
    <xf numFmtId="0" fontId="37" fillId="0" borderId="49" xfId="7" applyFont="1" applyBorder="1" applyAlignment="1">
      <alignment horizontal="left" vertical="center" indent="1"/>
    </xf>
    <xf numFmtId="166" fontId="43" fillId="0" borderId="49" xfId="7" applyNumberFormat="1" applyFont="1" applyBorder="1" applyAlignment="1">
      <alignment vertical="center"/>
    </xf>
    <xf numFmtId="166" fontId="43" fillId="0" borderId="50" xfId="7" applyNumberFormat="1" applyFont="1" applyBorder="1" applyAlignment="1">
      <alignment vertical="center"/>
    </xf>
    <xf numFmtId="0" fontId="44" fillId="0" borderId="15" xfId="7" applyFont="1" applyBorder="1" applyAlignment="1">
      <alignment horizontal="left" vertical="center" indent="1"/>
    </xf>
    <xf numFmtId="0" fontId="44" fillId="0" borderId="16" xfId="7" applyFont="1" applyBorder="1" applyAlignment="1">
      <alignment horizontal="left" vertical="center" indent="1"/>
    </xf>
    <xf numFmtId="0" fontId="37" fillId="0" borderId="49" xfId="7" applyFont="1" applyBorder="1" applyAlignment="1">
      <alignment horizontal="left" indent="1"/>
    </xf>
    <xf numFmtId="166" fontId="43" fillId="0" borderId="49" xfId="7" applyNumberFormat="1" applyFont="1" applyBorder="1"/>
    <xf numFmtId="166" fontId="43" fillId="0" borderId="50" xfId="7" applyNumberFormat="1" applyFont="1" applyBorder="1"/>
    <xf numFmtId="0" fontId="68" fillId="0" borderId="0" xfId="7" applyFont="1"/>
    <xf numFmtId="0" fontId="53" fillId="0" borderId="0" xfId="7" applyFont="1" applyProtection="1">
      <protection locked="0"/>
    </xf>
    <xf numFmtId="0" fontId="38" fillId="0" borderId="0" xfId="7" applyFont="1" applyProtection="1">
      <protection locked="0"/>
    </xf>
    <xf numFmtId="0" fontId="62" fillId="0" borderId="2" xfId="2" applyFont="1" applyBorder="1" applyAlignment="1">
      <alignment horizontal="center" vertical="center" wrapText="1"/>
    </xf>
    <xf numFmtId="0" fontId="62" fillId="0" borderId="70" xfId="2" applyFont="1" applyBorder="1" applyAlignment="1">
      <alignment horizontal="center" vertical="center"/>
    </xf>
    <xf numFmtId="0" fontId="62" fillId="0" borderId="7" xfId="2" applyFont="1" applyBorder="1" applyAlignment="1">
      <alignment horizontal="center" vertical="center" wrapText="1"/>
    </xf>
    <xf numFmtId="0" fontId="52" fillId="0" borderId="18" xfId="2" applyFont="1" applyBorder="1" applyAlignment="1">
      <alignment horizontal="right" vertical="center" indent="1"/>
    </xf>
    <xf numFmtId="0" fontId="52" fillId="0" borderId="19" xfId="2" applyFont="1" applyBorder="1" applyAlignment="1" applyProtection="1">
      <alignment horizontal="left" vertical="center" indent="1"/>
      <protection locked="0"/>
    </xf>
    <xf numFmtId="3" fontId="52" fillId="0" borderId="20" xfId="2" applyNumberFormat="1" applyFont="1" applyBorder="1" applyAlignment="1" applyProtection="1">
      <alignment horizontal="right" vertical="center" indent="1"/>
      <protection locked="0"/>
    </xf>
    <xf numFmtId="0" fontId="52" fillId="0" borderId="19" xfId="2" applyFont="1" applyBorder="1" applyAlignment="1" applyProtection="1">
      <alignment horizontal="left" vertical="center" wrapText="1" indent="1"/>
      <protection locked="0"/>
    </xf>
    <xf numFmtId="0" fontId="52" fillId="0" borderId="22" xfId="2" applyFont="1" applyBorder="1" applyAlignment="1" applyProtection="1">
      <alignment horizontal="left" vertical="center" indent="1"/>
      <protection locked="0"/>
    </xf>
    <xf numFmtId="3" fontId="52" fillId="0" borderId="23" xfId="2" applyNumberFormat="1" applyFont="1" applyBorder="1" applyAlignment="1" applyProtection="1">
      <alignment horizontal="right" vertical="center" indent="1"/>
      <protection locked="0"/>
    </xf>
    <xf numFmtId="166" fontId="68" fillId="23" borderId="47" xfId="2" applyNumberFormat="1" applyFont="1" applyFill="1" applyBorder="1" applyAlignment="1">
      <alignment horizontal="left" vertical="center" wrapText="1" indent="2"/>
    </xf>
    <xf numFmtId="3" fontId="41" fillId="0" borderId="50" xfId="2" applyNumberFormat="1" applyFont="1" applyBorder="1" applyAlignment="1">
      <alignment horizontal="right" vertical="center" indent="1"/>
    </xf>
    <xf numFmtId="0" fontId="52" fillId="0" borderId="0" xfId="2" applyFont="1"/>
    <xf numFmtId="166" fontId="40" fillId="0" borderId="0" xfId="2" applyNumberFormat="1" applyFont="1" applyAlignment="1">
      <alignment horizontal="right"/>
    </xf>
    <xf numFmtId="166" fontId="66" fillId="0" borderId="0" xfId="2" applyNumberFormat="1" applyFont="1" applyAlignment="1">
      <alignment vertical="center"/>
    </xf>
    <xf numFmtId="166" fontId="37" fillId="0" borderId="68" xfId="2" applyNumberFormat="1" applyFont="1" applyBorder="1" applyAlignment="1">
      <alignment horizontal="center" vertical="center"/>
    </xf>
    <xf numFmtId="166" fontId="37" fillId="0" borderId="25" xfId="2" applyNumberFormat="1" applyFont="1" applyBorder="1" applyAlignment="1">
      <alignment horizontal="center" vertical="center" wrapText="1"/>
    </xf>
    <xf numFmtId="166" fontId="66" fillId="0" borderId="0" xfId="2" applyNumberFormat="1" applyFont="1" applyAlignment="1">
      <alignment horizontal="center" vertical="center"/>
    </xf>
    <xf numFmtId="166" fontId="43" fillId="0" borderId="34" xfId="2" applyNumberFormat="1" applyFont="1" applyBorder="1" applyAlignment="1">
      <alignment horizontal="center" vertical="center" wrapText="1"/>
    </xf>
    <xf numFmtId="166" fontId="43" fillId="0" borderId="47" xfId="2" applyNumberFormat="1" applyFont="1" applyBorder="1" applyAlignment="1">
      <alignment horizontal="center" vertical="center" wrapText="1"/>
    </xf>
    <xf numFmtId="166" fontId="43" fillId="0" borderId="53" xfId="2" applyNumberFormat="1" applyFont="1" applyBorder="1" applyAlignment="1">
      <alignment horizontal="center" vertical="center" wrapText="1"/>
    </xf>
    <xf numFmtId="166" fontId="43" fillId="0" borderId="50" xfId="2" applyNumberFormat="1" applyFont="1" applyBorder="1" applyAlignment="1">
      <alignment horizontal="center" vertical="center" wrapText="1"/>
    </xf>
    <xf numFmtId="166" fontId="43" fillId="0" borderId="36" xfId="2" applyNumberFormat="1" applyFont="1" applyBorder="1" applyAlignment="1">
      <alignment horizontal="center" vertical="center" wrapText="1"/>
    </xf>
    <xf numFmtId="166" fontId="66" fillId="0" borderId="0" xfId="2" applyNumberFormat="1" applyFont="1" applyAlignment="1">
      <alignment horizontal="center" vertical="center" wrapText="1"/>
    </xf>
    <xf numFmtId="166" fontId="43" fillId="0" borderId="48" xfId="2" applyNumberFormat="1" applyFont="1" applyBorder="1" applyAlignment="1">
      <alignment horizontal="center" vertical="center" wrapText="1"/>
    </xf>
    <xf numFmtId="166" fontId="43" fillId="0" borderId="47" xfId="2" applyNumberFormat="1" applyFont="1" applyBorder="1" applyAlignment="1">
      <alignment horizontal="left" vertical="center" wrapText="1" indent="1"/>
    </xf>
    <xf numFmtId="49" fontId="44" fillId="0" borderId="49" xfId="2" applyNumberFormat="1" applyFont="1" applyBorder="1" applyAlignment="1" applyProtection="1">
      <alignment horizontal="center" vertical="center" wrapText="1"/>
      <protection locked="0"/>
    </xf>
    <xf numFmtId="166" fontId="44" fillId="0" borderId="47" xfId="2" applyNumberFormat="1" applyFont="1" applyBorder="1" applyAlignment="1">
      <alignment vertical="center" wrapText="1"/>
    </xf>
    <xf numFmtId="166" fontId="44" fillId="0" borderId="48" xfId="2" applyNumberFormat="1" applyFont="1" applyBorder="1" applyAlignment="1">
      <alignment vertical="center" wrapText="1"/>
    </xf>
    <xf numFmtId="166" fontId="44" fillId="0" borderId="49" xfId="2" applyNumberFormat="1" applyFont="1" applyBorder="1" applyAlignment="1">
      <alignment vertical="center" wrapText="1"/>
    </xf>
    <xf numFmtId="166" fontId="44" fillId="0" borderId="50" xfId="2" applyNumberFormat="1" applyFont="1" applyBorder="1" applyAlignment="1">
      <alignment vertical="center" wrapText="1"/>
    </xf>
    <xf numFmtId="166" fontId="43" fillId="0" borderId="18" xfId="2" applyNumberFormat="1" applyFont="1" applyBorder="1" applyAlignment="1">
      <alignment horizontal="center" vertical="center" wrapText="1"/>
    </xf>
    <xf numFmtId="166" fontId="44" fillId="0" borderId="43" xfId="2" applyNumberFormat="1" applyFont="1" applyBorder="1" applyAlignment="1" applyProtection="1">
      <alignment horizontal="left" vertical="center" wrapText="1" indent="1"/>
      <protection locked="0"/>
    </xf>
    <xf numFmtId="49" fontId="68" fillId="0" borderId="19" xfId="2" applyNumberFormat="1" applyFont="1" applyBorder="1" applyAlignment="1" applyProtection="1">
      <alignment horizontal="center" vertical="center" wrapText="1"/>
      <protection locked="0"/>
    </xf>
    <xf numFmtId="166" fontId="44" fillId="0" borderId="43" xfId="2" applyNumberFormat="1" applyFont="1" applyBorder="1" applyAlignment="1" applyProtection="1">
      <alignment vertical="center" wrapText="1"/>
      <protection locked="0"/>
    </xf>
    <xf numFmtId="166" fontId="44" fillId="0" borderId="18" xfId="2" applyNumberFormat="1" applyFont="1" applyBorder="1" applyAlignment="1" applyProtection="1">
      <alignment vertical="center" wrapText="1"/>
      <protection locked="0"/>
    </xf>
    <xf numFmtId="166" fontId="44" fillId="0" borderId="19" xfId="2" applyNumberFormat="1" applyFont="1" applyBorder="1" applyAlignment="1" applyProtection="1">
      <alignment vertical="center" wrapText="1"/>
      <protection locked="0"/>
    </xf>
    <xf numFmtId="166" fontId="44" fillId="0" borderId="20" xfId="2" applyNumberFormat="1" applyFont="1" applyBorder="1" applyAlignment="1" applyProtection="1">
      <alignment vertical="center" wrapText="1"/>
      <protection locked="0"/>
    </xf>
    <xf numFmtId="166" fontId="44" fillId="0" borderId="43" xfId="2" applyNumberFormat="1" applyFont="1" applyBorder="1" applyAlignment="1">
      <alignment vertical="center" wrapText="1"/>
    </xf>
    <xf numFmtId="49" fontId="68" fillId="0" borderId="49" xfId="2" applyNumberFormat="1" applyFont="1" applyBorder="1" applyAlignment="1" applyProtection="1">
      <alignment horizontal="center" vertical="center" wrapText="1"/>
      <protection locked="0"/>
    </xf>
    <xf numFmtId="166" fontId="43" fillId="0" borderId="21" xfId="2" applyNumberFormat="1" applyFont="1" applyBorder="1" applyAlignment="1">
      <alignment horizontal="center" vertical="center" wrapText="1"/>
    </xf>
    <xf numFmtId="166" fontId="44" fillId="0" borderId="44" xfId="2" applyNumberFormat="1" applyFont="1" applyBorder="1" applyAlignment="1" applyProtection="1">
      <alignment horizontal="left" vertical="center" wrapText="1" indent="1"/>
      <protection locked="0"/>
    </xf>
    <xf numFmtId="49" fontId="68" fillId="0" borderId="22" xfId="2" applyNumberFormat="1" applyFont="1" applyBorder="1" applyAlignment="1" applyProtection="1">
      <alignment horizontal="center" vertical="center" wrapText="1"/>
      <protection locked="0"/>
    </xf>
    <xf numFmtId="166" fontId="44" fillId="0" borderId="44" xfId="2" applyNumberFormat="1" applyFont="1" applyBorder="1" applyAlignment="1" applyProtection="1">
      <alignment vertical="center" wrapText="1"/>
      <protection locked="0"/>
    </xf>
    <xf numFmtId="166" fontId="44" fillId="0" borderId="21" xfId="2" applyNumberFormat="1" applyFont="1" applyBorder="1" applyAlignment="1" applyProtection="1">
      <alignment vertical="center" wrapText="1"/>
      <protection locked="0"/>
    </xf>
    <xf numFmtId="166" fontId="44" fillId="0" borderId="22" xfId="2" applyNumberFormat="1" applyFont="1" applyBorder="1" applyAlignment="1" applyProtection="1">
      <alignment vertical="center" wrapText="1"/>
      <protection locked="0"/>
    </xf>
    <xf numFmtId="166" fontId="44" fillId="0" borderId="23" xfId="2" applyNumberFormat="1" applyFont="1" applyBorder="1" applyAlignment="1" applyProtection="1">
      <alignment vertical="center" wrapText="1"/>
      <protection locked="0"/>
    </xf>
    <xf numFmtId="166" fontId="44" fillId="0" borderId="44" xfId="2" applyNumberFormat="1" applyFont="1" applyBorder="1" applyAlignment="1">
      <alignment vertical="center" wrapText="1"/>
    </xf>
    <xf numFmtId="166" fontId="51" fillId="0" borderId="47" xfId="2" applyNumberFormat="1" applyFont="1" applyBorder="1" applyAlignment="1">
      <alignment horizontal="left" vertical="center" wrapText="1" indent="1"/>
    </xf>
    <xf numFmtId="166" fontId="43" fillId="0" borderId="51" xfId="2" applyNumberFormat="1" applyFont="1" applyBorder="1" applyAlignment="1">
      <alignment horizontal="center" vertical="center" wrapText="1"/>
    </xf>
    <xf numFmtId="166" fontId="44" fillId="0" borderId="41" xfId="2" applyNumberFormat="1" applyFont="1" applyBorder="1" applyAlignment="1" applyProtection="1">
      <alignment horizontal="left" vertical="center" wrapText="1" indent="1"/>
      <protection locked="0"/>
    </xf>
    <xf numFmtId="49" fontId="68" fillId="0" borderId="72" xfId="2" applyNumberFormat="1" applyFont="1" applyBorder="1" applyAlignment="1" applyProtection="1">
      <alignment horizontal="center" vertical="center" wrapText="1"/>
      <protection locked="0"/>
    </xf>
    <xf numFmtId="166" fontId="44" fillId="0" borderId="36" xfId="2" applyNumberFormat="1" applyFont="1" applyBorder="1" applyAlignment="1" applyProtection="1">
      <alignment vertical="center" wrapText="1"/>
      <protection locked="0"/>
    </xf>
    <xf numFmtId="166" fontId="44" fillId="0" borderId="51" xfId="2" applyNumberFormat="1" applyFont="1" applyBorder="1" applyAlignment="1" applyProtection="1">
      <alignment vertical="center" wrapText="1"/>
      <protection locked="0"/>
    </xf>
    <xf numFmtId="166" fontId="44" fillId="0" borderId="52" xfId="2" applyNumberFormat="1" applyFont="1" applyBorder="1" applyAlignment="1" applyProtection="1">
      <alignment vertical="center" wrapText="1"/>
      <protection locked="0"/>
    </xf>
    <xf numFmtId="166" fontId="44" fillId="0" borderId="58" xfId="2" applyNumberFormat="1" applyFont="1" applyBorder="1" applyAlignment="1" applyProtection="1">
      <alignment vertical="center" wrapText="1"/>
      <protection locked="0"/>
    </xf>
    <xf numFmtId="166" fontId="44" fillId="0" borderId="36" xfId="2" applyNumberFormat="1" applyFont="1" applyBorder="1" applyAlignment="1">
      <alignment vertical="center" wrapText="1"/>
    </xf>
    <xf numFmtId="166" fontId="68" fillId="24" borderId="53" xfId="2" applyNumberFormat="1" applyFont="1" applyFill="1" applyBorder="1" applyAlignment="1">
      <alignment horizontal="left" vertical="center" wrapText="1" indent="2"/>
    </xf>
    <xf numFmtId="0" fontId="33" fillId="0" borderId="0" xfId="2" applyAlignment="1">
      <alignment horizontal="center" vertical="center" wrapText="1"/>
    </xf>
    <xf numFmtId="166" fontId="48" fillId="0" borderId="0" xfId="2" applyNumberFormat="1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166" fontId="48" fillId="0" borderId="0" xfId="2" applyNumberFormat="1" applyFont="1" applyAlignment="1">
      <alignment vertical="center" wrapText="1"/>
    </xf>
    <xf numFmtId="166" fontId="40" fillId="0" borderId="0" xfId="2" applyNumberFormat="1" applyFont="1" applyAlignment="1">
      <alignment horizontal="right" vertical="center"/>
    </xf>
    <xf numFmtId="0" fontId="43" fillId="0" borderId="48" xfId="2" applyFont="1" applyBorder="1" applyAlignment="1">
      <alignment horizontal="center" vertical="center" wrapText="1"/>
    </xf>
    <xf numFmtId="0" fontId="43" fillId="0" borderId="49" xfId="2" applyFont="1" applyBorder="1" applyAlignment="1">
      <alignment horizontal="center" vertical="center" wrapText="1"/>
    </xf>
    <xf numFmtId="0" fontId="43" fillId="0" borderId="50" xfId="2" applyFont="1" applyBorder="1" applyAlignment="1">
      <alignment horizontal="center" vertical="center" wrapText="1"/>
    </xf>
    <xf numFmtId="0" fontId="52" fillId="0" borderId="13" xfId="2" applyFont="1" applyBorder="1" applyAlignment="1">
      <alignment horizontal="center" vertical="center" wrapText="1"/>
    </xf>
    <xf numFmtId="0" fontId="45" fillId="0" borderId="61" xfId="2" applyFont="1" applyBorder="1" applyAlignment="1">
      <alignment horizontal="left" vertical="center" wrapText="1" indent="1"/>
    </xf>
    <xf numFmtId="166" fontId="52" fillId="0" borderId="61" xfId="2" applyNumberFormat="1" applyFont="1" applyBorder="1" applyAlignment="1" applyProtection="1">
      <alignment horizontal="right" vertical="center" wrapText="1" indent="1"/>
      <protection locked="0"/>
    </xf>
    <xf numFmtId="166" fontId="52" fillId="0" borderId="17" xfId="2" applyNumberFormat="1" applyFont="1" applyBorder="1" applyAlignment="1" applyProtection="1">
      <alignment horizontal="right" vertical="center" wrapText="1" indent="1"/>
      <protection locked="0"/>
    </xf>
    <xf numFmtId="0" fontId="52" fillId="0" borderId="18" xfId="2" applyFont="1" applyBorder="1" applyAlignment="1">
      <alignment horizontal="center" vertical="center" wrapText="1"/>
    </xf>
    <xf numFmtId="0" fontId="45" fillId="0" borderId="62" xfId="2" applyFont="1" applyBorder="1" applyAlignment="1">
      <alignment horizontal="left" vertical="center" wrapText="1" indent="1"/>
    </xf>
    <xf numFmtId="166" fontId="52" fillId="0" borderId="62" xfId="2" applyNumberFormat="1" applyFont="1" applyBorder="1" applyAlignment="1" applyProtection="1">
      <alignment horizontal="right" vertical="center" wrapText="1" indent="1"/>
      <protection locked="0"/>
    </xf>
    <xf numFmtId="166" fontId="52" fillId="0" borderId="20" xfId="2" applyNumberFormat="1" applyFont="1" applyBorder="1" applyAlignment="1" applyProtection="1">
      <alignment horizontal="right" vertical="center" wrapText="1" indent="1"/>
      <protection locked="0"/>
    </xf>
    <xf numFmtId="0" fontId="45" fillId="0" borderId="62" xfId="2" applyFont="1" applyBorder="1" applyAlignment="1">
      <alignment horizontal="left" vertical="center" wrapText="1" indent="8"/>
    </xf>
    <xf numFmtId="166" fontId="52" fillId="0" borderId="19" xfId="2" applyNumberFormat="1" applyFont="1" applyBorder="1" applyAlignment="1" applyProtection="1">
      <alignment horizontal="right" vertical="center" wrapText="1" indent="1"/>
      <protection locked="0"/>
    </xf>
    <xf numFmtId="0" fontId="52" fillId="0" borderId="19" xfId="2" applyFont="1" applyBorder="1" applyAlignment="1" applyProtection="1">
      <alignment vertical="center" wrapText="1"/>
      <protection locked="0"/>
    </xf>
    <xf numFmtId="0" fontId="52" fillId="0" borderId="21" xfId="2" applyFont="1" applyBorder="1" applyAlignment="1">
      <alignment horizontal="center" vertical="center" wrapText="1"/>
    </xf>
    <xf numFmtId="0" fontId="52" fillId="0" borderId="9" xfId="2" applyFont="1" applyBorder="1" applyAlignment="1" applyProtection="1">
      <alignment vertical="center" wrapText="1"/>
      <protection locked="0"/>
    </xf>
    <xf numFmtId="166" fontId="52" fillId="0" borderId="9" xfId="2" applyNumberFormat="1" applyFont="1" applyBorder="1" applyAlignment="1" applyProtection="1">
      <alignment horizontal="right" vertical="center" wrapText="1" indent="1"/>
      <protection locked="0"/>
    </xf>
    <xf numFmtId="166" fontId="52" fillId="0" borderId="25" xfId="2" applyNumberFormat="1" applyFont="1" applyBorder="1" applyAlignment="1" applyProtection="1">
      <alignment horizontal="right" vertical="center" wrapText="1" indent="1"/>
      <protection locked="0"/>
    </xf>
    <xf numFmtId="0" fontId="51" fillId="0" borderId="48" xfId="2" applyFont="1" applyBorder="1" applyAlignment="1">
      <alignment horizontal="center" vertical="center" wrapText="1"/>
    </xf>
    <xf numFmtId="0" fontId="62" fillId="0" borderId="10" xfId="2" applyFont="1" applyBorder="1" applyAlignment="1">
      <alignment vertical="center" wrapText="1"/>
    </xf>
    <xf numFmtId="166" fontId="51" fillId="0" borderId="10" xfId="2" applyNumberFormat="1" applyFont="1" applyBorder="1" applyAlignment="1">
      <alignment vertical="center" wrapText="1"/>
    </xf>
    <xf numFmtId="166" fontId="51" fillId="0" borderId="12" xfId="2" applyNumberFormat="1" applyFont="1" applyBorder="1" applyAlignment="1">
      <alignment vertical="center" wrapText="1"/>
    </xf>
    <xf numFmtId="0" fontId="33" fillId="0" borderId="0" xfId="2" applyAlignment="1">
      <alignment horizontal="right" vertical="center" wrapText="1"/>
    </xf>
    <xf numFmtId="0" fontId="40" fillId="0" borderId="0" xfId="0" applyFont="1" applyAlignment="1">
      <alignment horizontal="right"/>
    </xf>
    <xf numFmtId="166" fontId="68" fillId="0" borderId="58" xfId="7" quotePrefix="1" applyNumberFormat="1" applyFont="1" applyBorder="1" applyAlignment="1">
      <alignment horizontal="center" vertical="center"/>
    </xf>
    <xf numFmtId="166" fontId="68" fillId="0" borderId="19" xfId="7" applyNumberFormat="1" applyFont="1" applyBorder="1" applyAlignment="1" applyProtection="1">
      <alignment vertical="center"/>
      <protection locked="0"/>
    </xf>
    <xf numFmtId="166" fontId="68" fillId="0" borderId="20" xfId="7" applyNumberFormat="1" applyFont="1" applyBorder="1" applyAlignment="1">
      <alignment vertical="center"/>
    </xf>
    <xf numFmtId="166" fontId="42" fillId="0" borderId="49" xfId="7" applyNumberFormat="1" applyFont="1" applyBorder="1" applyAlignment="1">
      <alignment vertical="center"/>
    </xf>
    <xf numFmtId="166" fontId="42" fillId="0" borderId="50" xfId="7" quotePrefix="1" applyNumberFormat="1" applyFont="1" applyBorder="1" applyAlignment="1">
      <alignment horizontal="right" vertical="center"/>
    </xf>
    <xf numFmtId="166" fontId="68" fillId="0" borderId="17" xfId="7" applyNumberFormat="1" applyFont="1" applyBorder="1" applyAlignment="1">
      <alignment vertical="center"/>
    </xf>
    <xf numFmtId="0" fontId="43" fillId="0" borderId="48" xfId="7" applyFont="1" applyBorder="1" applyAlignment="1">
      <alignment horizontal="left" vertical="center" indent="1"/>
    </xf>
    <xf numFmtId="166" fontId="42" fillId="0" borderId="50" xfId="7" applyNumberFormat="1" applyFont="1" applyBorder="1" applyAlignment="1">
      <alignment vertical="center"/>
    </xf>
    <xf numFmtId="166" fontId="42" fillId="0" borderId="49" xfId="7" applyNumberFormat="1" applyFont="1" applyBorder="1"/>
    <xf numFmtId="166" fontId="42" fillId="0" borderId="50" xfId="7" quotePrefix="1" applyNumberFormat="1" applyFont="1" applyBorder="1" applyAlignment="1">
      <alignment horizontal="center"/>
    </xf>
    <xf numFmtId="166" fontId="68" fillId="0" borderId="3" xfId="7" applyNumberFormat="1" applyFont="1" applyBorder="1" applyAlignment="1" applyProtection="1">
      <alignment vertical="center"/>
      <protection locked="0"/>
    </xf>
    <xf numFmtId="166" fontId="68" fillId="0" borderId="3" xfId="7" applyNumberFormat="1" applyFont="1" applyBorder="1" applyAlignment="1">
      <alignment vertical="center"/>
    </xf>
    <xf numFmtId="0" fontId="68" fillId="0" borderId="0" xfId="2" applyFont="1" applyAlignment="1">
      <alignment vertical="center" wrapText="1"/>
    </xf>
    <xf numFmtId="3" fontId="68" fillId="0" borderId="0" xfId="2" applyNumberFormat="1" applyFont="1" applyAlignment="1">
      <alignment vertical="center" wrapText="1"/>
    </xf>
    <xf numFmtId="0" fontId="37" fillId="3" borderId="68" xfId="2" applyFont="1" applyFill="1" applyBorder="1" applyAlignment="1">
      <alignment horizontal="center" vertical="center"/>
    </xf>
    <xf numFmtId="0" fontId="37" fillId="3" borderId="34" xfId="2" applyFont="1" applyFill="1" applyBorder="1" applyAlignment="1">
      <alignment horizontal="center" vertical="center" wrapText="1"/>
    </xf>
    <xf numFmtId="166" fontId="44" fillId="3" borderId="40" xfId="2" applyNumberFormat="1" applyFont="1" applyFill="1" applyBorder="1" applyAlignment="1" applyProtection="1">
      <alignment horizontal="right" vertical="center" wrapText="1" indent="1"/>
      <protection locked="0"/>
    </xf>
    <xf numFmtId="166" fontId="44" fillId="3" borderId="43" xfId="2" applyNumberFormat="1" applyFont="1" applyFill="1" applyBorder="1" applyAlignment="1" applyProtection="1">
      <alignment horizontal="right" vertical="center" wrapText="1" indent="1"/>
      <protection locked="0"/>
    </xf>
    <xf numFmtId="166" fontId="44" fillId="3" borderId="46" xfId="2" applyNumberFormat="1" applyFont="1" applyFill="1" applyBorder="1" applyAlignment="1" applyProtection="1">
      <alignment horizontal="right" vertical="center" wrapText="1" indent="1"/>
      <protection locked="0"/>
    </xf>
    <xf numFmtId="166" fontId="46" fillId="3" borderId="14" xfId="3" applyNumberFormat="1" applyFont="1" applyFill="1" applyBorder="1" applyAlignment="1" applyProtection="1">
      <alignment horizontal="right" vertical="center" wrapText="1" indent="1"/>
      <protection locked="0"/>
    </xf>
    <xf numFmtId="0" fontId="45" fillId="3" borderId="3" xfId="2" applyFont="1" applyFill="1" applyBorder="1" applyAlignment="1">
      <alignment horizontal="left" wrapText="1" indent="1"/>
    </xf>
    <xf numFmtId="166" fontId="52" fillId="3" borderId="4" xfId="3" applyNumberFormat="1" applyFont="1" applyFill="1" applyBorder="1" applyAlignment="1" applyProtection="1">
      <alignment horizontal="right" vertical="center" wrapText="1" indent="1"/>
      <protection locked="0"/>
    </xf>
    <xf numFmtId="0" fontId="37" fillId="3" borderId="0" xfId="2" applyFont="1" applyFill="1" applyBorder="1" applyAlignment="1">
      <alignment vertical="center"/>
    </xf>
    <xf numFmtId="0" fontId="73" fillId="3" borderId="31" xfId="5" applyFont="1" applyFill="1" applyBorder="1" applyAlignment="1">
      <alignment horizontal="center" vertical="center" wrapText="1"/>
    </xf>
    <xf numFmtId="0" fontId="73" fillId="3" borderId="0" xfId="5" applyFont="1" applyFill="1" applyBorder="1" applyAlignment="1">
      <alignment horizontal="center" vertical="center"/>
    </xf>
    <xf numFmtId="0" fontId="73" fillId="3" borderId="32" xfId="5" applyFont="1" applyFill="1" applyBorder="1" applyAlignment="1">
      <alignment horizontal="center" vertical="center"/>
    </xf>
    <xf numFmtId="0" fontId="15" fillId="3" borderId="31" xfId="6" applyFill="1" applyBorder="1"/>
    <xf numFmtId="0" fontId="15" fillId="3" borderId="0" xfId="6" applyFill="1" applyBorder="1"/>
    <xf numFmtId="0" fontId="15" fillId="3" borderId="32" xfId="6" applyFill="1" applyBorder="1"/>
    <xf numFmtId="0" fontId="15" fillId="3" borderId="39" xfId="6" applyFill="1" applyBorder="1"/>
    <xf numFmtId="0" fontId="15" fillId="3" borderId="1" xfId="6" applyFill="1" applyBorder="1"/>
    <xf numFmtId="0" fontId="15" fillId="3" borderId="69" xfId="6" applyFill="1" applyBorder="1"/>
    <xf numFmtId="0" fontId="44" fillId="3" borderId="31" xfId="2" applyFont="1" applyFill="1" applyBorder="1" applyAlignment="1">
      <alignment horizontal="center" vertical="center" wrapText="1"/>
    </xf>
    <xf numFmtId="0" fontId="37" fillId="3" borderId="0" xfId="2" applyFont="1" applyFill="1" applyBorder="1" applyAlignment="1">
      <alignment horizontal="left" vertical="center" wrapText="1" indent="1"/>
    </xf>
    <xf numFmtId="166" fontId="43" fillId="3" borderId="0" xfId="2" applyNumberFormat="1" applyFont="1" applyFill="1" applyBorder="1" applyAlignment="1">
      <alignment horizontal="right" vertical="center" wrapText="1" indent="1"/>
    </xf>
    <xf numFmtId="166" fontId="43" fillId="3" borderId="32" xfId="2" applyNumberFormat="1" applyFont="1" applyFill="1" applyBorder="1" applyAlignment="1">
      <alignment horizontal="right" vertical="center" wrapText="1" indent="1"/>
    </xf>
    <xf numFmtId="0" fontId="44" fillId="3" borderId="31" xfId="2" applyFont="1" applyFill="1" applyBorder="1" applyAlignment="1">
      <alignment horizontal="left" vertical="center" wrapText="1"/>
    </xf>
    <xf numFmtId="0" fontId="44" fillId="3" borderId="0" xfId="2" applyFont="1" applyFill="1" applyBorder="1" applyAlignment="1">
      <alignment vertical="center" wrapText="1"/>
    </xf>
    <xf numFmtId="0" fontId="44" fillId="3" borderId="0" xfId="2" applyFont="1" applyFill="1" applyBorder="1" applyAlignment="1">
      <alignment horizontal="right" vertical="center" wrapText="1" indent="1"/>
    </xf>
    <xf numFmtId="0" fontId="44" fillId="3" borderId="32" xfId="2" applyFont="1" applyFill="1" applyBorder="1" applyAlignment="1">
      <alignment horizontal="right" vertical="center" wrapText="1" indent="1"/>
    </xf>
    <xf numFmtId="0" fontId="33" fillId="3" borderId="31" xfId="2" applyFill="1" applyBorder="1" applyAlignment="1">
      <alignment horizontal="left" vertical="center" wrapText="1"/>
    </xf>
    <xf numFmtId="0" fontId="33" fillId="3" borderId="0" xfId="2" applyFill="1" applyBorder="1" applyAlignment="1">
      <alignment vertical="center" wrapText="1"/>
    </xf>
    <xf numFmtId="0" fontId="33" fillId="3" borderId="0" xfId="2" applyFill="1" applyBorder="1" applyAlignment="1">
      <alignment horizontal="right" vertical="center" wrapText="1" indent="1"/>
    </xf>
    <xf numFmtId="0" fontId="33" fillId="3" borderId="32" xfId="2" applyFill="1" applyBorder="1" applyAlignment="1">
      <alignment horizontal="right" vertical="center" wrapText="1" indent="1"/>
    </xf>
    <xf numFmtId="0" fontId="33" fillId="3" borderId="32" xfId="2" applyFill="1" applyBorder="1" applyAlignment="1">
      <alignment vertical="center" wrapText="1"/>
    </xf>
    <xf numFmtId="0" fontId="33" fillId="3" borderId="39" xfId="2" applyFill="1" applyBorder="1" applyAlignment="1">
      <alignment horizontal="left" vertical="center" wrapText="1"/>
    </xf>
    <xf numFmtId="0" fontId="33" fillId="3" borderId="1" xfId="2" applyFill="1" applyBorder="1" applyAlignment="1">
      <alignment vertical="center" wrapText="1"/>
    </xf>
    <xf numFmtId="0" fontId="33" fillId="3" borderId="69" xfId="2" applyFill="1" applyBorder="1" applyAlignment="1">
      <alignment vertical="center" wrapText="1"/>
    </xf>
    <xf numFmtId="0" fontId="44" fillId="3" borderId="0" xfId="3" applyFont="1" applyFill="1" applyBorder="1" applyAlignment="1">
      <alignment horizontal="left" vertical="center" wrapText="1" indent="1"/>
    </xf>
    <xf numFmtId="166" fontId="44" fillId="21" borderId="14" xfId="3" applyNumberFormat="1" applyFont="1" applyFill="1" applyBorder="1" applyAlignment="1" applyProtection="1">
      <alignment horizontal="right" vertical="center" wrapText="1" indent="1"/>
      <protection locked="0"/>
    </xf>
    <xf numFmtId="0" fontId="15" fillId="3" borderId="74" xfId="6" applyFill="1" applyBorder="1"/>
    <xf numFmtId="0" fontId="15" fillId="3" borderId="30" xfId="6" applyFill="1" applyBorder="1"/>
    <xf numFmtId="0" fontId="15" fillId="3" borderId="33" xfId="6" applyFill="1" applyBorder="1"/>
    <xf numFmtId="0" fontId="33" fillId="3" borderId="74" xfId="2" applyFill="1" applyBorder="1" applyAlignment="1">
      <alignment horizontal="left" vertical="center" wrapText="1"/>
    </xf>
    <xf numFmtId="0" fontId="33" fillId="3" borderId="30" xfId="2" applyFill="1" applyBorder="1" applyAlignment="1">
      <alignment vertical="center" wrapText="1"/>
    </xf>
    <xf numFmtId="0" fontId="33" fillId="3" borderId="33" xfId="2" applyFill="1" applyBorder="1" applyAlignment="1">
      <alignment vertical="center" wrapText="1"/>
    </xf>
    <xf numFmtId="166" fontId="57" fillId="0" borderId="19" xfId="2" applyNumberFormat="1" applyFont="1" applyBorder="1" applyAlignment="1" applyProtection="1">
      <alignment horizontal="right" vertical="center"/>
      <protection locked="0"/>
    </xf>
    <xf numFmtId="166" fontId="57" fillId="0" borderId="9" xfId="2" applyNumberFormat="1" applyFont="1" applyBorder="1" applyAlignment="1" applyProtection="1">
      <alignment horizontal="right" vertical="center"/>
      <protection locked="0"/>
    </xf>
    <xf numFmtId="0" fontId="4" fillId="6" borderId="24" xfId="1" applyFont="1" applyFill="1" applyBorder="1" applyAlignment="1">
      <alignment horizontal="center" vertical="center" wrapText="1"/>
    </xf>
    <xf numFmtId="0" fontId="4" fillId="6" borderId="9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  <xf numFmtId="0" fontId="4" fillId="4" borderId="24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 wrapText="1"/>
    </xf>
    <xf numFmtId="0" fontId="4" fillId="2" borderId="8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9" xfId="1" applyNumberFormat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>
      <alignment horizontal="center" vertical="center" wrapText="1"/>
    </xf>
    <xf numFmtId="3" fontId="4" fillId="2" borderId="11" xfId="1" applyNumberFormat="1" applyFont="1" applyFill="1" applyBorder="1" applyAlignment="1">
      <alignment horizontal="center" vertical="center" wrapText="1"/>
    </xf>
    <xf numFmtId="3" fontId="4" fillId="2" borderId="7" xfId="1" applyNumberFormat="1" applyFont="1" applyFill="1" applyBorder="1" applyAlignment="1">
      <alignment horizontal="center" vertical="center" wrapText="1"/>
    </xf>
    <xf numFmtId="3" fontId="4" fillId="2" borderId="12" xfId="1" applyNumberFormat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27" xfId="1" applyNumberFormat="1" applyFont="1" applyFill="1" applyBorder="1" applyAlignment="1">
      <alignment horizontal="center" vertical="center" wrapText="1"/>
    </xf>
    <xf numFmtId="0" fontId="6" fillId="2" borderId="28" xfId="1" applyNumberFormat="1" applyFont="1" applyFill="1" applyBorder="1" applyAlignment="1">
      <alignment horizontal="center" vertical="center" wrapText="1"/>
    </xf>
    <xf numFmtId="0" fontId="6" fillId="2" borderId="29" xfId="1" applyNumberFormat="1" applyFont="1" applyFill="1" applyBorder="1" applyAlignment="1">
      <alignment horizontal="center" vertical="center" wrapText="1"/>
    </xf>
    <xf numFmtId="0" fontId="7" fillId="3" borderId="21" xfId="1" applyNumberFormat="1" applyFont="1" applyFill="1" applyBorder="1" applyAlignment="1">
      <alignment horizontal="center" vertical="center"/>
    </xf>
    <xf numFmtId="0" fontId="7" fillId="3" borderId="15" xfId="1" applyNumberFormat="1" applyFont="1" applyFill="1" applyBorder="1" applyAlignment="1">
      <alignment horizontal="center" vertical="center"/>
    </xf>
    <xf numFmtId="0" fontId="4" fillId="0" borderId="30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3" fontId="14" fillId="11" borderId="36" xfId="0" applyNumberFormat="1" applyFont="1" applyFill="1" applyBorder="1" applyAlignment="1">
      <alignment horizontal="center" vertical="center" wrapText="1"/>
    </xf>
    <xf numFmtId="3" fontId="14" fillId="11" borderId="38" xfId="0" applyNumberFormat="1" applyFont="1" applyFill="1" applyBorder="1" applyAlignment="1">
      <alignment horizontal="center" vertical="center" wrapText="1"/>
    </xf>
    <xf numFmtId="3" fontId="13" fillId="0" borderId="34" xfId="0" applyNumberFormat="1" applyFont="1" applyBorder="1" applyAlignment="1">
      <alignment horizontal="center" vertical="center"/>
    </xf>
    <xf numFmtId="3" fontId="13" fillId="0" borderId="26" xfId="0" applyNumberFormat="1" applyFont="1" applyBorder="1" applyAlignment="1">
      <alignment horizontal="center" vertical="center"/>
    </xf>
    <xf numFmtId="3" fontId="13" fillId="0" borderId="35" xfId="0" applyNumberFormat="1" applyFont="1" applyBorder="1" applyAlignment="1">
      <alignment horizontal="center" vertical="center"/>
    </xf>
    <xf numFmtId="3" fontId="14" fillId="7" borderId="31" xfId="0" applyNumberFormat="1" applyFont="1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0" fillId="7" borderId="32" xfId="0" applyFill="1" applyBorder="1" applyAlignment="1">
      <alignment horizontal="center" vertical="center" wrapText="1"/>
    </xf>
    <xf numFmtId="3" fontId="14" fillId="3" borderId="37" xfId="0" applyNumberFormat="1" applyFont="1" applyFill="1" applyBorder="1" applyAlignment="1">
      <alignment horizontal="center" vertical="center" wrapText="1"/>
    </xf>
    <xf numFmtId="3" fontId="14" fillId="3" borderId="38" xfId="0" applyNumberFormat="1" applyFont="1" applyFill="1" applyBorder="1" applyAlignment="1">
      <alignment horizontal="center" vertical="center" wrapText="1"/>
    </xf>
    <xf numFmtId="3" fontId="14" fillId="3" borderId="36" xfId="0" applyNumberFormat="1" applyFont="1" applyFill="1" applyBorder="1" applyAlignment="1">
      <alignment horizontal="center" vertical="center"/>
    </xf>
    <xf numFmtId="3" fontId="14" fillId="3" borderId="38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3" fontId="14" fillId="12" borderId="36" xfId="0" applyNumberFormat="1" applyFont="1" applyFill="1" applyBorder="1" applyAlignment="1">
      <alignment horizontal="center" vertical="center" wrapText="1"/>
    </xf>
    <xf numFmtId="3" fontId="14" fillId="12" borderId="38" xfId="0" applyNumberFormat="1" applyFont="1" applyFill="1" applyBorder="1" applyAlignment="1">
      <alignment horizontal="center" vertical="center" wrapText="1"/>
    </xf>
    <xf numFmtId="3" fontId="14" fillId="8" borderId="0" xfId="0" applyNumberFormat="1" applyFont="1" applyFill="1" applyBorder="1" applyAlignment="1">
      <alignment horizontal="center" vertical="center" wrapText="1"/>
    </xf>
    <xf numFmtId="3" fontId="14" fillId="8" borderId="32" xfId="0" applyNumberFormat="1" applyFont="1" applyFill="1" applyBorder="1" applyAlignment="1">
      <alignment horizontal="center" vertical="center" wrapText="1"/>
    </xf>
    <xf numFmtId="3" fontId="14" fillId="9" borderId="0" xfId="0" applyNumberFormat="1" applyFont="1" applyFill="1" applyBorder="1" applyAlignment="1">
      <alignment horizontal="center" vertical="center" wrapText="1"/>
    </xf>
    <xf numFmtId="3" fontId="14" fillId="9" borderId="32" xfId="0" applyNumberFormat="1" applyFont="1" applyFill="1" applyBorder="1" applyAlignment="1">
      <alignment horizontal="center" vertical="center" wrapText="1"/>
    </xf>
    <xf numFmtId="3" fontId="14" fillId="5" borderId="36" xfId="0" applyNumberFormat="1" applyFont="1" applyFill="1" applyBorder="1" applyAlignment="1">
      <alignment horizontal="center" vertical="center" wrapText="1"/>
    </xf>
    <xf numFmtId="3" fontId="14" fillId="5" borderId="39" xfId="0" applyNumberFormat="1" applyFont="1" applyFill="1" applyBorder="1" applyAlignment="1">
      <alignment horizontal="center" vertical="center" wrapText="1"/>
    </xf>
    <xf numFmtId="3" fontId="14" fillId="10" borderId="0" xfId="0" applyNumberFormat="1" applyFont="1" applyFill="1" applyBorder="1" applyAlignment="1">
      <alignment horizontal="center" vertical="center" wrapText="1"/>
    </xf>
    <xf numFmtId="3" fontId="14" fillId="10" borderId="32" xfId="0" applyNumberFormat="1" applyFont="1" applyFill="1" applyBorder="1" applyAlignment="1">
      <alignment horizontal="center" vertical="center" wrapText="1"/>
    </xf>
    <xf numFmtId="3" fontId="14" fillId="5" borderId="38" xfId="0" applyNumberFormat="1" applyFont="1" applyFill="1" applyBorder="1" applyAlignment="1">
      <alignment horizontal="center" vertical="center" wrapText="1"/>
    </xf>
    <xf numFmtId="3" fontId="14" fillId="17" borderId="0" xfId="0" applyNumberFormat="1" applyFont="1" applyFill="1" applyBorder="1" applyAlignment="1">
      <alignment horizontal="center" vertical="center" wrapText="1"/>
    </xf>
    <xf numFmtId="3" fontId="14" fillId="17" borderId="32" xfId="0" applyNumberFormat="1" applyFont="1" applyFill="1" applyBorder="1" applyAlignment="1">
      <alignment horizontal="center" vertical="center" wrapText="1"/>
    </xf>
    <xf numFmtId="3" fontId="14" fillId="9" borderId="36" xfId="0" applyNumberFormat="1" applyFont="1" applyFill="1" applyBorder="1" applyAlignment="1">
      <alignment horizontal="center" vertical="center" wrapText="1"/>
    </xf>
    <xf numFmtId="3" fontId="14" fillId="9" borderId="38" xfId="0" applyNumberFormat="1" applyFont="1" applyFill="1" applyBorder="1" applyAlignment="1">
      <alignment horizontal="center" vertical="center" wrapText="1"/>
    </xf>
    <xf numFmtId="0" fontId="62" fillId="3" borderId="0" xfId="3" applyFont="1" applyFill="1" applyAlignment="1">
      <alignment horizontal="center"/>
    </xf>
    <xf numFmtId="166" fontId="63" fillId="3" borderId="1" xfId="3" applyNumberFormat="1" applyFont="1" applyFill="1" applyBorder="1" applyAlignment="1">
      <alignment horizontal="left" vertical="center"/>
    </xf>
    <xf numFmtId="0" fontId="64" fillId="3" borderId="1" xfId="0" applyFont="1" applyFill="1" applyBorder="1" applyAlignment="1">
      <alignment horizontal="right" vertical="center"/>
    </xf>
    <xf numFmtId="0" fontId="34" fillId="3" borderId="0" xfId="2" applyFont="1" applyFill="1" applyBorder="1" applyAlignment="1" applyProtection="1">
      <alignment horizontal="right" vertical="top"/>
      <protection locked="0"/>
    </xf>
    <xf numFmtId="0" fontId="37" fillId="3" borderId="4" xfId="2" quotePrefix="1" applyFont="1" applyFill="1" applyBorder="1" applyAlignment="1">
      <alignment horizontal="center" vertical="center"/>
    </xf>
    <xf numFmtId="0" fontId="37" fillId="3" borderId="29" xfId="2" quotePrefix="1" applyFont="1" applyFill="1" applyBorder="1" applyAlignment="1">
      <alignment horizontal="center" vertical="center"/>
    </xf>
    <xf numFmtId="0" fontId="37" fillId="3" borderId="68" xfId="2" applyFont="1" applyFill="1" applyBorder="1" applyAlignment="1">
      <alignment horizontal="center" vertical="center"/>
    </xf>
    <xf numFmtId="0" fontId="37" fillId="3" borderId="75" xfId="2" applyFont="1" applyFill="1" applyBorder="1" applyAlignment="1">
      <alignment horizontal="center" vertical="center"/>
    </xf>
    <xf numFmtId="0" fontId="40" fillId="3" borderId="26" xfId="2" applyFont="1" applyFill="1" applyBorder="1" applyAlignment="1">
      <alignment horizontal="right"/>
    </xf>
    <xf numFmtId="0" fontId="40" fillId="3" borderId="35" xfId="2" applyFont="1" applyFill="1" applyBorder="1" applyAlignment="1">
      <alignment horizontal="right"/>
    </xf>
    <xf numFmtId="0" fontId="37" fillId="3" borderId="34" xfId="2" applyFont="1" applyFill="1" applyBorder="1" applyAlignment="1">
      <alignment horizontal="center" vertical="center" wrapText="1"/>
    </xf>
    <xf numFmtId="0" fontId="37" fillId="3" borderId="26" xfId="2" applyFont="1" applyFill="1" applyBorder="1" applyAlignment="1">
      <alignment horizontal="center" vertical="center" wrapText="1"/>
    </xf>
    <xf numFmtId="0" fontId="37" fillId="3" borderId="35" xfId="2" applyFont="1" applyFill="1" applyBorder="1" applyAlignment="1">
      <alignment horizontal="center" vertical="center" wrapText="1"/>
    </xf>
    <xf numFmtId="166" fontId="40" fillId="3" borderId="1" xfId="2" applyNumberFormat="1" applyFont="1" applyFill="1" applyBorder="1" applyAlignment="1">
      <alignment horizontal="right" vertical="center"/>
    </xf>
    <xf numFmtId="166" fontId="62" fillId="3" borderId="37" xfId="2" applyNumberFormat="1" applyFont="1" applyFill="1" applyBorder="1" applyAlignment="1">
      <alignment horizontal="center" vertical="center" wrapText="1"/>
    </xf>
    <xf numFmtId="166" fontId="62" fillId="3" borderId="38" xfId="2" applyNumberFormat="1" applyFont="1" applyFill="1" applyBorder="1" applyAlignment="1">
      <alignment horizontal="center" vertical="center" wrapText="1"/>
    </xf>
    <xf numFmtId="0" fontId="57" fillId="3" borderId="30" xfId="3" applyFont="1" applyFill="1" applyBorder="1" applyAlignment="1">
      <alignment horizontal="left"/>
    </xf>
    <xf numFmtId="166" fontId="62" fillId="3" borderId="40" xfId="2" applyNumberFormat="1" applyFont="1" applyFill="1" applyBorder="1" applyAlignment="1">
      <alignment horizontal="center" vertical="center" wrapText="1"/>
    </xf>
    <xf numFmtId="166" fontId="62" fillId="3" borderId="46" xfId="2" applyNumberFormat="1" applyFont="1" applyFill="1" applyBorder="1" applyAlignment="1">
      <alignment horizontal="center" vertical="center" wrapText="1"/>
    </xf>
    <xf numFmtId="0" fontId="46" fillId="3" borderId="30" xfId="3" applyFont="1" applyFill="1" applyBorder="1" applyAlignment="1">
      <alignment horizontal="left"/>
    </xf>
    <xf numFmtId="166" fontId="66" fillId="3" borderId="0" xfId="3" applyNumberFormat="1" applyFont="1" applyFill="1" applyAlignment="1">
      <alignment horizontal="center" vertical="center" wrapText="1"/>
    </xf>
    <xf numFmtId="0" fontId="67" fillId="3" borderId="0" xfId="2" applyFont="1" applyFill="1" applyAlignment="1">
      <alignment horizontal="right"/>
    </xf>
    <xf numFmtId="0" fontId="64" fillId="3" borderId="0" xfId="2" applyFont="1" applyFill="1" applyAlignment="1">
      <alignment horizontal="right"/>
    </xf>
    <xf numFmtId="0" fontId="41" fillId="3" borderId="13" xfId="3" applyFont="1" applyFill="1" applyBorder="1" applyAlignment="1">
      <alignment horizontal="center" vertical="center" wrapText="1"/>
    </xf>
    <xf numFmtId="0" fontId="41" fillId="3" borderId="21" xfId="3" applyFont="1" applyFill="1" applyBorder="1" applyAlignment="1">
      <alignment horizontal="center" vertical="center" wrapText="1"/>
    </xf>
    <xf numFmtId="0" fontId="41" fillId="3" borderId="3" xfId="3" applyFont="1" applyFill="1" applyBorder="1" applyAlignment="1">
      <alignment horizontal="center" vertical="center" wrapText="1"/>
    </xf>
    <xf numFmtId="0" fontId="41" fillId="3" borderId="22" xfId="3" applyFont="1" applyFill="1" applyBorder="1" applyAlignment="1">
      <alignment horizontal="center" vertical="center" wrapText="1"/>
    </xf>
    <xf numFmtId="0" fontId="41" fillId="3" borderId="14" xfId="3" applyFont="1" applyFill="1" applyBorder="1" applyAlignment="1">
      <alignment horizontal="center" vertical="center" wrapText="1"/>
    </xf>
    <xf numFmtId="0" fontId="41" fillId="3" borderId="23" xfId="3" applyFont="1" applyFill="1" applyBorder="1" applyAlignment="1">
      <alignment horizontal="center" vertical="center" wrapText="1"/>
    </xf>
    <xf numFmtId="0" fontId="69" fillId="3" borderId="0" xfId="2" applyFont="1" applyFill="1" applyAlignment="1">
      <alignment horizontal="center"/>
    </xf>
    <xf numFmtId="0" fontId="62" fillId="3" borderId="48" xfId="3" applyFont="1" applyFill="1" applyBorder="1" applyAlignment="1">
      <alignment horizontal="left"/>
    </xf>
    <xf numFmtId="0" fontId="62" fillId="3" borderId="53" xfId="3" applyFont="1" applyFill="1" applyBorder="1" applyAlignment="1">
      <alignment horizontal="left"/>
    </xf>
    <xf numFmtId="0" fontId="44" fillId="3" borderId="30" xfId="3" applyFont="1" applyFill="1" applyBorder="1" applyAlignment="1">
      <alignment horizontal="justify" vertical="center" wrapText="1"/>
    </xf>
    <xf numFmtId="166" fontId="38" fillId="0" borderId="0" xfId="2" applyNumberFormat="1" applyFont="1" applyAlignment="1">
      <alignment horizontal="center" vertical="center" wrapText="1"/>
    </xf>
    <xf numFmtId="166" fontId="41" fillId="0" borderId="80" xfId="2" applyNumberFormat="1" applyFont="1" applyBorder="1" applyAlignment="1" applyProtection="1">
      <alignment horizontal="center" vertical="center"/>
      <protection locked="0"/>
    </xf>
    <xf numFmtId="166" fontId="41" fillId="0" borderId="28" xfId="2" applyNumberFormat="1" applyFont="1" applyBorder="1" applyAlignment="1" applyProtection="1">
      <alignment horizontal="center" vertical="center"/>
      <protection locked="0"/>
    </xf>
    <xf numFmtId="166" fontId="41" fillId="0" borderId="81" xfId="2" applyNumberFormat="1" applyFont="1" applyBorder="1" applyAlignment="1" applyProtection="1">
      <alignment horizontal="center" vertical="center"/>
      <protection locked="0"/>
    </xf>
    <xf numFmtId="166" fontId="41" fillId="0" borderId="86" xfId="2" applyNumberFormat="1" applyFont="1" applyBorder="1" applyAlignment="1" applyProtection="1">
      <alignment horizontal="center" vertical="center"/>
      <protection locked="0"/>
    </xf>
    <xf numFmtId="166" fontId="41" fillId="0" borderId="87" xfId="2" applyNumberFormat="1" applyFont="1" applyBorder="1" applyAlignment="1" applyProtection="1">
      <alignment horizontal="center" vertical="center"/>
      <protection locked="0"/>
    </xf>
    <xf numFmtId="166" fontId="41" fillId="0" borderId="88" xfId="2" applyNumberFormat="1" applyFont="1" applyBorder="1" applyAlignment="1" applyProtection="1">
      <alignment horizontal="center" vertical="center"/>
      <protection locked="0"/>
    </xf>
    <xf numFmtId="166" fontId="38" fillId="3" borderId="0" xfId="2" applyNumberFormat="1" applyFont="1" applyFill="1" applyAlignment="1">
      <alignment horizontal="center" vertical="center" wrapText="1"/>
    </xf>
    <xf numFmtId="166" fontId="33" fillId="3" borderId="30" xfId="2" applyNumberFormat="1" applyFill="1" applyBorder="1" applyAlignment="1">
      <alignment horizontal="left" vertical="center" wrapText="1"/>
    </xf>
    <xf numFmtId="0" fontId="33" fillId="3" borderId="30" xfId="2" applyFill="1" applyBorder="1" applyAlignment="1">
      <alignment horizontal="left" vertical="center" wrapText="1"/>
    </xf>
    <xf numFmtId="0" fontId="37" fillId="3" borderId="6" xfId="2" quotePrefix="1" applyFont="1" applyFill="1" applyBorder="1" applyAlignment="1">
      <alignment horizontal="center" vertical="center"/>
    </xf>
    <xf numFmtId="0" fontId="37" fillId="3" borderId="33" xfId="2" quotePrefix="1" applyFont="1" applyFill="1" applyBorder="1" applyAlignment="1">
      <alignment horizontal="center" vertical="center"/>
    </xf>
    <xf numFmtId="0" fontId="37" fillId="3" borderId="11" xfId="2" quotePrefix="1" applyFont="1" applyFill="1" applyBorder="1" applyAlignment="1">
      <alignment horizontal="center" vertical="center"/>
    </xf>
    <xf numFmtId="0" fontId="37" fillId="3" borderId="69" xfId="2" quotePrefix="1" applyFont="1" applyFill="1" applyBorder="1" applyAlignment="1">
      <alignment horizontal="center" vertical="center"/>
    </xf>
    <xf numFmtId="49" fontId="37" fillId="3" borderId="34" xfId="2" applyNumberFormat="1" applyFont="1" applyFill="1" applyBorder="1" applyAlignment="1">
      <alignment horizontal="center" vertical="center" wrapText="1"/>
    </xf>
    <xf numFmtId="49" fontId="37" fillId="3" borderId="26" xfId="2" applyNumberFormat="1" applyFont="1" applyFill="1" applyBorder="1" applyAlignment="1">
      <alignment horizontal="center" vertical="center" wrapText="1"/>
    </xf>
    <xf numFmtId="49" fontId="37" fillId="3" borderId="35" xfId="2" applyNumberFormat="1" applyFont="1" applyFill="1" applyBorder="1" applyAlignment="1">
      <alignment horizontal="center" vertical="center" wrapText="1"/>
    </xf>
    <xf numFmtId="0" fontId="34" fillId="3" borderId="1" xfId="2" applyFont="1" applyFill="1" applyBorder="1" applyAlignment="1" applyProtection="1">
      <alignment horizontal="right" vertical="top"/>
      <protection locked="0"/>
    </xf>
    <xf numFmtId="0" fontId="33" fillId="3" borderId="74" xfId="2" applyFill="1" applyBorder="1" applyAlignment="1">
      <alignment horizontal="left" vertical="center" wrapText="1"/>
    </xf>
    <xf numFmtId="0" fontId="33" fillId="3" borderId="33" xfId="2" applyFill="1" applyBorder="1" applyAlignment="1">
      <alignment horizontal="left" vertical="center" wrapText="1"/>
    </xf>
    <xf numFmtId="0" fontId="34" fillId="3" borderId="0" xfId="2" applyFont="1" applyFill="1" applyBorder="1" applyAlignment="1">
      <alignment horizontal="right" vertical="top"/>
    </xf>
    <xf numFmtId="49" fontId="37" fillId="3" borderId="6" xfId="2" applyNumberFormat="1" applyFont="1" applyFill="1" applyBorder="1" applyAlignment="1">
      <alignment horizontal="center" vertical="center"/>
    </xf>
    <xf numFmtId="49" fontId="37" fillId="3" borderId="33" xfId="2" applyNumberFormat="1" applyFont="1" applyFill="1" applyBorder="1" applyAlignment="1">
      <alignment horizontal="center" vertical="center"/>
    </xf>
    <xf numFmtId="49" fontId="37" fillId="3" borderId="11" xfId="2" applyNumberFormat="1" applyFont="1" applyFill="1" applyBorder="1" applyAlignment="1">
      <alignment horizontal="center" vertical="center"/>
    </xf>
    <xf numFmtId="49" fontId="37" fillId="3" borderId="69" xfId="2" applyNumberFormat="1" applyFont="1" applyFill="1" applyBorder="1" applyAlignment="1">
      <alignment horizontal="center" vertical="center"/>
    </xf>
    <xf numFmtId="0" fontId="34" fillId="3" borderId="1" xfId="2" applyFont="1" applyFill="1" applyBorder="1" applyAlignment="1">
      <alignment horizontal="right" vertical="top"/>
    </xf>
    <xf numFmtId="0" fontId="34" fillId="3" borderId="0" xfId="2" applyFont="1" applyFill="1" applyAlignment="1">
      <alignment horizontal="right" vertical="top"/>
    </xf>
    <xf numFmtId="49" fontId="37" fillId="3" borderId="74" xfId="2" applyNumberFormat="1" applyFont="1" applyFill="1" applyBorder="1" applyAlignment="1">
      <alignment horizontal="center" vertical="center"/>
    </xf>
    <xf numFmtId="49" fontId="37" fillId="3" borderId="39" xfId="2" applyNumberFormat="1" applyFont="1" applyFill="1" applyBorder="1" applyAlignment="1">
      <alignment horizontal="center" vertical="center"/>
    </xf>
    <xf numFmtId="0" fontId="40" fillId="3" borderId="26" xfId="2" applyFont="1" applyFill="1" applyBorder="1" applyAlignment="1">
      <alignment horizontal="center"/>
    </xf>
    <xf numFmtId="0" fontId="40" fillId="3" borderId="35" xfId="2" applyFont="1" applyFill="1" applyBorder="1" applyAlignment="1">
      <alignment horizontal="center"/>
    </xf>
    <xf numFmtId="0" fontId="4" fillId="3" borderId="0" xfId="1" applyFont="1" applyFill="1" applyAlignment="1">
      <alignment horizontal="center" vertical="center" wrapText="1"/>
    </xf>
    <xf numFmtId="0" fontId="54" fillId="3" borderId="74" xfId="3" applyFont="1" applyFill="1" applyBorder="1" applyAlignment="1">
      <alignment horizontal="left" wrapText="1"/>
    </xf>
    <xf numFmtId="0" fontId="54" fillId="3" borderId="30" xfId="3" applyFont="1" applyFill="1" applyBorder="1" applyAlignment="1">
      <alignment horizontal="left" wrapText="1"/>
    </xf>
    <xf numFmtId="0" fontId="54" fillId="3" borderId="33" xfId="3" applyFont="1" applyFill="1" applyBorder="1" applyAlignment="1">
      <alignment horizontal="left" wrapText="1"/>
    </xf>
    <xf numFmtId="0" fontId="72" fillId="0" borderId="0" xfId="5" applyFont="1" applyAlignment="1">
      <alignment horizontal="right"/>
    </xf>
    <xf numFmtId="0" fontId="50" fillId="0" borderId="0" xfId="5" applyFont="1" applyAlignment="1">
      <alignment horizontal="right"/>
    </xf>
    <xf numFmtId="0" fontId="73" fillId="0" borderId="74" xfId="5" applyFont="1" applyBorder="1" applyAlignment="1">
      <alignment horizontal="center" vertical="center" wrapText="1"/>
    </xf>
    <xf numFmtId="0" fontId="73" fillId="0" borderId="30" xfId="5" applyFont="1" applyBorder="1" applyAlignment="1">
      <alignment horizontal="center" vertical="center"/>
    </xf>
    <xf numFmtId="0" fontId="73" fillId="0" borderId="33" xfId="5" applyFont="1" applyBorder="1" applyAlignment="1">
      <alignment horizontal="center" vertical="center"/>
    </xf>
    <xf numFmtId="0" fontId="73" fillId="0" borderId="0" xfId="5" applyFont="1" applyAlignment="1">
      <alignment horizontal="center" vertical="center"/>
    </xf>
    <xf numFmtId="0" fontId="75" fillId="3" borderId="1" xfId="5" applyFont="1" applyFill="1" applyBorder="1" applyAlignment="1">
      <alignment horizontal="center" vertical="center"/>
    </xf>
    <xf numFmtId="0" fontId="75" fillId="3" borderId="69" xfId="5" applyFont="1" applyFill="1" applyBorder="1" applyAlignment="1">
      <alignment horizontal="center" vertical="center"/>
    </xf>
    <xf numFmtId="0" fontId="73" fillId="3" borderId="37" xfId="5" applyFont="1" applyFill="1" applyBorder="1" applyAlignment="1">
      <alignment horizontal="center" vertical="center"/>
    </xf>
    <xf numFmtId="0" fontId="73" fillId="3" borderId="39" xfId="5" applyFont="1" applyFill="1" applyBorder="1" applyAlignment="1">
      <alignment horizontal="center" vertical="center"/>
    </xf>
    <xf numFmtId="0" fontId="74" fillId="3" borderId="28" xfId="5" applyFont="1" applyFill="1" applyBorder="1" applyAlignment="1">
      <alignment horizontal="center"/>
    </xf>
    <xf numFmtId="0" fontId="74" fillId="3" borderId="29" xfId="5" applyFont="1" applyFill="1" applyBorder="1" applyAlignment="1">
      <alignment horizontal="center"/>
    </xf>
    <xf numFmtId="0" fontId="36" fillId="0" borderId="0" xfId="2" applyFont="1" applyAlignment="1" applyProtection="1">
      <alignment horizontal="left" vertical="center"/>
      <protection locked="0"/>
    </xf>
    <xf numFmtId="0" fontId="38" fillId="0" borderId="0" xfId="2" applyFont="1" applyAlignment="1">
      <alignment horizontal="center" vertical="center" wrapText="1"/>
    </xf>
    <xf numFmtId="165" fontId="54" fillId="0" borderId="0" xfId="2" applyNumberFormat="1" applyFont="1" applyAlignment="1" applyProtection="1">
      <alignment horizontal="center" vertical="center"/>
      <protection locked="0"/>
    </xf>
    <xf numFmtId="0" fontId="53" fillId="0" borderId="1" xfId="2" applyFont="1" applyBorder="1" applyAlignment="1" applyProtection="1">
      <alignment horizontal="left" vertical="center" wrapText="1"/>
      <protection locked="0"/>
    </xf>
    <xf numFmtId="0" fontId="33" fillId="0" borderId="89" xfId="2" applyBorder="1" applyAlignment="1" applyProtection="1">
      <alignment horizontal="center" vertical="center"/>
      <protection locked="0"/>
    </xf>
    <xf numFmtId="0" fontId="40" fillId="0" borderId="90" xfId="2" applyFont="1" applyBorder="1" applyAlignment="1">
      <alignment horizontal="center" vertical="center"/>
    </xf>
    <xf numFmtId="0" fontId="36" fillId="0" borderId="0" xfId="2" applyFont="1" applyAlignment="1" applyProtection="1">
      <alignment horizontal="left" vertical="center" wrapText="1"/>
      <protection locked="0"/>
    </xf>
    <xf numFmtId="0" fontId="38" fillId="0" borderId="0" xfId="7" applyFont="1" applyAlignment="1">
      <alignment horizontal="center" wrapText="1"/>
    </xf>
    <xf numFmtId="0" fontId="38" fillId="0" borderId="0" xfId="7" applyFont="1" applyAlignment="1">
      <alignment horizontal="center"/>
    </xf>
    <xf numFmtId="0" fontId="64" fillId="0" borderId="53" xfId="7" applyFont="1" applyBorder="1" applyAlignment="1">
      <alignment horizontal="left" vertical="center" indent="1"/>
    </xf>
    <xf numFmtId="0" fontId="64" fillId="0" borderId="26" xfId="7" applyFont="1" applyBorder="1" applyAlignment="1">
      <alignment horizontal="left" vertical="center" indent="1"/>
    </xf>
    <xf numFmtId="0" fontId="64" fillId="0" borderId="35" xfId="7" applyFont="1" applyBorder="1" applyAlignment="1">
      <alignment horizontal="left" vertical="center" indent="1"/>
    </xf>
    <xf numFmtId="0" fontId="8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8" fillId="0" borderId="0" xfId="7" applyFont="1" applyAlignment="1" applyProtection="1">
      <alignment horizontal="center" wrapText="1"/>
      <protection locked="0"/>
    </xf>
    <xf numFmtId="0" fontId="38" fillId="0" borderId="0" xfId="7" applyFont="1" applyAlignment="1" applyProtection="1">
      <alignment horizontal="center"/>
      <protection locked="0"/>
    </xf>
    <xf numFmtId="0" fontId="0" fillId="0" borderId="26" xfId="0" applyBorder="1"/>
    <xf numFmtId="0" fontId="0" fillId="0" borderId="35" xfId="0" applyBorder="1"/>
    <xf numFmtId="0" fontId="62" fillId="0" borderId="34" xfId="2" applyFont="1" applyBorder="1" applyAlignment="1">
      <alignment horizontal="left" vertical="center" indent="2"/>
    </xf>
    <xf numFmtId="0" fontId="62" fillId="0" borderId="64" xfId="2" applyFont="1" applyBorder="1" applyAlignment="1">
      <alignment horizontal="left" vertical="center" indent="2"/>
    </xf>
    <xf numFmtId="166" fontId="37" fillId="0" borderId="34" xfId="2" applyNumberFormat="1" applyFont="1" applyBorder="1" applyAlignment="1">
      <alignment horizontal="left" vertical="center" wrapText="1" indent="2"/>
    </xf>
    <xf numFmtId="166" fontId="37" fillId="0" borderId="35" xfId="2" applyNumberFormat="1" applyFont="1" applyBorder="1" applyAlignment="1">
      <alignment horizontal="left" vertical="center" wrapText="1" indent="2"/>
    </xf>
    <xf numFmtId="166" fontId="37" fillId="0" borderId="37" xfId="2" applyNumberFormat="1" applyFont="1" applyBorder="1" applyAlignment="1">
      <alignment horizontal="center" vertical="center" wrapText="1"/>
    </xf>
    <xf numFmtId="166" fontId="37" fillId="0" borderId="38" xfId="2" applyNumberFormat="1" applyFont="1" applyBorder="1" applyAlignment="1">
      <alignment horizontal="center" vertical="center" wrapText="1"/>
    </xf>
    <xf numFmtId="166" fontId="37" fillId="0" borderId="37" xfId="2" applyNumberFormat="1" applyFont="1" applyBorder="1" applyAlignment="1">
      <alignment horizontal="center" vertical="center"/>
    </xf>
    <xf numFmtId="166" fontId="37" fillId="0" borderId="38" xfId="2" applyNumberFormat="1" applyFont="1" applyBorder="1" applyAlignment="1">
      <alignment horizontal="center" vertical="center"/>
    </xf>
    <xf numFmtId="166" fontId="37" fillId="0" borderId="27" xfId="2" applyNumberFormat="1" applyFont="1" applyBorder="1" applyAlignment="1">
      <alignment horizontal="center" vertical="center"/>
    </xf>
    <xf numFmtId="166" fontId="37" fillId="0" borderId="28" xfId="2" applyNumberFormat="1" applyFont="1" applyBorder="1" applyAlignment="1">
      <alignment horizontal="center" vertical="center"/>
    </xf>
    <xf numFmtId="166" fontId="37" fillId="0" borderId="29" xfId="2" applyNumberFormat="1" applyFont="1" applyBorder="1" applyAlignment="1">
      <alignment horizontal="center" vertical="center"/>
    </xf>
    <xf numFmtId="0" fontId="4" fillId="0" borderId="0" xfId="2" applyFont="1" applyAlignment="1">
      <alignment horizontal="center" wrapText="1"/>
    </xf>
    <xf numFmtId="0" fontId="52" fillId="0" borderId="30" xfId="2" applyFont="1" applyBorder="1" applyAlignment="1">
      <alignment horizontal="justify" vertical="center" wrapText="1"/>
    </xf>
  </cellXfs>
  <cellStyles count="8">
    <cellStyle name="Ezres 3" xfId="4" xr:uid="{00000000-0005-0000-0000-000000000000}"/>
    <cellStyle name="Normál" xfId="0" builtinId="0"/>
    <cellStyle name="Normál 2" xfId="1" xr:uid="{00000000-0005-0000-0000-000002000000}"/>
    <cellStyle name="Normál 2 2" xfId="2" xr:uid="{00000000-0005-0000-0000-000003000000}"/>
    <cellStyle name="Normál_2011.dec.rend.mód." xfId="5" xr:uid="{00000000-0005-0000-0000-000004000000}"/>
    <cellStyle name="Normál_KVRENMUNKA" xfId="3" xr:uid="{00000000-0005-0000-0000-000005000000}"/>
    <cellStyle name="Normál_SEGEDLETEK" xfId="7" xr:uid="{00000000-0005-0000-0000-000006000000}"/>
    <cellStyle name="Normál_Tartalék 2014" xfId="6" xr:uid="{00000000-0005-0000-0000-000007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9966FF"/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8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6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externalLink" Target="externalLinks/externalLink9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7.xml"/><Relationship Id="rId38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edagogus\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edagogus\kat_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mpanyweb/ulesek/2013/2013_12_16/k&#246;lt.vet%20rendelet%20m&#243;dos&#237;t&#225;s%2012.16/pedagogus/kat_99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http://companyweb/ulesek/2013/2013_12_16/k&#246;lt.vet%20rendelet%20m&#243;dos&#237;t&#225;s%2012.16/Users/PERESZ~1/AppData/Local/Temp/DOCUME~1/MOLNAR~1.ZSU/LOCALS~1/Temp/norma_2008/0_eredeti/igeny_kieg_tablak/5_Kieg%20t&#225;bla%20k&#246;zs&#233;geknek%20a%203.%20sz&#225;m&#250;%20mell&#233;klethez_.xls?1CFF9CA1" TargetMode="External"/><Relationship Id="rId1" Type="http://schemas.openxmlformats.org/officeDocument/2006/relationships/externalLinkPath" Target="file:///\\1CFF9CA1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mpanyweb/ulesek/2013/2013_12_16/k&#246;lt.vet%20rendelet%20m&#243;dos&#237;t&#225;s%2012.16/norma_2008/Oracle_ba/adat_2008_vesz2fe_u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orma_2008\Oracle_ba\adat_2008_vesz2fe_u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norma_2008\Oracle_ba\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523"/>
  <sheetViews>
    <sheetView view="pageBreakPreview" topLeftCell="A34" zoomScaleNormal="100" zoomScaleSheetLayoutView="100" workbookViewId="0">
      <selection activeCell="B35" sqref="B35"/>
    </sheetView>
  </sheetViews>
  <sheetFormatPr defaultColWidth="9.140625" defaultRowHeight="24.95" customHeight="1" x14ac:dyDescent="0.2"/>
  <cols>
    <col min="1" max="1" width="14.5703125" style="171" customWidth="1"/>
    <col min="2" max="2" width="51.42578125" style="172" customWidth="1"/>
    <col min="3" max="3" width="19.42578125" style="173" customWidth="1"/>
    <col min="4" max="4" width="18" style="173" customWidth="1"/>
    <col min="5" max="5" width="15.85546875" style="173" bestFit="1" customWidth="1"/>
    <col min="6" max="6" width="17.7109375" style="173" customWidth="1"/>
    <col min="7" max="7" width="25.85546875" style="1" customWidth="1"/>
    <col min="8" max="255" width="9.140625" style="1"/>
    <col min="256" max="256" width="14.5703125" style="1" customWidth="1"/>
    <col min="257" max="257" width="51.42578125" style="1" customWidth="1"/>
    <col min="258" max="258" width="19.42578125" style="1" customWidth="1"/>
    <col min="259" max="259" width="18" style="1" customWidth="1"/>
    <col min="260" max="260" width="15.85546875" style="1" bestFit="1" customWidth="1"/>
    <col min="261" max="261" width="17.7109375" style="1" customWidth="1"/>
    <col min="262" max="262" width="14.28515625" style="1" customWidth="1"/>
    <col min="263" max="263" width="13" style="1" customWidth="1"/>
    <col min="264" max="511" width="9.140625" style="1"/>
    <col min="512" max="512" width="14.5703125" style="1" customWidth="1"/>
    <col min="513" max="513" width="51.42578125" style="1" customWidth="1"/>
    <col min="514" max="514" width="19.42578125" style="1" customWidth="1"/>
    <col min="515" max="515" width="18" style="1" customWidth="1"/>
    <col min="516" max="516" width="15.85546875" style="1" bestFit="1" customWidth="1"/>
    <col min="517" max="517" width="17.7109375" style="1" customWidth="1"/>
    <col min="518" max="518" width="14.28515625" style="1" customWidth="1"/>
    <col min="519" max="519" width="13" style="1" customWidth="1"/>
    <col min="520" max="767" width="9.140625" style="1"/>
    <col min="768" max="768" width="14.5703125" style="1" customWidth="1"/>
    <col min="769" max="769" width="51.42578125" style="1" customWidth="1"/>
    <col min="770" max="770" width="19.42578125" style="1" customWidth="1"/>
    <col min="771" max="771" width="18" style="1" customWidth="1"/>
    <col min="772" max="772" width="15.85546875" style="1" bestFit="1" customWidth="1"/>
    <col min="773" max="773" width="17.7109375" style="1" customWidth="1"/>
    <col min="774" max="774" width="14.28515625" style="1" customWidth="1"/>
    <col min="775" max="775" width="13" style="1" customWidth="1"/>
    <col min="776" max="1023" width="9.140625" style="1"/>
    <col min="1024" max="1024" width="14.5703125" style="1" customWidth="1"/>
    <col min="1025" max="1025" width="51.42578125" style="1" customWidth="1"/>
    <col min="1026" max="1026" width="19.42578125" style="1" customWidth="1"/>
    <col min="1027" max="1027" width="18" style="1" customWidth="1"/>
    <col min="1028" max="1028" width="15.85546875" style="1" bestFit="1" customWidth="1"/>
    <col min="1029" max="1029" width="17.7109375" style="1" customWidth="1"/>
    <col min="1030" max="1030" width="14.28515625" style="1" customWidth="1"/>
    <col min="1031" max="1031" width="13" style="1" customWidth="1"/>
    <col min="1032" max="1279" width="9.140625" style="1"/>
    <col min="1280" max="1280" width="14.5703125" style="1" customWidth="1"/>
    <col min="1281" max="1281" width="51.42578125" style="1" customWidth="1"/>
    <col min="1282" max="1282" width="19.42578125" style="1" customWidth="1"/>
    <col min="1283" max="1283" width="18" style="1" customWidth="1"/>
    <col min="1284" max="1284" width="15.85546875" style="1" bestFit="1" customWidth="1"/>
    <col min="1285" max="1285" width="17.7109375" style="1" customWidth="1"/>
    <col min="1286" max="1286" width="14.28515625" style="1" customWidth="1"/>
    <col min="1287" max="1287" width="13" style="1" customWidth="1"/>
    <col min="1288" max="1535" width="9.140625" style="1"/>
    <col min="1536" max="1536" width="14.5703125" style="1" customWidth="1"/>
    <col min="1537" max="1537" width="51.42578125" style="1" customWidth="1"/>
    <col min="1538" max="1538" width="19.42578125" style="1" customWidth="1"/>
    <col min="1539" max="1539" width="18" style="1" customWidth="1"/>
    <col min="1540" max="1540" width="15.85546875" style="1" bestFit="1" customWidth="1"/>
    <col min="1541" max="1541" width="17.7109375" style="1" customWidth="1"/>
    <col min="1542" max="1542" width="14.28515625" style="1" customWidth="1"/>
    <col min="1543" max="1543" width="13" style="1" customWidth="1"/>
    <col min="1544" max="1791" width="9.140625" style="1"/>
    <col min="1792" max="1792" width="14.5703125" style="1" customWidth="1"/>
    <col min="1793" max="1793" width="51.42578125" style="1" customWidth="1"/>
    <col min="1794" max="1794" width="19.42578125" style="1" customWidth="1"/>
    <col min="1795" max="1795" width="18" style="1" customWidth="1"/>
    <col min="1796" max="1796" width="15.85546875" style="1" bestFit="1" customWidth="1"/>
    <col min="1797" max="1797" width="17.7109375" style="1" customWidth="1"/>
    <col min="1798" max="1798" width="14.28515625" style="1" customWidth="1"/>
    <col min="1799" max="1799" width="13" style="1" customWidth="1"/>
    <col min="1800" max="2047" width="9.140625" style="1"/>
    <col min="2048" max="2048" width="14.5703125" style="1" customWidth="1"/>
    <col min="2049" max="2049" width="51.42578125" style="1" customWidth="1"/>
    <col min="2050" max="2050" width="19.42578125" style="1" customWidth="1"/>
    <col min="2051" max="2051" width="18" style="1" customWidth="1"/>
    <col min="2052" max="2052" width="15.85546875" style="1" bestFit="1" customWidth="1"/>
    <col min="2053" max="2053" width="17.7109375" style="1" customWidth="1"/>
    <col min="2054" max="2054" width="14.28515625" style="1" customWidth="1"/>
    <col min="2055" max="2055" width="13" style="1" customWidth="1"/>
    <col min="2056" max="2303" width="9.140625" style="1"/>
    <col min="2304" max="2304" width="14.5703125" style="1" customWidth="1"/>
    <col min="2305" max="2305" width="51.42578125" style="1" customWidth="1"/>
    <col min="2306" max="2306" width="19.42578125" style="1" customWidth="1"/>
    <col min="2307" max="2307" width="18" style="1" customWidth="1"/>
    <col min="2308" max="2308" width="15.85546875" style="1" bestFit="1" customWidth="1"/>
    <col min="2309" max="2309" width="17.7109375" style="1" customWidth="1"/>
    <col min="2310" max="2310" width="14.28515625" style="1" customWidth="1"/>
    <col min="2311" max="2311" width="13" style="1" customWidth="1"/>
    <col min="2312" max="2559" width="9.140625" style="1"/>
    <col min="2560" max="2560" width="14.5703125" style="1" customWidth="1"/>
    <col min="2561" max="2561" width="51.42578125" style="1" customWidth="1"/>
    <col min="2562" max="2562" width="19.42578125" style="1" customWidth="1"/>
    <col min="2563" max="2563" width="18" style="1" customWidth="1"/>
    <col min="2564" max="2564" width="15.85546875" style="1" bestFit="1" customWidth="1"/>
    <col min="2565" max="2565" width="17.7109375" style="1" customWidth="1"/>
    <col min="2566" max="2566" width="14.28515625" style="1" customWidth="1"/>
    <col min="2567" max="2567" width="13" style="1" customWidth="1"/>
    <col min="2568" max="2815" width="9.140625" style="1"/>
    <col min="2816" max="2816" width="14.5703125" style="1" customWidth="1"/>
    <col min="2817" max="2817" width="51.42578125" style="1" customWidth="1"/>
    <col min="2818" max="2818" width="19.42578125" style="1" customWidth="1"/>
    <col min="2819" max="2819" width="18" style="1" customWidth="1"/>
    <col min="2820" max="2820" width="15.85546875" style="1" bestFit="1" customWidth="1"/>
    <col min="2821" max="2821" width="17.7109375" style="1" customWidth="1"/>
    <col min="2822" max="2822" width="14.28515625" style="1" customWidth="1"/>
    <col min="2823" max="2823" width="13" style="1" customWidth="1"/>
    <col min="2824" max="3071" width="9.140625" style="1"/>
    <col min="3072" max="3072" width="14.5703125" style="1" customWidth="1"/>
    <col min="3073" max="3073" width="51.42578125" style="1" customWidth="1"/>
    <col min="3074" max="3074" width="19.42578125" style="1" customWidth="1"/>
    <col min="3075" max="3075" width="18" style="1" customWidth="1"/>
    <col min="3076" max="3076" width="15.85546875" style="1" bestFit="1" customWidth="1"/>
    <col min="3077" max="3077" width="17.7109375" style="1" customWidth="1"/>
    <col min="3078" max="3078" width="14.28515625" style="1" customWidth="1"/>
    <col min="3079" max="3079" width="13" style="1" customWidth="1"/>
    <col min="3080" max="3327" width="9.140625" style="1"/>
    <col min="3328" max="3328" width="14.5703125" style="1" customWidth="1"/>
    <col min="3329" max="3329" width="51.42578125" style="1" customWidth="1"/>
    <col min="3330" max="3330" width="19.42578125" style="1" customWidth="1"/>
    <col min="3331" max="3331" width="18" style="1" customWidth="1"/>
    <col min="3332" max="3332" width="15.85546875" style="1" bestFit="1" customWidth="1"/>
    <col min="3333" max="3333" width="17.7109375" style="1" customWidth="1"/>
    <col min="3334" max="3334" width="14.28515625" style="1" customWidth="1"/>
    <col min="3335" max="3335" width="13" style="1" customWidth="1"/>
    <col min="3336" max="3583" width="9.140625" style="1"/>
    <col min="3584" max="3584" width="14.5703125" style="1" customWidth="1"/>
    <col min="3585" max="3585" width="51.42578125" style="1" customWidth="1"/>
    <col min="3586" max="3586" width="19.42578125" style="1" customWidth="1"/>
    <col min="3587" max="3587" width="18" style="1" customWidth="1"/>
    <col min="3588" max="3588" width="15.85546875" style="1" bestFit="1" customWidth="1"/>
    <col min="3589" max="3589" width="17.7109375" style="1" customWidth="1"/>
    <col min="3590" max="3590" width="14.28515625" style="1" customWidth="1"/>
    <col min="3591" max="3591" width="13" style="1" customWidth="1"/>
    <col min="3592" max="3839" width="9.140625" style="1"/>
    <col min="3840" max="3840" width="14.5703125" style="1" customWidth="1"/>
    <col min="3841" max="3841" width="51.42578125" style="1" customWidth="1"/>
    <col min="3842" max="3842" width="19.42578125" style="1" customWidth="1"/>
    <col min="3843" max="3843" width="18" style="1" customWidth="1"/>
    <col min="3844" max="3844" width="15.85546875" style="1" bestFit="1" customWidth="1"/>
    <col min="3845" max="3845" width="17.7109375" style="1" customWidth="1"/>
    <col min="3846" max="3846" width="14.28515625" style="1" customWidth="1"/>
    <col min="3847" max="3847" width="13" style="1" customWidth="1"/>
    <col min="3848" max="4095" width="9.140625" style="1"/>
    <col min="4096" max="4096" width="14.5703125" style="1" customWidth="1"/>
    <col min="4097" max="4097" width="51.42578125" style="1" customWidth="1"/>
    <col min="4098" max="4098" width="19.42578125" style="1" customWidth="1"/>
    <col min="4099" max="4099" width="18" style="1" customWidth="1"/>
    <col min="4100" max="4100" width="15.85546875" style="1" bestFit="1" customWidth="1"/>
    <col min="4101" max="4101" width="17.7109375" style="1" customWidth="1"/>
    <col min="4102" max="4102" width="14.28515625" style="1" customWidth="1"/>
    <col min="4103" max="4103" width="13" style="1" customWidth="1"/>
    <col min="4104" max="4351" width="9.140625" style="1"/>
    <col min="4352" max="4352" width="14.5703125" style="1" customWidth="1"/>
    <col min="4353" max="4353" width="51.42578125" style="1" customWidth="1"/>
    <col min="4354" max="4354" width="19.42578125" style="1" customWidth="1"/>
    <col min="4355" max="4355" width="18" style="1" customWidth="1"/>
    <col min="4356" max="4356" width="15.85546875" style="1" bestFit="1" customWidth="1"/>
    <col min="4357" max="4357" width="17.7109375" style="1" customWidth="1"/>
    <col min="4358" max="4358" width="14.28515625" style="1" customWidth="1"/>
    <col min="4359" max="4359" width="13" style="1" customWidth="1"/>
    <col min="4360" max="4607" width="9.140625" style="1"/>
    <col min="4608" max="4608" width="14.5703125" style="1" customWidth="1"/>
    <col min="4609" max="4609" width="51.42578125" style="1" customWidth="1"/>
    <col min="4610" max="4610" width="19.42578125" style="1" customWidth="1"/>
    <col min="4611" max="4611" width="18" style="1" customWidth="1"/>
    <col min="4612" max="4612" width="15.85546875" style="1" bestFit="1" customWidth="1"/>
    <col min="4613" max="4613" width="17.7109375" style="1" customWidth="1"/>
    <col min="4614" max="4614" width="14.28515625" style="1" customWidth="1"/>
    <col min="4615" max="4615" width="13" style="1" customWidth="1"/>
    <col min="4616" max="4863" width="9.140625" style="1"/>
    <col min="4864" max="4864" width="14.5703125" style="1" customWidth="1"/>
    <col min="4865" max="4865" width="51.42578125" style="1" customWidth="1"/>
    <col min="4866" max="4866" width="19.42578125" style="1" customWidth="1"/>
    <col min="4867" max="4867" width="18" style="1" customWidth="1"/>
    <col min="4868" max="4868" width="15.85546875" style="1" bestFit="1" customWidth="1"/>
    <col min="4869" max="4869" width="17.7109375" style="1" customWidth="1"/>
    <col min="4870" max="4870" width="14.28515625" style="1" customWidth="1"/>
    <col min="4871" max="4871" width="13" style="1" customWidth="1"/>
    <col min="4872" max="5119" width="9.140625" style="1"/>
    <col min="5120" max="5120" width="14.5703125" style="1" customWidth="1"/>
    <col min="5121" max="5121" width="51.42578125" style="1" customWidth="1"/>
    <col min="5122" max="5122" width="19.42578125" style="1" customWidth="1"/>
    <col min="5123" max="5123" width="18" style="1" customWidth="1"/>
    <col min="5124" max="5124" width="15.85546875" style="1" bestFit="1" customWidth="1"/>
    <col min="5125" max="5125" width="17.7109375" style="1" customWidth="1"/>
    <col min="5126" max="5126" width="14.28515625" style="1" customWidth="1"/>
    <col min="5127" max="5127" width="13" style="1" customWidth="1"/>
    <col min="5128" max="5375" width="9.140625" style="1"/>
    <col min="5376" max="5376" width="14.5703125" style="1" customWidth="1"/>
    <col min="5377" max="5377" width="51.42578125" style="1" customWidth="1"/>
    <col min="5378" max="5378" width="19.42578125" style="1" customWidth="1"/>
    <col min="5379" max="5379" width="18" style="1" customWidth="1"/>
    <col min="5380" max="5380" width="15.85546875" style="1" bestFit="1" customWidth="1"/>
    <col min="5381" max="5381" width="17.7109375" style="1" customWidth="1"/>
    <col min="5382" max="5382" width="14.28515625" style="1" customWidth="1"/>
    <col min="5383" max="5383" width="13" style="1" customWidth="1"/>
    <col min="5384" max="5631" width="9.140625" style="1"/>
    <col min="5632" max="5632" width="14.5703125" style="1" customWidth="1"/>
    <col min="5633" max="5633" width="51.42578125" style="1" customWidth="1"/>
    <col min="5634" max="5634" width="19.42578125" style="1" customWidth="1"/>
    <col min="5635" max="5635" width="18" style="1" customWidth="1"/>
    <col min="5636" max="5636" width="15.85546875" style="1" bestFit="1" customWidth="1"/>
    <col min="5637" max="5637" width="17.7109375" style="1" customWidth="1"/>
    <col min="5638" max="5638" width="14.28515625" style="1" customWidth="1"/>
    <col min="5639" max="5639" width="13" style="1" customWidth="1"/>
    <col min="5640" max="5887" width="9.140625" style="1"/>
    <col min="5888" max="5888" width="14.5703125" style="1" customWidth="1"/>
    <col min="5889" max="5889" width="51.42578125" style="1" customWidth="1"/>
    <col min="5890" max="5890" width="19.42578125" style="1" customWidth="1"/>
    <col min="5891" max="5891" width="18" style="1" customWidth="1"/>
    <col min="5892" max="5892" width="15.85546875" style="1" bestFit="1" customWidth="1"/>
    <col min="5893" max="5893" width="17.7109375" style="1" customWidth="1"/>
    <col min="5894" max="5894" width="14.28515625" style="1" customWidth="1"/>
    <col min="5895" max="5895" width="13" style="1" customWidth="1"/>
    <col min="5896" max="6143" width="9.140625" style="1"/>
    <col min="6144" max="6144" width="14.5703125" style="1" customWidth="1"/>
    <col min="6145" max="6145" width="51.42578125" style="1" customWidth="1"/>
    <col min="6146" max="6146" width="19.42578125" style="1" customWidth="1"/>
    <col min="6147" max="6147" width="18" style="1" customWidth="1"/>
    <col min="6148" max="6148" width="15.85546875" style="1" bestFit="1" customWidth="1"/>
    <col min="6149" max="6149" width="17.7109375" style="1" customWidth="1"/>
    <col min="6150" max="6150" width="14.28515625" style="1" customWidth="1"/>
    <col min="6151" max="6151" width="13" style="1" customWidth="1"/>
    <col min="6152" max="6399" width="9.140625" style="1"/>
    <col min="6400" max="6400" width="14.5703125" style="1" customWidth="1"/>
    <col min="6401" max="6401" width="51.42578125" style="1" customWidth="1"/>
    <col min="6402" max="6402" width="19.42578125" style="1" customWidth="1"/>
    <col min="6403" max="6403" width="18" style="1" customWidth="1"/>
    <col min="6404" max="6404" width="15.85546875" style="1" bestFit="1" customWidth="1"/>
    <col min="6405" max="6405" width="17.7109375" style="1" customWidth="1"/>
    <col min="6406" max="6406" width="14.28515625" style="1" customWidth="1"/>
    <col min="6407" max="6407" width="13" style="1" customWidth="1"/>
    <col min="6408" max="6655" width="9.140625" style="1"/>
    <col min="6656" max="6656" width="14.5703125" style="1" customWidth="1"/>
    <col min="6657" max="6657" width="51.42578125" style="1" customWidth="1"/>
    <col min="6658" max="6658" width="19.42578125" style="1" customWidth="1"/>
    <col min="6659" max="6659" width="18" style="1" customWidth="1"/>
    <col min="6660" max="6660" width="15.85546875" style="1" bestFit="1" customWidth="1"/>
    <col min="6661" max="6661" width="17.7109375" style="1" customWidth="1"/>
    <col min="6662" max="6662" width="14.28515625" style="1" customWidth="1"/>
    <col min="6663" max="6663" width="13" style="1" customWidth="1"/>
    <col min="6664" max="6911" width="9.140625" style="1"/>
    <col min="6912" max="6912" width="14.5703125" style="1" customWidth="1"/>
    <col min="6913" max="6913" width="51.42578125" style="1" customWidth="1"/>
    <col min="6914" max="6914" width="19.42578125" style="1" customWidth="1"/>
    <col min="6915" max="6915" width="18" style="1" customWidth="1"/>
    <col min="6916" max="6916" width="15.85546875" style="1" bestFit="1" customWidth="1"/>
    <col min="6917" max="6917" width="17.7109375" style="1" customWidth="1"/>
    <col min="6918" max="6918" width="14.28515625" style="1" customWidth="1"/>
    <col min="6919" max="6919" width="13" style="1" customWidth="1"/>
    <col min="6920" max="7167" width="9.140625" style="1"/>
    <col min="7168" max="7168" width="14.5703125" style="1" customWidth="1"/>
    <col min="7169" max="7169" width="51.42578125" style="1" customWidth="1"/>
    <col min="7170" max="7170" width="19.42578125" style="1" customWidth="1"/>
    <col min="7171" max="7171" width="18" style="1" customWidth="1"/>
    <col min="7172" max="7172" width="15.85546875" style="1" bestFit="1" customWidth="1"/>
    <col min="7173" max="7173" width="17.7109375" style="1" customWidth="1"/>
    <col min="7174" max="7174" width="14.28515625" style="1" customWidth="1"/>
    <col min="7175" max="7175" width="13" style="1" customWidth="1"/>
    <col min="7176" max="7423" width="9.140625" style="1"/>
    <col min="7424" max="7424" width="14.5703125" style="1" customWidth="1"/>
    <col min="7425" max="7425" width="51.42578125" style="1" customWidth="1"/>
    <col min="7426" max="7426" width="19.42578125" style="1" customWidth="1"/>
    <col min="7427" max="7427" width="18" style="1" customWidth="1"/>
    <col min="7428" max="7428" width="15.85546875" style="1" bestFit="1" customWidth="1"/>
    <col min="7429" max="7429" width="17.7109375" style="1" customWidth="1"/>
    <col min="7430" max="7430" width="14.28515625" style="1" customWidth="1"/>
    <col min="7431" max="7431" width="13" style="1" customWidth="1"/>
    <col min="7432" max="7679" width="9.140625" style="1"/>
    <col min="7680" max="7680" width="14.5703125" style="1" customWidth="1"/>
    <col min="7681" max="7681" width="51.42578125" style="1" customWidth="1"/>
    <col min="7682" max="7682" width="19.42578125" style="1" customWidth="1"/>
    <col min="7683" max="7683" width="18" style="1" customWidth="1"/>
    <col min="7684" max="7684" width="15.85546875" style="1" bestFit="1" customWidth="1"/>
    <col min="7685" max="7685" width="17.7109375" style="1" customWidth="1"/>
    <col min="7686" max="7686" width="14.28515625" style="1" customWidth="1"/>
    <col min="7687" max="7687" width="13" style="1" customWidth="1"/>
    <col min="7688" max="7935" width="9.140625" style="1"/>
    <col min="7936" max="7936" width="14.5703125" style="1" customWidth="1"/>
    <col min="7937" max="7937" width="51.42578125" style="1" customWidth="1"/>
    <col min="7938" max="7938" width="19.42578125" style="1" customWidth="1"/>
    <col min="7939" max="7939" width="18" style="1" customWidth="1"/>
    <col min="7940" max="7940" width="15.85546875" style="1" bestFit="1" customWidth="1"/>
    <col min="7941" max="7941" width="17.7109375" style="1" customWidth="1"/>
    <col min="7942" max="7942" width="14.28515625" style="1" customWidth="1"/>
    <col min="7943" max="7943" width="13" style="1" customWidth="1"/>
    <col min="7944" max="8191" width="9.140625" style="1"/>
    <col min="8192" max="8192" width="14.5703125" style="1" customWidth="1"/>
    <col min="8193" max="8193" width="51.42578125" style="1" customWidth="1"/>
    <col min="8194" max="8194" width="19.42578125" style="1" customWidth="1"/>
    <col min="8195" max="8195" width="18" style="1" customWidth="1"/>
    <col min="8196" max="8196" width="15.85546875" style="1" bestFit="1" customWidth="1"/>
    <col min="8197" max="8197" width="17.7109375" style="1" customWidth="1"/>
    <col min="8198" max="8198" width="14.28515625" style="1" customWidth="1"/>
    <col min="8199" max="8199" width="13" style="1" customWidth="1"/>
    <col min="8200" max="8447" width="9.140625" style="1"/>
    <col min="8448" max="8448" width="14.5703125" style="1" customWidth="1"/>
    <col min="8449" max="8449" width="51.42578125" style="1" customWidth="1"/>
    <col min="8450" max="8450" width="19.42578125" style="1" customWidth="1"/>
    <col min="8451" max="8451" width="18" style="1" customWidth="1"/>
    <col min="8452" max="8452" width="15.85546875" style="1" bestFit="1" customWidth="1"/>
    <col min="8453" max="8453" width="17.7109375" style="1" customWidth="1"/>
    <col min="8454" max="8454" width="14.28515625" style="1" customWidth="1"/>
    <col min="8455" max="8455" width="13" style="1" customWidth="1"/>
    <col min="8456" max="8703" width="9.140625" style="1"/>
    <col min="8704" max="8704" width="14.5703125" style="1" customWidth="1"/>
    <col min="8705" max="8705" width="51.42578125" style="1" customWidth="1"/>
    <col min="8706" max="8706" width="19.42578125" style="1" customWidth="1"/>
    <col min="8707" max="8707" width="18" style="1" customWidth="1"/>
    <col min="8708" max="8708" width="15.85546875" style="1" bestFit="1" customWidth="1"/>
    <col min="8709" max="8709" width="17.7109375" style="1" customWidth="1"/>
    <col min="8710" max="8710" width="14.28515625" style="1" customWidth="1"/>
    <col min="8711" max="8711" width="13" style="1" customWidth="1"/>
    <col min="8712" max="8959" width="9.140625" style="1"/>
    <col min="8960" max="8960" width="14.5703125" style="1" customWidth="1"/>
    <col min="8961" max="8961" width="51.42578125" style="1" customWidth="1"/>
    <col min="8962" max="8962" width="19.42578125" style="1" customWidth="1"/>
    <col min="8963" max="8963" width="18" style="1" customWidth="1"/>
    <col min="8964" max="8964" width="15.85546875" style="1" bestFit="1" customWidth="1"/>
    <col min="8965" max="8965" width="17.7109375" style="1" customWidth="1"/>
    <col min="8966" max="8966" width="14.28515625" style="1" customWidth="1"/>
    <col min="8967" max="8967" width="13" style="1" customWidth="1"/>
    <col min="8968" max="9215" width="9.140625" style="1"/>
    <col min="9216" max="9216" width="14.5703125" style="1" customWidth="1"/>
    <col min="9217" max="9217" width="51.42578125" style="1" customWidth="1"/>
    <col min="9218" max="9218" width="19.42578125" style="1" customWidth="1"/>
    <col min="9219" max="9219" width="18" style="1" customWidth="1"/>
    <col min="9220" max="9220" width="15.85546875" style="1" bestFit="1" customWidth="1"/>
    <col min="9221" max="9221" width="17.7109375" style="1" customWidth="1"/>
    <col min="9222" max="9222" width="14.28515625" style="1" customWidth="1"/>
    <col min="9223" max="9223" width="13" style="1" customWidth="1"/>
    <col min="9224" max="9471" width="9.140625" style="1"/>
    <col min="9472" max="9472" width="14.5703125" style="1" customWidth="1"/>
    <col min="9473" max="9473" width="51.42578125" style="1" customWidth="1"/>
    <col min="9474" max="9474" width="19.42578125" style="1" customWidth="1"/>
    <col min="9475" max="9475" width="18" style="1" customWidth="1"/>
    <col min="9476" max="9476" width="15.85546875" style="1" bestFit="1" customWidth="1"/>
    <col min="9477" max="9477" width="17.7109375" style="1" customWidth="1"/>
    <col min="9478" max="9478" width="14.28515625" style="1" customWidth="1"/>
    <col min="9479" max="9479" width="13" style="1" customWidth="1"/>
    <col min="9480" max="9727" width="9.140625" style="1"/>
    <col min="9728" max="9728" width="14.5703125" style="1" customWidth="1"/>
    <col min="9729" max="9729" width="51.42578125" style="1" customWidth="1"/>
    <col min="9730" max="9730" width="19.42578125" style="1" customWidth="1"/>
    <col min="9731" max="9731" width="18" style="1" customWidth="1"/>
    <col min="9732" max="9732" width="15.85546875" style="1" bestFit="1" customWidth="1"/>
    <col min="9733" max="9733" width="17.7109375" style="1" customWidth="1"/>
    <col min="9734" max="9734" width="14.28515625" style="1" customWidth="1"/>
    <col min="9735" max="9735" width="13" style="1" customWidth="1"/>
    <col min="9736" max="9983" width="9.140625" style="1"/>
    <col min="9984" max="9984" width="14.5703125" style="1" customWidth="1"/>
    <col min="9985" max="9985" width="51.42578125" style="1" customWidth="1"/>
    <col min="9986" max="9986" width="19.42578125" style="1" customWidth="1"/>
    <col min="9987" max="9987" width="18" style="1" customWidth="1"/>
    <col min="9988" max="9988" width="15.85546875" style="1" bestFit="1" customWidth="1"/>
    <col min="9989" max="9989" width="17.7109375" style="1" customWidth="1"/>
    <col min="9990" max="9990" width="14.28515625" style="1" customWidth="1"/>
    <col min="9991" max="9991" width="13" style="1" customWidth="1"/>
    <col min="9992" max="10239" width="9.140625" style="1"/>
    <col min="10240" max="10240" width="14.5703125" style="1" customWidth="1"/>
    <col min="10241" max="10241" width="51.42578125" style="1" customWidth="1"/>
    <col min="10242" max="10242" width="19.42578125" style="1" customWidth="1"/>
    <col min="10243" max="10243" width="18" style="1" customWidth="1"/>
    <col min="10244" max="10244" width="15.85546875" style="1" bestFit="1" customWidth="1"/>
    <col min="10245" max="10245" width="17.7109375" style="1" customWidth="1"/>
    <col min="10246" max="10246" width="14.28515625" style="1" customWidth="1"/>
    <col min="10247" max="10247" width="13" style="1" customWidth="1"/>
    <col min="10248" max="10495" width="9.140625" style="1"/>
    <col min="10496" max="10496" width="14.5703125" style="1" customWidth="1"/>
    <col min="10497" max="10497" width="51.42578125" style="1" customWidth="1"/>
    <col min="10498" max="10498" width="19.42578125" style="1" customWidth="1"/>
    <col min="10499" max="10499" width="18" style="1" customWidth="1"/>
    <col min="10500" max="10500" width="15.85546875" style="1" bestFit="1" customWidth="1"/>
    <col min="10501" max="10501" width="17.7109375" style="1" customWidth="1"/>
    <col min="10502" max="10502" width="14.28515625" style="1" customWidth="1"/>
    <col min="10503" max="10503" width="13" style="1" customWidth="1"/>
    <col min="10504" max="10751" width="9.140625" style="1"/>
    <col min="10752" max="10752" width="14.5703125" style="1" customWidth="1"/>
    <col min="10753" max="10753" width="51.42578125" style="1" customWidth="1"/>
    <col min="10754" max="10754" width="19.42578125" style="1" customWidth="1"/>
    <col min="10755" max="10755" width="18" style="1" customWidth="1"/>
    <col min="10756" max="10756" width="15.85546875" style="1" bestFit="1" customWidth="1"/>
    <col min="10757" max="10757" width="17.7109375" style="1" customWidth="1"/>
    <col min="10758" max="10758" width="14.28515625" style="1" customWidth="1"/>
    <col min="10759" max="10759" width="13" style="1" customWidth="1"/>
    <col min="10760" max="11007" width="9.140625" style="1"/>
    <col min="11008" max="11008" width="14.5703125" style="1" customWidth="1"/>
    <col min="11009" max="11009" width="51.42578125" style="1" customWidth="1"/>
    <col min="11010" max="11010" width="19.42578125" style="1" customWidth="1"/>
    <col min="11011" max="11011" width="18" style="1" customWidth="1"/>
    <col min="11012" max="11012" width="15.85546875" style="1" bestFit="1" customWidth="1"/>
    <col min="11013" max="11013" width="17.7109375" style="1" customWidth="1"/>
    <col min="11014" max="11014" width="14.28515625" style="1" customWidth="1"/>
    <col min="11015" max="11015" width="13" style="1" customWidth="1"/>
    <col min="11016" max="11263" width="9.140625" style="1"/>
    <col min="11264" max="11264" width="14.5703125" style="1" customWidth="1"/>
    <col min="11265" max="11265" width="51.42578125" style="1" customWidth="1"/>
    <col min="11266" max="11266" width="19.42578125" style="1" customWidth="1"/>
    <col min="11267" max="11267" width="18" style="1" customWidth="1"/>
    <col min="11268" max="11268" width="15.85546875" style="1" bestFit="1" customWidth="1"/>
    <col min="11269" max="11269" width="17.7109375" style="1" customWidth="1"/>
    <col min="11270" max="11270" width="14.28515625" style="1" customWidth="1"/>
    <col min="11271" max="11271" width="13" style="1" customWidth="1"/>
    <col min="11272" max="11519" width="9.140625" style="1"/>
    <col min="11520" max="11520" width="14.5703125" style="1" customWidth="1"/>
    <col min="11521" max="11521" width="51.42578125" style="1" customWidth="1"/>
    <col min="11522" max="11522" width="19.42578125" style="1" customWidth="1"/>
    <col min="11523" max="11523" width="18" style="1" customWidth="1"/>
    <col min="11524" max="11524" width="15.85546875" style="1" bestFit="1" customWidth="1"/>
    <col min="11525" max="11525" width="17.7109375" style="1" customWidth="1"/>
    <col min="11526" max="11526" width="14.28515625" style="1" customWidth="1"/>
    <col min="11527" max="11527" width="13" style="1" customWidth="1"/>
    <col min="11528" max="11775" width="9.140625" style="1"/>
    <col min="11776" max="11776" width="14.5703125" style="1" customWidth="1"/>
    <col min="11777" max="11777" width="51.42578125" style="1" customWidth="1"/>
    <col min="11778" max="11778" width="19.42578125" style="1" customWidth="1"/>
    <col min="11779" max="11779" width="18" style="1" customWidth="1"/>
    <col min="11780" max="11780" width="15.85546875" style="1" bestFit="1" customWidth="1"/>
    <col min="11781" max="11781" width="17.7109375" style="1" customWidth="1"/>
    <col min="11782" max="11782" width="14.28515625" style="1" customWidth="1"/>
    <col min="11783" max="11783" width="13" style="1" customWidth="1"/>
    <col min="11784" max="12031" width="9.140625" style="1"/>
    <col min="12032" max="12032" width="14.5703125" style="1" customWidth="1"/>
    <col min="12033" max="12033" width="51.42578125" style="1" customWidth="1"/>
    <col min="12034" max="12034" width="19.42578125" style="1" customWidth="1"/>
    <col min="12035" max="12035" width="18" style="1" customWidth="1"/>
    <col min="12036" max="12036" width="15.85546875" style="1" bestFit="1" customWidth="1"/>
    <col min="12037" max="12037" width="17.7109375" style="1" customWidth="1"/>
    <col min="12038" max="12038" width="14.28515625" style="1" customWidth="1"/>
    <col min="12039" max="12039" width="13" style="1" customWidth="1"/>
    <col min="12040" max="12287" width="9.140625" style="1"/>
    <col min="12288" max="12288" width="14.5703125" style="1" customWidth="1"/>
    <col min="12289" max="12289" width="51.42578125" style="1" customWidth="1"/>
    <col min="12290" max="12290" width="19.42578125" style="1" customWidth="1"/>
    <col min="12291" max="12291" width="18" style="1" customWidth="1"/>
    <col min="12292" max="12292" width="15.85546875" style="1" bestFit="1" customWidth="1"/>
    <col min="12293" max="12293" width="17.7109375" style="1" customWidth="1"/>
    <col min="12294" max="12294" width="14.28515625" style="1" customWidth="1"/>
    <col min="12295" max="12295" width="13" style="1" customWidth="1"/>
    <col min="12296" max="12543" width="9.140625" style="1"/>
    <col min="12544" max="12544" width="14.5703125" style="1" customWidth="1"/>
    <col min="12545" max="12545" width="51.42578125" style="1" customWidth="1"/>
    <col min="12546" max="12546" width="19.42578125" style="1" customWidth="1"/>
    <col min="12547" max="12547" width="18" style="1" customWidth="1"/>
    <col min="12548" max="12548" width="15.85546875" style="1" bestFit="1" customWidth="1"/>
    <col min="12549" max="12549" width="17.7109375" style="1" customWidth="1"/>
    <col min="12550" max="12550" width="14.28515625" style="1" customWidth="1"/>
    <col min="12551" max="12551" width="13" style="1" customWidth="1"/>
    <col min="12552" max="12799" width="9.140625" style="1"/>
    <col min="12800" max="12800" width="14.5703125" style="1" customWidth="1"/>
    <col min="12801" max="12801" width="51.42578125" style="1" customWidth="1"/>
    <col min="12802" max="12802" width="19.42578125" style="1" customWidth="1"/>
    <col min="12803" max="12803" width="18" style="1" customWidth="1"/>
    <col min="12804" max="12804" width="15.85546875" style="1" bestFit="1" customWidth="1"/>
    <col min="12805" max="12805" width="17.7109375" style="1" customWidth="1"/>
    <col min="12806" max="12806" width="14.28515625" style="1" customWidth="1"/>
    <col min="12807" max="12807" width="13" style="1" customWidth="1"/>
    <col min="12808" max="13055" width="9.140625" style="1"/>
    <col min="13056" max="13056" width="14.5703125" style="1" customWidth="1"/>
    <col min="13057" max="13057" width="51.42578125" style="1" customWidth="1"/>
    <col min="13058" max="13058" width="19.42578125" style="1" customWidth="1"/>
    <col min="13059" max="13059" width="18" style="1" customWidth="1"/>
    <col min="13060" max="13060" width="15.85546875" style="1" bestFit="1" customWidth="1"/>
    <col min="13061" max="13061" width="17.7109375" style="1" customWidth="1"/>
    <col min="13062" max="13062" width="14.28515625" style="1" customWidth="1"/>
    <col min="13063" max="13063" width="13" style="1" customWidth="1"/>
    <col min="13064" max="13311" width="9.140625" style="1"/>
    <col min="13312" max="13312" width="14.5703125" style="1" customWidth="1"/>
    <col min="13313" max="13313" width="51.42578125" style="1" customWidth="1"/>
    <col min="13314" max="13314" width="19.42578125" style="1" customWidth="1"/>
    <col min="13315" max="13315" width="18" style="1" customWidth="1"/>
    <col min="13316" max="13316" width="15.85546875" style="1" bestFit="1" customWidth="1"/>
    <col min="13317" max="13317" width="17.7109375" style="1" customWidth="1"/>
    <col min="13318" max="13318" width="14.28515625" style="1" customWidth="1"/>
    <col min="13319" max="13319" width="13" style="1" customWidth="1"/>
    <col min="13320" max="13567" width="9.140625" style="1"/>
    <col min="13568" max="13568" width="14.5703125" style="1" customWidth="1"/>
    <col min="13569" max="13569" width="51.42578125" style="1" customWidth="1"/>
    <col min="13570" max="13570" width="19.42578125" style="1" customWidth="1"/>
    <col min="13571" max="13571" width="18" style="1" customWidth="1"/>
    <col min="13572" max="13572" width="15.85546875" style="1" bestFit="1" customWidth="1"/>
    <col min="13573" max="13573" width="17.7109375" style="1" customWidth="1"/>
    <col min="13574" max="13574" width="14.28515625" style="1" customWidth="1"/>
    <col min="13575" max="13575" width="13" style="1" customWidth="1"/>
    <col min="13576" max="13823" width="9.140625" style="1"/>
    <col min="13824" max="13824" width="14.5703125" style="1" customWidth="1"/>
    <col min="13825" max="13825" width="51.42578125" style="1" customWidth="1"/>
    <col min="13826" max="13826" width="19.42578125" style="1" customWidth="1"/>
    <col min="13827" max="13827" width="18" style="1" customWidth="1"/>
    <col min="13828" max="13828" width="15.85546875" style="1" bestFit="1" customWidth="1"/>
    <col min="13829" max="13829" width="17.7109375" style="1" customWidth="1"/>
    <col min="13830" max="13830" width="14.28515625" style="1" customWidth="1"/>
    <col min="13831" max="13831" width="13" style="1" customWidth="1"/>
    <col min="13832" max="14079" width="9.140625" style="1"/>
    <col min="14080" max="14080" width="14.5703125" style="1" customWidth="1"/>
    <col min="14081" max="14081" width="51.42578125" style="1" customWidth="1"/>
    <col min="14082" max="14082" width="19.42578125" style="1" customWidth="1"/>
    <col min="14083" max="14083" width="18" style="1" customWidth="1"/>
    <col min="14084" max="14084" width="15.85546875" style="1" bestFit="1" customWidth="1"/>
    <col min="14085" max="14085" width="17.7109375" style="1" customWidth="1"/>
    <col min="14086" max="14086" width="14.28515625" style="1" customWidth="1"/>
    <col min="14087" max="14087" width="13" style="1" customWidth="1"/>
    <col min="14088" max="14335" width="9.140625" style="1"/>
    <col min="14336" max="14336" width="14.5703125" style="1" customWidth="1"/>
    <col min="14337" max="14337" width="51.42578125" style="1" customWidth="1"/>
    <col min="14338" max="14338" width="19.42578125" style="1" customWidth="1"/>
    <col min="14339" max="14339" width="18" style="1" customWidth="1"/>
    <col min="14340" max="14340" width="15.85546875" style="1" bestFit="1" customWidth="1"/>
    <col min="14341" max="14341" width="17.7109375" style="1" customWidth="1"/>
    <col min="14342" max="14342" width="14.28515625" style="1" customWidth="1"/>
    <col min="14343" max="14343" width="13" style="1" customWidth="1"/>
    <col min="14344" max="14591" width="9.140625" style="1"/>
    <col min="14592" max="14592" width="14.5703125" style="1" customWidth="1"/>
    <col min="14593" max="14593" width="51.42578125" style="1" customWidth="1"/>
    <col min="14594" max="14594" width="19.42578125" style="1" customWidth="1"/>
    <col min="14595" max="14595" width="18" style="1" customWidth="1"/>
    <col min="14596" max="14596" width="15.85546875" style="1" bestFit="1" customWidth="1"/>
    <col min="14597" max="14597" width="17.7109375" style="1" customWidth="1"/>
    <col min="14598" max="14598" width="14.28515625" style="1" customWidth="1"/>
    <col min="14599" max="14599" width="13" style="1" customWidth="1"/>
    <col min="14600" max="14847" width="9.140625" style="1"/>
    <col min="14848" max="14848" width="14.5703125" style="1" customWidth="1"/>
    <col min="14849" max="14849" width="51.42578125" style="1" customWidth="1"/>
    <col min="14850" max="14850" width="19.42578125" style="1" customWidth="1"/>
    <col min="14851" max="14851" width="18" style="1" customWidth="1"/>
    <col min="14852" max="14852" width="15.85546875" style="1" bestFit="1" customWidth="1"/>
    <col min="14853" max="14853" width="17.7109375" style="1" customWidth="1"/>
    <col min="14854" max="14854" width="14.28515625" style="1" customWidth="1"/>
    <col min="14855" max="14855" width="13" style="1" customWidth="1"/>
    <col min="14856" max="15103" width="9.140625" style="1"/>
    <col min="15104" max="15104" width="14.5703125" style="1" customWidth="1"/>
    <col min="15105" max="15105" width="51.42578125" style="1" customWidth="1"/>
    <col min="15106" max="15106" width="19.42578125" style="1" customWidth="1"/>
    <col min="15107" max="15107" width="18" style="1" customWidth="1"/>
    <col min="15108" max="15108" width="15.85546875" style="1" bestFit="1" customWidth="1"/>
    <col min="15109" max="15109" width="17.7109375" style="1" customWidth="1"/>
    <col min="15110" max="15110" width="14.28515625" style="1" customWidth="1"/>
    <col min="15111" max="15111" width="13" style="1" customWidth="1"/>
    <col min="15112" max="15359" width="9.140625" style="1"/>
    <col min="15360" max="15360" width="14.5703125" style="1" customWidth="1"/>
    <col min="15361" max="15361" width="51.42578125" style="1" customWidth="1"/>
    <col min="15362" max="15362" width="19.42578125" style="1" customWidth="1"/>
    <col min="15363" max="15363" width="18" style="1" customWidth="1"/>
    <col min="15364" max="15364" width="15.85546875" style="1" bestFit="1" customWidth="1"/>
    <col min="15365" max="15365" width="17.7109375" style="1" customWidth="1"/>
    <col min="15366" max="15366" width="14.28515625" style="1" customWidth="1"/>
    <col min="15367" max="15367" width="13" style="1" customWidth="1"/>
    <col min="15368" max="15615" width="9.140625" style="1"/>
    <col min="15616" max="15616" width="14.5703125" style="1" customWidth="1"/>
    <col min="15617" max="15617" width="51.42578125" style="1" customWidth="1"/>
    <col min="15618" max="15618" width="19.42578125" style="1" customWidth="1"/>
    <col min="15619" max="15619" width="18" style="1" customWidth="1"/>
    <col min="15620" max="15620" width="15.85546875" style="1" bestFit="1" customWidth="1"/>
    <col min="15621" max="15621" width="17.7109375" style="1" customWidth="1"/>
    <col min="15622" max="15622" width="14.28515625" style="1" customWidth="1"/>
    <col min="15623" max="15623" width="13" style="1" customWidth="1"/>
    <col min="15624" max="15871" width="9.140625" style="1"/>
    <col min="15872" max="15872" width="14.5703125" style="1" customWidth="1"/>
    <col min="15873" max="15873" width="51.42578125" style="1" customWidth="1"/>
    <col min="15874" max="15874" width="19.42578125" style="1" customWidth="1"/>
    <col min="15875" max="15875" width="18" style="1" customWidth="1"/>
    <col min="15876" max="15876" width="15.85546875" style="1" bestFit="1" customWidth="1"/>
    <col min="15877" max="15877" width="17.7109375" style="1" customWidth="1"/>
    <col min="15878" max="15878" width="14.28515625" style="1" customWidth="1"/>
    <col min="15879" max="15879" width="13" style="1" customWidth="1"/>
    <col min="15880" max="16127" width="9.140625" style="1"/>
    <col min="16128" max="16128" width="14.5703125" style="1" customWidth="1"/>
    <col min="16129" max="16129" width="51.42578125" style="1" customWidth="1"/>
    <col min="16130" max="16130" width="19.42578125" style="1" customWidth="1"/>
    <col min="16131" max="16131" width="18" style="1" customWidth="1"/>
    <col min="16132" max="16132" width="15.85546875" style="1" bestFit="1" customWidth="1"/>
    <col min="16133" max="16133" width="17.7109375" style="1" customWidth="1"/>
    <col min="16134" max="16134" width="14.28515625" style="1" customWidth="1"/>
    <col min="16135" max="16135" width="13" style="1" customWidth="1"/>
    <col min="16136" max="16384" width="9.140625" style="1"/>
  </cols>
  <sheetData>
    <row r="1" spans="1:6" ht="24.95" customHeight="1" thickBot="1" x14ac:dyDescent="0.25">
      <c r="A1" s="1751" t="s">
        <v>0</v>
      </c>
      <c r="B1" s="1751"/>
      <c r="C1" s="1751"/>
      <c r="D1" s="1751"/>
      <c r="E1" s="1751"/>
      <c r="F1" s="1751"/>
    </row>
    <row r="2" spans="1:6" s="2" customFormat="1" ht="24.95" customHeight="1" x14ac:dyDescent="0.2">
      <c r="A2" s="1752" t="s">
        <v>573</v>
      </c>
      <c r="B2" s="1754" t="s">
        <v>1</v>
      </c>
      <c r="C2" s="1756" t="s">
        <v>2</v>
      </c>
      <c r="D2" s="1757"/>
      <c r="E2" s="1758" t="s">
        <v>574</v>
      </c>
      <c r="F2" s="1760" t="s">
        <v>3</v>
      </c>
    </row>
    <row r="3" spans="1:6" ht="24.95" customHeight="1" thickBot="1" x14ac:dyDescent="0.25">
      <c r="A3" s="1753"/>
      <c r="B3" s="1755"/>
      <c r="C3" s="3" t="s">
        <v>4</v>
      </c>
      <c r="D3" s="3" t="s">
        <v>5</v>
      </c>
      <c r="E3" s="1759"/>
      <c r="F3" s="1761"/>
    </row>
    <row r="4" spans="1:6" ht="30" customHeight="1" x14ac:dyDescent="0.2">
      <c r="A4" s="1762" t="s">
        <v>6</v>
      </c>
      <c r="B4" s="1763"/>
      <c r="C4" s="1763"/>
      <c r="D4" s="1763"/>
      <c r="E4" s="1763"/>
      <c r="F4" s="1764"/>
    </row>
    <row r="5" spans="1:6" ht="31.5" x14ac:dyDescent="0.2">
      <c r="A5" s="4" t="s">
        <v>8</v>
      </c>
      <c r="B5" s="5" t="s">
        <v>933</v>
      </c>
      <c r="C5" s="6">
        <v>2000000</v>
      </c>
      <c r="D5" s="7"/>
      <c r="E5" s="7"/>
      <c r="F5" s="8"/>
    </row>
    <row r="6" spans="1:6" ht="31.5" x14ac:dyDescent="0.2">
      <c r="A6" s="4" t="s">
        <v>590</v>
      </c>
      <c r="B6" s="5" t="s">
        <v>591</v>
      </c>
      <c r="C6" s="6">
        <v>1250000</v>
      </c>
      <c r="D6" s="7"/>
      <c r="E6" s="7"/>
      <c r="F6" s="8"/>
    </row>
    <row r="7" spans="1:6" ht="47.25" x14ac:dyDescent="0.2">
      <c r="A7" s="4" t="s">
        <v>11</v>
      </c>
      <c r="B7" s="5" t="s">
        <v>577</v>
      </c>
      <c r="C7" s="6">
        <v>100000</v>
      </c>
      <c r="D7" s="7"/>
      <c r="E7" s="7"/>
      <c r="F7" s="8"/>
    </row>
    <row r="8" spans="1:6" ht="30" customHeight="1" x14ac:dyDescent="0.2">
      <c r="A8" s="9" t="s">
        <v>12</v>
      </c>
      <c r="B8" s="10" t="s">
        <v>13</v>
      </c>
      <c r="C8" s="11">
        <f>SUM(C5:C7)</f>
        <v>3350000</v>
      </c>
      <c r="D8" s="12"/>
      <c r="E8" s="13">
        <f>C8/1000</f>
        <v>3350</v>
      </c>
      <c r="F8" s="14"/>
    </row>
    <row r="9" spans="1:6" s="2" customFormat="1" ht="157.5" x14ac:dyDescent="0.2">
      <c r="A9" s="15" t="s">
        <v>14</v>
      </c>
      <c r="B9" s="16" t="s">
        <v>934</v>
      </c>
      <c r="C9" s="17">
        <v>10922000</v>
      </c>
      <c r="D9" s="17"/>
      <c r="E9" s="18"/>
      <c r="F9" s="19"/>
    </row>
    <row r="10" spans="1:6" s="2" customFormat="1" ht="31.5" x14ac:dyDescent="0.2">
      <c r="A10" s="15" t="s">
        <v>15</v>
      </c>
      <c r="B10" s="16" t="s">
        <v>592</v>
      </c>
      <c r="C10" s="17">
        <v>300000</v>
      </c>
      <c r="D10" s="17"/>
      <c r="E10" s="18"/>
      <c r="F10" s="19"/>
    </row>
    <row r="11" spans="1:6" ht="31.5" x14ac:dyDescent="0.2">
      <c r="A11" s="15" t="s">
        <v>16</v>
      </c>
      <c r="B11" s="20" t="s">
        <v>594</v>
      </c>
      <c r="C11" s="17">
        <v>200000</v>
      </c>
      <c r="D11" s="17"/>
      <c r="E11" s="18"/>
      <c r="F11" s="21"/>
    </row>
    <row r="12" spans="1:6" ht="24.95" customHeight="1" x14ac:dyDescent="0.2">
      <c r="A12" s="22" t="s">
        <v>17</v>
      </c>
      <c r="B12" s="23" t="s">
        <v>18</v>
      </c>
      <c r="C12" s="24">
        <f>SUM(C9:C11)</f>
        <v>11422000</v>
      </c>
      <c r="D12" s="24"/>
      <c r="E12" s="25">
        <f>C12/1000</f>
        <v>11422</v>
      </c>
      <c r="F12" s="26"/>
    </row>
    <row r="13" spans="1:6" ht="24.95" customHeight="1" x14ac:dyDescent="0.2">
      <c r="A13" s="27" t="s">
        <v>19</v>
      </c>
      <c r="B13" s="28" t="s">
        <v>20</v>
      </c>
      <c r="C13" s="29">
        <f>C12+C8</f>
        <v>14772000</v>
      </c>
      <c r="D13" s="29"/>
      <c r="E13" s="30"/>
      <c r="F13" s="31">
        <f>C13/1000</f>
        <v>14772</v>
      </c>
    </row>
    <row r="14" spans="1:6" s="32" customFormat="1" ht="31.5" x14ac:dyDescent="0.2">
      <c r="A14" s="15" t="s">
        <v>21</v>
      </c>
      <c r="B14" s="16" t="s">
        <v>602</v>
      </c>
      <c r="C14" s="17">
        <v>2586000</v>
      </c>
      <c r="D14" s="17"/>
      <c r="E14" s="18"/>
      <c r="F14" s="19"/>
    </row>
    <row r="15" spans="1:6" ht="110.25" x14ac:dyDescent="0.2">
      <c r="A15" s="15" t="s">
        <v>23</v>
      </c>
      <c r="B15" s="20" t="s">
        <v>593</v>
      </c>
      <c r="C15" s="17">
        <v>89000</v>
      </c>
      <c r="D15" s="17"/>
      <c r="E15" s="18"/>
      <c r="F15" s="19"/>
    </row>
    <row r="16" spans="1:6" ht="30" customHeight="1" x14ac:dyDescent="0.2">
      <c r="A16" s="22" t="s">
        <v>24</v>
      </c>
      <c r="B16" s="23" t="s">
        <v>25</v>
      </c>
      <c r="C16" s="24">
        <f>SUM(C14:C15)</f>
        <v>2675000</v>
      </c>
      <c r="D16" s="24"/>
      <c r="E16" s="25">
        <f>C16/1000</f>
        <v>2675</v>
      </c>
      <c r="F16" s="19"/>
    </row>
    <row r="17" spans="1:7" s="32" customFormat="1" ht="30" customHeight="1" x14ac:dyDescent="0.2">
      <c r="A17" s="27" t="s">
        <v>24</v>
      </c>
      <c r="B17" s="33" t="s">
        <v>25</v>
      </c>
      <c r="C17" s="29">
        <f>C16</f>
        <v>2675000</v>
      </c>
      <c r="D17" s="29"/>
      <c r="E17" s="30"/>
      <c r="F17" s="34">
        <f>C17/1000</f>
        <v>2675</v>
      </c>
    </row>
    <row r="18" spans="1:7" s="32" customFormat="1" ht="30" customHeight="1" x14ac:dyDescent="0.2">
      <c r="A18" s="35" t="s">
        <v>26</v>
      </c>
      <c r="B18" s="36" t="s">
        <v>27</v>
      </c>
      <c r="C18" s="37">
        <v>10000</v>
      </c>
      <c r="D18" s="37"/>
      <c r="E18" s="38"/>
      <c r="F18" s="39"/>
    </row>
    <row r="19" spans="1:7" ht="15.75" x14ac:dyDescent="0.2">
      <c r="A19" s="35" t="s">
        <v>28</v>
      </c>
      <c r="B19" s="36" t="s">
        <v>595</v>
      </c>
      <c r="C19" s="40">
        <v>200000</v>
      </c>
      <c r="D19" s="36"/>
      <c r="E19" s="36"/>
      <c r="F19" s="39"/>
      <c r="G19" s="41"/>
    </row>
    <row r="20" spans="1:7" ht="24.95" customHeight="1" x14ac:dyDescent="0.2">
      <c r="A20" s="42" t="s">
        <v>29</v>
      </c>
      <c r="B20" s="43" t="s">
        <v>30</v>
      </c>
      <c r="C20" s="44">
        <f>SUM(C18:C19)</f>
        <v>210000</v>
      </c>
      <c r="D20" s="43"/>
      <c r="E20" s="43">
        <f>C20/1000</f>
        <v>210</v>
      </c>
      <c r="F20" s="45"/>
      <c r="G20" s="41"/>
    </row>
    <row r="21" spans="1:7" ht="141.75" x14ac:dyDescent="0.2">
      <c r="A21" s="35" t="s">
        <v>31</v>
      </c>
      <c r="B21" s="36" t="s">
        <v>596</v>
      </c>
      <c r="C21" s="40">
        <v>375000</v>
      </c>
      <c r="D21" s="36"/>
      <c r="E21" s="43"/>
      <c r="F21" s="45"/>
      <c r="G21" s="41"/>
    </row>
    <row r="22" spans="1:7" ht="31.5" x14ac:dyDescent="0.2">
      <c r="A22" s="35" t="s">
        <v>32</v>
      </c>
      <c r="B22" s="36" t="s">
        <v>33</v>
      </c>
      <c r="C22" s="40">
        <v>301000</v>
      </c>
      <c r="D22" s="36"/>
      <c r="E22" s="36"/>
      <c r="F22" s="39"/>
      <c r="G22" s="41"/>
    </row>
    <row r="23" spans="1:7" ht="24.95" customHeight="1" x14ac:dyDescent="0.2">
      <c r="A23" s="42" t="s">
        <v>34</v>
      </c>
      <c r="B23" s="43" t="s">
        <v>35</v>
      </c>
      <c r="C23" s="44">
        <f>SUM(C21:C22)</f>
        <v>676000</v>
      </c>
      <c r="D23" s="43"/>
      <c r="E23" s="44">
        <f>C23/1000</f>
        <v>676</v>
      </c>
      <c r="F23" s="39"/>
      <c r="G23" s="41"/>
    </row>
    <row r="24" spans="1:7" s="2" customFormat="1" ht="49.9" customHeight="1" x14ac:dyDescent="0.2">
      <c r="A24" s="35" t="s">
        <v>36</v>
      </c>
      <c r="B24" s="36" t="s">
        <v>37</v>
      </c>
      <c r="C24" s="40">
        <v>240000</v>
      </c>
      <c r="D24" s="36"/>
      <c r="E24" s="40"/>
      <c r="F24" s="39"/>
      <c r="G24" s="46"/>
    </row>
    <row r="25" spans="1:7" ht="31.5" x14ac:dyDescent="0.2">
      <c r="A25" s="35" t="s">
        <v>38</v>
      </c>
      <c r="B25" s="36" t="s">
        <v>39</v>
      </c>
      <c r="C25" s="40">
        <v>250000</v>
      </c>
      <c r="D25" s="36"/>
      <c r="E25" s="36"/>
      <c r="F25" s="39"/>
      <c r="G25" s="41"/>
    </row>
    <row r="26" spans="1:7" ht="78.75" x14ac:dyDescent="0.2">
      <c r="A26" s="35" t="s">
        <v>40</v>
      </c>
      <c r="B26" s="36" t="s">
        <v>597</v>
      </c>
      <c r="C26" s="40">
        <v>3905000</v>
      </c>
      <c r="D26" s="36"/>
      <c r="E26" s="36"/>
      <c r="F26" s="39"/>
      <c r="G26" s="41"/>
    </row>
    <row r="27" spans="1:7" ht="24.95" customHeight="1" x14ac:dyDescent="0.2">
      <c r="A27" s="42" t="s">
        <v>41</v>
      </c>
      <c r="B27" s="43" t="s">
        <v>42</v>
      </c>
      <c r="C27" s="44">
        <f>SUM(C24:C26)</f>
        <v>4395000</v>
      </c>
      <c r="D27" s="43"/>
      <c r="E27" s="44">
        <f>C27/1000</f>
        <v>4395</v>
      </c>
      <c r="F27" s="39"/>
      <c r="G27" s="41"/>
    </row>
    <row r="28" spans="1:7" ht="31.5" x14ac:dyDescent="0.2">
      <c r="A28" s="35" t="s">
        <v>43</v>
      </c>
      <c r="B28" s="36" t="s">
        <v>598</v>
      </c>
      <c r="C28" s="40">
        <v>300000</v>
      </c>
      <c r="D28" s="36"/>
      <c r="E28" s="40"/>
      <c r="F28" s="39"/>
      <c r="G28" s="41"/>
    </row>
    <row r="29" spans="1:7" ht="34.5" customHeight="1" x14ac:dyDescent="0.2">
      <c r="A29" s="42" t="s">
        <v>44</v>
      </c>
      <c r="B29" s="43" t="s">
        <v>45</v>
      </c>
      <c r="C29" s="44">
        <f>C28</f>
        <v>300000</v>
      </c>
      <c r="D29" s="43"/>
      <c r="E29" s="44">
        <f>C29/1000</f>
        <v>300</v>
      </c>
      <c r="F29" s="39"/>
      <c r="G29" s="41"/>
    </row>
    <row r="30" spans="1:7" ht="31.5" x14ac:dyDescent="0.2">
      <c r="A30" s="35" t="s">
        <v>46</v>
      </c>
      <c r="B30" s="36" t="s">
        <v>599</v>
      </c>
      <c r="C30" s="40">
        <v>576000</v>
      </c>
      <c r="D30" s="36"/>
      <c r="E30" s="40"/>
      <c r="F30" s="39"/>
      <c r="G30" s="41"/>
    </row>
    <row r="31" spans="1:7" ht="63" x14ac:dyDescent="0.2">
      <c r="A31" s="35" t="s">
        <v>47</v>
      </c>
      <c r="B31" s="36" t="s">
        <v>528</v>
      </c>
      <c r="C31" s="40">
        <v>112000</v>
      </c>
      <c r="D31" s="36"/>
      <c r="E31" s="40"/>
      <c r="F31" s="39"/>
      <c r="G31" s="41"/>
    </row>
    <row r="32" spans="1:7" ht="30" customHeight="1" x14ac:dyDescent="0.2">
      <c r="A32" s="42" t="s">
        <v>48</v>
      </c>
      <c r="B32" s="43" t="s">
        <v>49</v>
      </c>
      <c r="C32" s="44">
        <f>SUM(C30:C31)</f>
        <v>688000</v>
      </c>
      <c r="D32" s="43"/>
      <c r="E32" s="44">
        <f>C32/1000</f>
        <v>688</v>
      </c>
      <c r="F32" s="39"/>
      <c r="G32" s="41"/>
    </row>
    <row r="33" spans="1:7" ht="30" customHeight="1" x14ac:dyDescent="0.2">
      <c r="A33" s="47" t="s">
        <v>50</v>
      </c>
      <c r="B33" s="28" t="s">
        <v>51</v>
      </c>
      <c r="C33" s="48">
        <f>C20+C23+C27+C32+C29</f>
        <v>6269000</v>
      </c>
      <c r="D33" s="48"/>
      <c r="E33" s="49"/>
      <c r="F33" s="50">
        <f>C33/1000</f>
        <v>6269</v>
      </c>
      <c r="G33" s="41"/>
    </row>
    <row r="34" spans="1:7" s="2" customFormat="1" ht="78" customHeight="1" x14ac:dyDescent="0.2">
      <c r="A34" s="22" t="s">
        <v>52</v>
      </c>
      <c r="B34" s="23" t="s">
        <v>527</v>
      </c>
      <c r="C34" s="24">
        <v>855000</v>
      </c>
      <c r="D34" s="24"/>
      <c r="E34" s="25">
        <f>C34/1000</f>
        <v>855</v>
      </c>
      <c r="F34" s="51"/>
      <c r="G34" s="46"/>
    </row>
    <row r="35" spans="1:7" ht="330.75" x14ac:dyDescent="0.2">
      <c r="A35" s="22" t="s">
        <v>53</v>
      </c>
      <c r="B35" s="23" t="s">
        <v>1227</v>
      </c>
      <c r="C35" s="24">
        <v>47810980</v>
      </c>
      <c r="D35" s="24"/>
      <c r="E35" s="25">
        <f>C35/1000</f>
        <v>47810.98</v>
      </c>
      <c r="F35" s="51"/>
      <c r="G35" s="41"/>
    </row>
    <row r="36" spans="1:7" ht="24.95" customHeight="1" x14ac:dyDescent="0.2">
      <c r="A36" s="47" t="s">
        <v>54</v>
      </c>
      <c r="B36" s="28" t="s">
        <v>55</v>
      </c>
      <c r="C36" s="48">
        <f>C35+C34</f>
        <v>48665980</v>
      </c>
      <c r="D36" s="48"/>
      <c r="E36" s="49"/>
      <c r="F36" s="50">
        <f>C36/1000</f>
        <v>48665.98</v>
      </c>
      <c r="G36" s="41"/>
    </row>
    <row r="37" spans="1:7" ht="15.75" x14ac:dyDescent="0.2">
      <c r="A37" s="22" t="s">
        <v>56</v>
      </c>
      <c r="B37" s="23" t="s">
        <v>600</v>
      </c>
      <c r="C37" s="24">
        <v>0</v>
      </c>
      <c r="D37" s="24"/>
      <c r="E37" s="25">
        <f>C37/1000</f>
        <v>0</v>
      </c>
      <c r="F37" s="51"/>
      <c r="G37" s="41"/>
    </row>
    <row r="38" spans="1:7" ht="30" customHeight="1" x14ac:dyDescent="0.2">
      <c r="A38" s="22" t="s">
        <v>57</v>
      </c>
      <c r="B38" s="23" t="s">
        <v>58</v>
      </c>
      <c r="C38" s="24">
        <v>0</v>
      </c>
      <c r="D38" s="24"/>
      <c r="E38" s="25">
        <f>C38/1000</f>
        <v>0</v>
      </c>
      <c r="F38" s="19"/>
      <c r="G38" s="41"/>
    </row>
    <row r="39" spans="1:7" ht="30" customHeight="1" x14ac:dyDescent="0.2">
      <c r="A39" s="22" t="s">
        <v>59</v>
      </c>
      <c r="B39" s="23" t="s">
        <v>935</v>
      </c>
      <c r="C39" s="24">
        <v>787000</v>
      </c>
      <c r="D39" s="24"/>
      <c r="E39" s="25">
        <f>C39/1000</f>
        <v>787</v>
      </c>
      <c r="F39" s="19"/>
      <c r="G39" s="41"/>
    </row>
    <row r="40" spans="1:7" ht="30" customHeight="1" x14ac:dyDescent="0.2">
      <c r="A40" s="22" t="s">
        <v>60</v>
      </c>
      <c r="B40" s="23" t="s">
        <v>61</v>
      </c>
      <c r="C40" s="24">
        <v>293490</v>
      </c>
      <c r="D40" s="24"/>
      <c r="E40" s="25">
        <f>C40/1000</f>
        <v>293.49</v>
      </c>
      <c r="F40" s="19"/>
      <c r="G40" s="41"/>
    </row>
    <row r="41" spans="1:7" ht="30" customHeight="1" x14ac:dyDescent="0.2">
      <c r="A41" s="47" t="s">
        <v>62</v>
      </c>
      <c r="B41" s="28" t="s">
        <v>63</v>
      </c>
      <c r="C41" s="48">
        <f>SUM(C37:C40)</f>
        <v>1080490</v>
      </c>
      <c r="D41" s="48"/>
      <c r="E41" s="49"/>
      <c r="F41" s="50">
        <f>C41/1000</f>
        <v>1080.49</v>
      </c>
      <c r="G41" s="41"/>
    </row>
    <row r="42" spans="1:7" ht="24.95" customHeight="1" thickBot="1" x14ac:dyDescent="0.25">
      <c r="A42" s="1749" t="s">
        <v>64</v>
      </c>
      <c r="B42" s="1750"/>
      <c r="C42" s="1750"/>
      <c r="D42" s="1750"/>
      <c r="E42" s="1750"/>
      <c r="F42" s="52">
        <f>SUM(F5:F41)</f>
        <v>73462.470000000016</v>
      </c>
    </row>
    <row r="43" spans="1:7" ht="96" customHeight="1" x14ac:dyDescent="0.2">
      <c r="A43" s="53" t="s">
        <v>65</v>
      </c>
      <c r="B43" s="54" t="s">
        <v>1225</v>
      </c>
      <c r="C43" s="55"/>
      <c r="D43" s="55">
        <v>139800</v>
      </c>
      <c r="E43" s="56">
        <f>D43/1000</f>
        <v>139.80000000000001</v>
      </c>
      <c r="F43" s="57"/>
    </row>
    <row r="44" spans="1:7" ht="24.95" customHeight="1" x14ac:dyDescent="0.2">
      <c r="A44" s="58" t="s">
        <v>66</v>
      </c>
      <c r="B44" s="59" t="s">
        <v>67</v>
      </c>
      <c r="C44" s="60"/>
      <c r="D44" s="60">
        <f>D43</f>
        <v>139800</v>
      </c>
      <c r="E44" s="61"/>
      <c r="F44" s="62">
        <f>D44/1000</f>
        <v>139.80000000000001</v>
      </c>
    </row>
    <row r="45" spans="1:7" ht="30" customHeight="1" x14ac:dyDescent="0.2">
      <c r="A45" s="53" t="s">
        <v>68</v>
      </c>
      <c r="B45" s="54" t="s">
        <v>526</v>
      </c>
      <c r="C45" s="55"/>
      <c r="D45" s="55"/>
      <c r="E45" s="56">
        <f>D45/1000</f>
        <v>0</v>
      </c>
      <c r="F45" s="57"/>
    </row>
    <row r="46" spans="1:7" ht="30" customHeight="1" x14ac:dyDescent="0.2">
      <c r="A46" s="58" t="s">
        <v>69</v>
      </c>
      <c r="B46" s="59" t="s">
        <v>70</v>
      </c>
      <c r="C46" s="60"/>
      <c r="D46" s="60">
        <f>D45</f>
        <v>0</v>
      </c>
      <c r="E46" s="61"/>
      <c r="F46" s="62">
        <f>D46/1000</f>
        <v>0</v>
      </c>
    </row>
    <row r="47" spans="1:7" s="2" customFormat="1" ht="40.15" customHeight="1" x14ac:dyDescent="0.2">
      <c r="A47" s="53" t="s">
        <v>71</v>
      </c>
      <c r="B47" s="63" t="s">
        <v>72</v>
      </c>
      <c r="C47" s="55"/>
      <c r="D47" s="55">
        <v>240000</v>
      </c>
      <c r="E47" s="64">
        <f>D47/1000</f>
        <v>240</v>
      </c>
      <c r="F47" s="65"/>
    </row>
    <row r="48" spans="1:7" s="2" customFormat="1" ht="40.15" customHeight="1" x14ac:dyDescent="0.2">
      <c r="A48" s="53" t="s">
        <v>73</v>
      </c>
      <c r="B48" s="63" t="s">
        <v>74</v>
      </c>
      <c r="C48" s="55"/>
      <c r="D48" s="55">
        <v>65000</v>
      </c>
      <c r="E48" s="64">
        <f>D48/1000</f>
        <v>65</v>
      </c>
      <c r="F48" s="65"/>
    </row>
    <row r="49" spans="1:7" ht="35.1" customHeight="1" x14ac:dyDescent="0.2">
      <c r="A49" s="53" t="s">
        <v>75</v>
      </c>
      <c r="B49" s="63" t="s">
        <v>76</v>
      </c>
      <c r="C49" s="55"/>
      <c r="D49" s="55">
        <v>5000</v>
      </c>
      <c r="E49" s="64">
        <f>D49/1000</f>
        <v>5</v>
      </c>
      <c r="F49" s="57"/>
    </row>
    <row r="50" spans="1:7" ht="39.75" customHeight="1" x14ac:dyDescent="0.2">
      <c r="A50" s="53" t="s">
        <v>77</v>
      </c>
      <c r="B50" s="63" t="s">
        <v>601</v>
      </c>
      <c r="C50" s="55"/>
      <c r="D50" s="55">
        <v>150000</v>
      </c>
      <c r="E50" s="64">
        <f>D50/1000</f>
        <v>150</v>
      </c>
      <c r="F50" s="57"/>
    </row>
    <row r="51" spans="1:7" ht="30" customHeight="1" x14ac:dyDescent="0.2">
      <c r="A51" s="58" t="s">
        <v>78</v>
      </c>
      <c r="B51" s="59" t="s">
        <v>79</v>
      </c>
      <c r="C51" s="60"/>
      <c r="D51" s="60">
        <f>D47+D48+D49+D50</f>
        <v>460000</v>
      </c>
      <c r="E51" s="61"/>
      <c r="F51" s="66">
        <f>D51/1000</f>
        <v>460</v>
      </c>
    </row>
    <row r="52" spans="1:7" ht="24.95" customHeight="1" thickBot="1" x14ac:dyDescent="0.25">
      <c r="A52" s="1744" t="s">
        <v>80</v>
      </c>
      <c r="B52" s="1745"/>
      <c r="C52" s="1745"/>
      <c r="D52" s="1745"/>
      <c r="E52" s="1745"/>
      <c r="F52" s="67">
        <f>SUM(F43:F51)</f>
        <v>599.79999999999995</v>
      </c>
      <c r="G52" s="41"/>
    </row>
    <row r="53" spans="1:7" ht="24.95" customHeight="1" thickBot="1" x14ac:dyDescent="0.25">
      <c r="A53" s="68"/>
      <c r="B53" s="68"/>
      <c r="C53" s="68"/>
      <c r="D53" s="68"/>
      <c r="E53" s="68"/>
      <c r="F53" s="69"/>
      <c r="G53" s="41"/>
    </row>
    <row r="54" spans="1:7" ht="30" customHeight="1" x14ac:dyDescent="0.2">
      <c r="A54" s="1746" t="s">
        <v>81</v>
      </c>
      <c r="B54" s="1747"/>
      <c r="C54" s="1747"/>
      <c r="D54" s="1747"/>
      <c r="E54" s="1747"/>
      <c r="F54" s="1748"/>
      <c r="G54" s="41"/>
    </row>
    <row r="55" spans="1:7" ht="63" x14ac:dyDescent="0.2">
      <c r="A55" s="15" t="s">
        <v>7</v>
      </c>
      <c r="B55" s="16" t="s">
        <v>583</v>
      </c>
      <c r="C55" s="17">
        <v>3041000</v>
      </c>
      <c r="D55" s="17"/>
      <c r="E55" s="18"/>
      <c r="F55" s="19"/>
      <c r="G55" s="41"/>
    </row>
    <row r="56" spans="1:7" ht="31.5" x14ac:dyDescent="0.2">
      <c r="A56" s="4" t="s">
        <v>9</v>
      </c>
      <c r="B56" s="5" t="s">
        <v>936</v>
      </c>
      <c r="C56" s="6">
        <v>150000</v>
      </c>
      <c r="D56" s="7"/>
      <c r="E56" s="7"/>
      <c r="F56" s="8"/>
    </row>
    <row r="57" spans="1:7" ht="24.95" customHeight="1" x14ac:dyDescent="0.2">
      <c r="A57" s="22" t="s">
        <v>12</v>
      </c>
      <c r="B57" s="23" t="s">
        <v>83</v>
      </c>
      <c r="C57" s="24">
        <f>SUM(C55:C56)</f>
        <v>3191000</v>
      </c>
      <c r="D57" s="24"/>
      <c r="E57" s="25">
        <f>C57/1000</f>
        <v>3191</v>
      </c>
      <c r="F57" s="34"/>
      <c r="G57" s="41"/>
    </row>
    <row r="58" spans="1:7" ht="24.95" customHeight="1" x14ac:dyDescent="0.2">
      <c r="A58" s="47" t="s">
        <v>19</v>
      </c>
      <c r="B58" s="28" t="s">
        <v>20</v>
      </c>
      <c r="C58" s="48">
        <f>C57</f>
        <v>3191000</v>
      </c>
      <c r="D58" s="48"/>
      <c r="E58" s="49"/>
      <c r="F58" s="50">
        <f>C58/1000</f>
        <v>3191</v>
      </c>
      <c r="G58" s="41"/>
    </row>
    <row r="59" spans="1:7" s="32" customFormat="1" ht="63" x14ac:dyDescent="0.2">
      <c r="A59" s="15" t="s">
        <v>21</v>
      </c>
      <c r="B59" s="16" t="s">
        <v>584</v>
      </c>
      <c r="C59" s="17">
        <v>564000</v>
      </c>
      <c r="D59" s="17"/>
      <c r="E59" s="18"/>
      <c r="F59" s="19"/>
    </row>
    <row r="60" spans="1:7" ht="78.75" x14ac:dyDescent="0.2">
      <c r="A60" s="15" t="s">
        <v>23</v>
      </c>
      <c r="B60" s="20" t="s">
        <v>585</v>
      </c>
      <c r="C60" s="17">
        <v>30000</v>
      </c>
      <c r="D60" s="17"/>
      <c r="E60" s="18"/>
      <c r="F60" s="19"/>
    </row>
    <row r="61" spans="1:7" ht="35.1" customHeight="1" x14ac:dyDescent="0.2">
      <c r="A61" s="22" t="s">
        <v>24</v>
      </c>
      <c r="B61" s="23" t="s">
        <v>25</v>
      </c>
      <c r="C61" s="24">
        <f>SUM(C59:C60)</f>
        <v>594000</v>
      </c>
      <c r="D61" s="24"/>
      <c r="E61" s="25">
        <f>C61/1000</f>
        <v>594</v>
      </c>
      <c r="F61" s="19"/>
      <c r="G61" s="41"/>
    </row>
    <row r="62" spans="1:7" ht="24.95" customHeight="1" x14ac:dyDescent="0.2">
      <c r="A62" s="70" t="s">
        <v>24</v>
      </c>
      <c r="B62" s="71" t="s">
        <v>84</v>
      </c>
      <c r="C62" s="72">
        <f>C61</f>
        <v>594000</v>
      </c>
      <c r="D62" s="71"/>
      <c r="E62" s="71"/>
      <c r="F62" s="73">
        <f>C62/1000</f>
        <v>594</v>
      </c>
      <c r="G62" s="41"/>
    </row>
    <row r="63" spans="1:7" ht="63" x14ac:dyDescent="0.2">
      <c r="A63" s="35" t="s">
        <v>28</v>
      </c>
      <c r="B63" s="36" t="s">
        <v>85</v>
      </c>
      <c r="C63" s="40">
        <v>65000</v>
      </c>
      <c r="D63" s="36"/>
      <c r="E63" s="36"/>
      <c r="F63" s="39"/>
      <c r="G63" s="41"/>
    </row>
    <row r="64" spans="1:7" ht="24.95" customHeight="1" x14ac:dyDescent="0.2">
      <c r="A64" s="42" t="s">
        <v>29</v>
      </c>
      <c r="B64" s="43" t="s">
        <v>30</v>
      </c>
      <c r="C64" s="44">
        <f>SUM(C63:C63)</f>
        <v>65000</v>
      </c>
      <c r="D64" s="43"/>
      <c r="E64" s="43">
        <f>C64/1000</f>
        <v>65</v>
      </c>
      <c r="F64" s="45"/>
      <c r="G64" s="41"/>
    </row>
    <row r="65" spans="1:7" ht="31.5" x14ac:dyDescent="0.2">
      <c r="A65" s="35" t="s">
        <v>31</v>
      </c>
      <c r="B65" s="36" t="s">
        <v>86</v>
      </c>
      <c r="C65" s="40">
        <v>11000</v>
      </c>
      <c r="D65" s="36"/>
      <c r="E65" s="36"/>
      <c r="F65" s="39"/>
      <c r="G65" s="41"/>
    </row>
    <row r="66" spans="1:7" ht="63" x14ac:dyDescent="0.2">
      <c r="A66" s="35" t="s">
        <v>32</v>
      </c>
      <c r="B66" s="36" t="s">
        <v>87</v>
      </c>
      <c r="C66" s="40">
        <v>50000</v>
      </c>
      <c r="D66" s="36"/>
      <c r="E66" s="36"/>
      <c r="F66" s="39"/>
      <c r="G66" s="41"/>
    </row>
    <row r="67" spans="1:7" ht="24.95" customHeight="1" x14ac:dyDescent="0.2">
      <c r="A67" s="42" t="s">
        <v>34</v>
      </c>
      <c r="B67" s="43" t="s">
        <v>35</v>
      </c>
      <c r="C67" s="44">
        <f>SUM(C65:C66)</f>
        <v>61000</v>
      </c>
      <c r="D67" s="43"/>
      <c r="E67" s="43">
        <f>C67/1000</f>
        <v>61</v>
      </c>
      <c r="F67" s="39"/>
      <c r="G67" s="41"/>
    </row>
    <row r="68" spans="1:7" ht="63" x14ac:dyDescent="0.2">
      <c r="A68" s="35" t="s">
        <v>88</v>
      </c>
      <c r="B68" s="36" t="s">
        <v>89</v>
      </c>
      <c r="C68" s="40">
        <v>56000</v>
      </c>
      <c r="D68" s="36"/>
      <c r="E68" s="36"/>
      <c r="F68" s="39"/>
      <c r="G68" s="41"/>
    </row>
    <row r="69" spans="1:7" ht="24.95" customHeight="1" x14ac:dyDescent="0.2">
      <c r="A69" s="35" t="s">
        <v>90</v>
      </c>
      <c r="B69" s="36" t="s">
        <v>91</v>
      </c>
      <c r="C69" s="40">
        <v>100000</v>
      </c>
      <c r="D69" s="36"/>
      <c r="E69" s="36"/>
      <c r="F69" s="39"/>
      <c r="G69" s="41"/>
    </row>
    <row r="70" spans="1:7" ht="78.75" x14ac:dyDescent="0.2">
      <c r="A70" s="35" t="s">
        <v>40</v>
      </c>
      <c r="B70" s="36" t="s">
        <v>92</v>
      </c>
      <c r="C70" s="40">
        <v>367000</v>
      </c>
      <c r="D70" s="36"/>
      <c r="E70" s="36"/>
      <c r="F70" s="39"/>
      <c r="G70" s="41"/>
    </row>
    <row r="71" spans="1:7" ht="24.95" customHeight="1" x14ac:dyDescent="0.2">
      <c r="A71" s="42" t="s">
        <v>41</v>
      </c>
      <c r="B71" s="43" t="s">
        <v>42</v>
      </c>
      <c r="C71" s="44">
        <f>SUM(C68:C70)</f>
        <v>523000</v>
      </c>
      <c r="D71" s="43"/>
      <c r="E71" s="44">
        <f>C71/1000</f>
        <v>523</v>
      </c>
      <c r="F71" s="39"/>
      <c r="G71" s="41"/>
    </row>
    <row r="72" spans="1:7" ht="35.1" customHeight="1" x14ac:dyDescent="0.2">
      <c r="A72" s="35" t="s">
        <v>46</v>
      </c>
      <c r="B72" s="36" t="s">
        <v>93</v>
      </c>
      <c r="C72" s="40">
        <v>176000</v>
      </c>
      <c r="D72" s="36"/>
      <c r="E72" s="40"/>
      <c r="F72" s="39"/>
      <c r="G72" s="41"/>
    </row>
    <row r="73" spans="1:7" ht="35.1" customHeight="1" x14ac:dyDescent="0.2">
      <c r="A73" s="42" t="s">
        <v>48</v>
      </c>
      <c r="B73" s="43" t="s">
        <v>49</v>
      </c>
      <c r="C73" s="44">
        <f>C72</f>
        <v>176000</v>
      </c>
      <c r="D73" s="43"/>
      <c r="E73" s="44">
        <f>C73/1000</f>
        <v>176</v>
      </c>
      <c r="F73" s="39"/>
      <c r="G73" s="41"/>
    </row>
    <row r="74" spans="1:7" ht="24.95" customHeight="1" x14ac:dyDescent="0.2">
      <c r="A74" s="47" t="s">
        <v>50</v>
      </c>
      <c r="B74" s="28" t="s">
        <v>51</v>
      </c>
      <c r="C74" s="48">
        <f>C64+C67+C71+C73</f>
        <v>825000</v>
      </c>
      <c r="D74" s="48"/>
      <c r="E74" s="49"/>
      <c r="F74" s="50">
        <f>C74/1000</f>
        <v>825</v>
      </c>
      <c r="G74" s="41"/>
    </row>
    <row r="75" spans="1:7" ht="35.1" customHeight="1" x14ac:dyDescent="0.2">
      <c r="A75" s="22" t="s">
        <v>59</v>
      </c>
      <c r="B75" s="23" t="s">
        <v>94</v>
      </c>
      <c r="C75" s="24"/>
      <c r="D75" s="24"/>
      <c r="E75" s="25">
        <f>C75/1000</f>
        <v>0</v>
      </c>
      <c r="F75" s="19"/>
      <c r="G75" s="41"/>
    </row>
    <row r="76" spans="1:7" ht="24.95" customHeight="1" x14ac:dyDescent="0.2">
      <c r="A76" s="22" t="s">
        <v>60</v>
      </c>
      <c r="B76" s="23" t="s">
        <v>61</v>
      </c>
      <c r="C76" s="24"/>
      <c r="D76" s="24"/>
      <c r="E76" s="25">
        <f>C76/1000</f>
        <v>0</v>
      </c>
      <c r="F76" s="19"/>
      <c r="G76" s="41"/>
    </row>
    <row r="77" spans="1:7" ht="24.95" customHeight="1" x14ac:dyDescent="0.2">
      <c r="A77" s="47" t="s">
        <v>62</v>
      </c>
      <c r="B77" s="28" t="s">
        <v>95</v>
      </c>
      <c r="C77" s="48">
        <f>C75+C76</f>
        <v>0</v>
      </c>
      <c r="D77" s="48"/>
      <c r="E77" s="49"/>
      <c r="F77" s="50">
        <f>C77/1000</f>
        <v>0</v>
      </c>
      <c r="G77" s="41"/>
    </row>
    <row r="78" spans="1:7" ht="24.95" customHeight="1" thickBot="1" x14ac:dyDescent="0.25">
      <c r="A78" s="1749" t="s">
        <v>96</v>
      </c>
      <c r="B78" s="1750"/>
      <c r="C78" s="1750"/>
      <c r="D78" s="1750"/>
      <c r="E78" s="1750"/>
      <c r="F78" s="52">
        <f>SUM(F55:F77)</f>
        <v>4610</v>
      </c>
      <c r="G78" s="41"/>
    </row>
    <row r="79" spans="1:7" ht="15.75" x14ac:dyDescent="0.2">
      <c r="A79" s="53" t="s">
        <v>97</v>
      </c>
      <c r="B79" s="74" t="s">
        <v>603</v>
      </c>
      <c r="C79" s="56"/>
      <c r="D79" s="56">
        <v>4437000</v>
      </c>
      <c r="E79" s="56">
        <f>D79/1000</f>
        <v>4437</v>
      </c>
      <c r="F79" s="57"/>
      <c r="G79" s="41"/>
    </row>
    <row r="80" spans="1:7" ht="35.1" customHeight="1" x14ac:dyDescent="0.2">
      <c r="A80" s="53" t="s">
        <v>73</v>
      </c>
      <c r="B80" s="74" t="s">
        <v>930</v>
      </c>
      <c r="C80" s="56"/>
      <c r="D80" s="56">
        <v>1198000</v>
      </c>
      <c r="E80" s="56">
        <f>D80/1000</f>
        <v>1198</v>
      </c>
      <c r="F80" s="57"/>
      <c r="G80" s="41"/>
    </row>
    <row r="81" spans="1:7" ht="24.95" customHeight="1" x14ac:dyDescent="0.2">
      <c r="A81" s="58" t="s">
        <v>78</v>
      </c>
      <c r="B81" s="75" t="s">
        <v>79</v>
      </c>
      <c r="C81" s="76"/>
      <c r="D81" s="76">
        <f>SUM(D78:D80)</f>
        <v>5635000</v>
      </c>
      <c r="E81" s="76"/>
      <c r="F81" s="66">
        <f>D81/1000</f>
        <v>5635</v>
      </c>
      <c r="G81" s="41"/>
    </row>
    <row r="82" spans="1:7" ht="24.95" customHeight="1" thickBot="1" x14ac:dyDescent="0.25">
      <c r="A82" s="1744" t="s">
        <v>80</v>
      </c>
      <c r="B82" s="1745"/>
      <c r="C82" s="1745"/>
      <c r="D82" s="1745"/>
      <c r="E82" s="1745"/>
      <c r="F82" s="67">
        <f>SUM(F79:F81)</f>
        <v>5635</v>
      </c>
      <c r="G82" s="41"/>
    </row>
    <row r="83" spans="1:7" ht="24.95" customHeight="1" thickBot="1" x14ac:dyDescent="0.25">
      <c r="A83" s="68"/>
      <c r="B83" s="68"/>
      <c r="C83" s="68"/>
      <c r="D83" s="68"/>
      <c r="E83" s="68"/>
      <c r="F83" s="69"/>
      <c r="G83" s="41"/>
    </row>
    <row r="84" spans="1:7" ht="30" customHeight="1" x14ac:dyDescent="0.2">
      <c r="A84" s="1746" t="s">
        <v>98</v>
      </c>
      <c r="B84" s="1747"/>
      <c r="C84" s="1747"/>
      <c r="D84" s="1747"/>
      <c r="E84" s="1747"/>
      <c r="F84" s="1748"/>
      <c r="G84" s="41"/>
    </row>
    <row r="85" spans="1:7" ht="63.75" customHeight="1" x14ac:dyDescent="0.2">
      <c r="A85" s="15" t="s">
        <v>7</v>
      </c>
      <c r="B85" s="20" t="s">
        <v>586</v>
      </c>
      <c r="C85" s="17">
        <v>1920000</v>
      </c>
      <c r="D85" s="17"/>
      <c r="E85" s="18"/>
      <c r="F85" s="21"/>
    </row>
    <row r="86" spans="1:7" ht="30" customHeight="1" x14ac:dyDescent="0.2">
      <c r="A86" s="15" t="s">
        <v>9</v>
      </c>
      <c r="B86" s="20" t="s">
        <v>937</v>
      </c>
      <c r="C86" s="17">
        <v>150000</v>
      </c>
      <c r="D86" s="17"/>
      <c r="E86" s="18"/>
      <c r="F86" s="21"/>
    </row>
    <row r="87" spans="1:7" ht="30" customHeight="1" x14ac:dyDescent="0.2">
      <c r="A87" s="15" t="s">
        <v>10</v>
      </c>
      <c r="B87" s="20" t="s">
        <v>578</v>
      </c>
      <c r="C87" s="17">
        <v>108000</v>
      </c>
      <c r="D87" s="17"/>
      <c r="E87" s="18"/>
      <c r="F87" s="21"/>
    </row>
    <row r="88" spans="1:7" ht="30" customHeight="1" x14ac:dyDescent="0.2">
      <c r="A88" s="22" t="s">
        <v>12</v>
      </c>
      <c r="B88" s="23" t="s">
        <v>83</v>
      </c>
      <c r="C88" s="24">
        <f>SUM(C85:C87)</f>
        <v>2178000</v>
      </c>
      <c r="D88" s="24"/>
      <c r="E88" s="25">
        <f>C88/1000</f>
        <v>2178</v>
      </c>
      <c r="F88" s="21"/>
    </row>
    <row r="89" spans="1:7" ht="15.75" x14ac:dyDescent="0.2">
      <c r="A89" s="15" t="s">
        <v>15</v>
      </c>
      <c r="B89" s="20" t="s">
        <v>604</v>
      </c>
      <c r="C89" s="17">
        <v>500000</v>
      </c>
      <c r="D89" s="17"/>
      <c r="E89" s="18"/>
      <c r="F89" s="21"/>
    </row>
    <row r="90" spans="1:7" ht="24.95" customHeight="1" x14ac:dyDescent="0.2">
      <c r="A90" s="22" t="s">
        <v>17</v>
      </c>
      <c r="B90" s="23" t="s">
        <v>18</v>
      </c>
      <c r="C90" s="24">
        <f>SUM(C89:C89)</f>
        <v>500000</v>
      </c>
      <c r="D90" s="24"/>
      <c r="E90" s="25">
        <f>C90/1000</f>
        <v>500</v>
      </c>
      <c r="F90" s="26"/>
    </row>
    <row r="91" spans="1:7" ht="24.95" customHeight="1" x14ac:dyDescent="0.2">
      <c r="A91" s="27" t="s">
        <v>19</v>
      </c>
      <c r="B91" s="28" t="s">
        <v>20</v>
      </c>
      <c r="C91" s="29">
        <f>C90+C88</f>
        <v>2678000</v>
      </c>
      <c r="D91" s="29"/>
      <c r="E91" s="30"/>
      <c r="F91" s="31">
        <f>C91/1000</f>
        <v>2678</v>
      </c>
    </row>
    <row r="92" spans="1:7" ht="63" x14ac:dyDescent="0.2">
      <c r="A92" s="15" t="s">
        <v>21</v>
      </c>
      <c r="B92" s="16" t="s">
        <v>605</v>
      </c>
      <c r="C92" s="17">
        <v>455000</v>
      </c>
      <c r="D92" s="17"/>
      <c r="E92" s="18"/>
      <c r="F92" s="51"/>
      <c r="G92" s="41"/>
    </row>
    <row r="93" spans="1:7" ht="78.75" x14ac:dyDescent="0.2">
      <c r="A93" s="15" t="s">
        <v>23</v>
      </c>
      <c r="B93" s="20" t="s">
        <v>585</v>
      </c>
      <c r="C93" s="17">
        <v>30000</v>
      </c>
      <c r="D93" s="17"/>
      <c r="E93" s="18"/>
      <c r="F93" s="51"/>
      <c r="G93" s="41"/>
    </row>
    <row r="94" spans="1:7" ht="35.1" customHeight="1" x14ac:dyDescent="0.2">
      <c r="A94" s="22" t="s">
        <v>24</v>
      </c>
      <c r="B94" s="23" t="s">
        <v>25</v>
      </c>
      <c r="C94" s="24">
        <f>SUM(C92:C93)</f>
        <v>485000</v>
      </c>
      <c r="D94" s="24"/>
      <c r="E94" s="25">
        <f>C94/1000</f>
        <v>485</v>
      </c>
      <c r="F94" s="19"/>
      <c r="G94" s="41"/>
    </row>
    <row r="95" spans="1:7" ht="24.95" customHeight="1" x14ac:dyDescent="0.2">
      <c r="A95" s="70" t="s">
        <v>24</v>
      </c>
      <c r="B95" s="71" t="s">
        <v>84</v>
      </c>
      <c r="C95" s="72">
        <f>C94</f>
        <v>485000</v>
      </c>
      <c r="D95" s="71"/>
      <c r="E95" s="71"/>
      <c r="F95" s="73">
        <f>C95/1000</f>
        <v>485</v>
      </c>
      <c r="G95" s="41"/>
    </row>
    <row r="96" spans="1:7" ht="69.95" customHeight="1" x14ac:dyDescent="0.2">
      <c r="A96" s="35" t="s">
        <v>28</v>
      </c>
      <c r="B96" s="36" t="s">
        <v>99</v>
      </c>
      <c r="C96" s="40">
        <v>250000</v>
      </c>
      <c r="D96" s="36"/>
      <c r="E96" s="36"/>
      <c r="F96" s="39"/>
      <c r="G96" s="41"/>
    </row>
    <row r="97" spans="1:7" ht="24.95" customHeight="1" x14ac:dyDescent="0.2">
      <c r="A97" s="77" t="s">
        <v>100</v>
      </c>
      <c r="B97" s="78" t="s">
        <v>101</v>
      </c>
      <c r="C97" s="79">
        <v>1300000</v>
      </c>
      <c r="D97" s="78"/>
      <c r="E97" s="78"/>
      <c r="F97" s="80"/>
      <c r="G97" s="41"/>
    </row>
    <row r="98" spans="1:7" ht="24.95" customHeight="1" x14ac:dyDescent="0.2">
      <c r="A98" s="81" t="s">
        <v>29</v>
      </c>
      <c r="B98" s="82" t="s">
        <v>30</v>
      </c>
      <c r="C98" s="83">
        <f>SUM(C96:C97)</f>
        <v>1550000</v>
      </c>
      <c r="D98" s="82"/>
      <c r="E98" s="82">
        <f>C98/1000</f>
        <v>1550</v>
      </c>
      <c r="F98" s="84"/>
      <c r="G98" s="41"/>
    </row>
    <row r="99" spans="1:7" ht="35.1" customHeight="1" x14ac:dyDescent="0.2">
      <c r="A99" s="77" t="s">
        <v>31</v>
      </c>
      <c r="B99" s="78" t="s">
        <v>102</v>
      </c>
      <c r="C99" s="79">
        <v>18000</v>
      </c>
      <c r="D99" s="78"/>
      <c r="E99" s="78"/>
      <c r="F99" s="80"/>
      <c r="G99" s="41"/>
    </row>
    <row r="100" spans="1:7" ht="30" customHeight="1" x14ac:dyDescent="0.2">
      <c r="A100" s="77" t="s">
        <v>32</v>
      </c>
      <c r="B100" s="78" t="s">
        <v>103</v>
      </c>
      <c r="C100" s="79">
        <v>10000</v>
      </c>
      <c r="D100" s="78"/>
      <c r="E100" s="78"/>
      <c r="F100" s="80"/>
      <c r="G100" s="41"/>
    </row>
    <row r="101" spans="1:7" ht="24.95" customHeight="1" x14ac:dyDescent="0.2">
      <c r="A101" s="81" t="s">
        <v>34</v>
      </c>
      <c r="B101" s="82" t="s">
        <v>35</v>
      </c>
      <c r="C101" s="83">
        <f>SUM(C99:C100)</f>
        <v>28000</v>
      </c>
      <c r="D101" s="82"/>
      <c r="E101" s="82">
        <f>C101/1000</f>
        <v>28</v>
      </c>
      <c r="F101" s="80"/>
      <c r="G101" s="41"/>
    </row>
    <row r="102" spans="1:7" ht="78.75" x14ac:dyDescent="0.2">
      <c r="A102" s="77" t="s">
        <v>88</v>
      </c>
      <c r="B102" s="78" t="s">
        <v>104</v>
      </c>
      <c r="C102" s="79">
        <v>1225000</v>
      </c>
      <c r="D102" s="78"/>
      <c r="E102" s="78"/>
      <c r="F102" s="80"/>
      <c r="G102" s="41"/>
    </row>
    <row r="103" spans="1:7" ht="35.1" customHeight="1" x14ac:dyDescent="0.2">
      <c r="A103" s="77" t="s">
        <v>105</v>
      </c>
      <c r="B103" s="78" t="s">
        <v>106</v>
      </c>
      <c r="C103" s="79">
        <v>1400000</v>
      </c>
      <c r="D103" s="78"/>
      <c r="E103" s="78"/>
      <c r="F103" s="80"/>
      <c r="G103" s="41"/>
    </row>
    <row r="104" spans="1:7" ht="24.95" customHeight="1" x14ac:dyDescent="0.2">
      <c r="A104" s="77" t="s">
        <v>90</v>
      </c>
      <c r="B104" s="78" t="s">
        <v>91</v>
      </c>
      <c r="C104" s="79">
        <v>100000</v>
      </c>
      <c r="D104" s="78"/>
      <c r="E104" s="78"/>
      <c r="F104" s="80"/>
      <c r="G104" s="41"/>
    </row>
    <row r="105" spans="1:7" ht="30" customHeight="1" x14ac:dyDescent="0.2">
      <c r="A105" s="77" t="s">
        <v>36</v>
      </c>
      <c r="B105" s="78" t="s">
        <v>523</v>
      </c>
      <c r="C105" s="79">
        <v>0</v>
      </c>
      <c r="D105" s="78"/>
      <c r="E105" s="78"/>
      <c r="F105" s="80"/>
      <c r="G105" s="41"/>
    </row>
    <row r="106" spans="1:7" ht="110.1" customHeight="1" x14ac:dyDescent="0.2">
      <c r="A106" s="35" t="s">
        <v>40</v>
      </c>
      <c r="B106" s="36" t="s">
        <v>606</v>
      </c>
      <c r="C106" s="40">
        <v>2621000</v>
      </c>
      <c r="D106" s="78"/>
      <c r="E106" s="78"/>
      <c r="F106" s="80"/>
      <c r="G106" s="41"/>
    </row>
    <row r="107" spans="1:7" ht="24.95" customHeight="1" x14ac:dyDescent="0.2">
      <c r="A107" s="81" t="s">
        <v>41</v>
      </c>
      <c r="B107" s="82" t="s">
        <v>42</v>
      </c>
      <c r="C107" s="83">
        <f>SUM(C102:C106)</f>
        <v>5346000</v>
      </c>
      <c r="D107" s="82"/>
      <c r="E107" s="83">
        <f>C107/1000</f>
        <v>5346</v>
      </c>
      <c r="F107" s="80"/>
      <c r="G107" s="41"/>
    </row>
    <row r="108" spans="1:7" ht="35.1" customHeight="1" x14ac:dyDescent="0.2">
      <c r="A108" s="77" t="s">
        <v>46</v>
      </c>
      <c r="B108" s="36" t="s">
        <v>607</v>
      </c>
      <c r="C108" s="40">
        <v>1444000</v>
      </c>
      <c r="D108" s="78"/>
      <c r="E108" s="79"/>
      <c r="F108" s="80"/>
      <c r="G108" s="41"/>
    </row>
    <row r="109" spans="1:7" ht="35.1" customHeight="1" x14ac:dyDescent="0.2">
      <c r="A109" s="81" t="s">
        <v>48</v>
      </c>
      <c r="B109" s="82" t="s">
        <v>49</v>
      </c>
      <c r="C109" s="83">
        <f>C108</f>
        <v>1444000</v>
      </c>
      <c r="D109" s="82"/>
      <c r="E109" s="83">
        <f>C109/1000</f>
        <v>1444</v>
      </c>
      <c r="F109" s="80"/>
      <c r="G109" s="41"/>
    </row>
    <row r="110" spans="1:7" ht="30" customHeight="1" x14ac:dyDescent="0.2">
      <c r="A110" s="85" t="s">
        <v>50</v>
      </c>
      <c r="B110" s="86" t="s">
        <v>51</v>
      </c>
      <c r="C110" s="87">
        <f>C98+C101+C107+C109</f>
        <v>8368000</v>
      </c>
      <c r="D110" s="87"/>
      <c r="E110" s="88"/>
      <c r="F110" s="89">
        <f>C110/1000</f>
        <v>8368</v>
      </c>
      <c r="G110" s="41"/>
    </row>
    <row r="111" spans="1:7" ht="63.75" customHeight="1" x14ac:dyDescent="0.2">
      <c r="A111" s="90" t="s">
        <v>107</v>
      </c>
      <c r="B111" s="91" t="s">
        <v>142</v>
      </c>
      <c r="C111" s="92"/>
      <c r="D111" s="92"/>
      <c r="E111" s="93">
        <f>C111/1000</f>
        <v>0</v>
      </c>
      <c r="F111" s="94"/>
      <c r="G111" s="41"/>
    </row>
    <row r="112" spans="1:7" ht="30" customHeight="1" x14ac:dyDescent="0.2">
      <c r="A112" s="90" t="s">
        <v>60</v>
      </c>
      <c r="B112" s="91" t="s">
        <v>61</v>
      </c>
      <c r="C112" s="92"/>
      <c r="D112" s="92"/>
      <c r="E112" s="93">
        <f>C112/1000</f>
        <v>0</v>
      </c>
      <c r="F112" s="94"/>
      <c r="G112" s="41"/>
    </row>
    <row r="113" spans="1:7" ht="30" customHeight="1" x14ac:dyDescent="0.2">
      <c r="A113" s="85" t="s">
        <v>62</v>
      </c>
      <c r="B113" s="86" t="s">
        <v>63</v>
      </c>
      <c r="C113" s="87">
        <f>C111+C112</f>
        <v>0</v>
      </c>
      <c r="D113" s="87"/>
      <c r="E113" s="88"/>
      <c r="F113" s="89">
        <f>C113/1000</f>
        <v>0</v>
      </c>
      <c r="G113" s="41"/>
    </row>
    <row r="114" spans="1:7" ht="49.5" customHeight="1" x14ac:dyDescent="0.2">
      <c r="A114" s="90" t="s">
        <v>154</v>
      </c>
      <c r="B114" s="91" t="s">
        <v>1215</v>
      </c>
      <c r="C114" s="92">
        <v>24038907</v>
      </c>
      <c r="D114" s="92"/>
      <c r="E114" s="93">
        <f>C114/1000</f>
        <v>24038.906999999999</v>
      </c>
      <c r="F114" s="94"/>
      <c r="G114" s="41"/>
    </row>
    <row r="115" spans="1:7" ht="30" customHeight="1" x14ac:dyDescent="0.2">
      <c r="A115" s="90" t="s">
        <v>155</v>
      </c>
      <c r="B115" s="91" t="s">
        <v>210</v>
      </c>
      <c r="C115" s="92">
        <v>6490505</v>
      </c>
      <c r="D115" s="92"/>
      <c r="E115" s="93">
        <f>C115/1000</f>
        <v>6490.5050000000001</v>
      </c>
      <c r="F115" s="94"/>
      <c r="G115" s="41"/>
    </row>
    <row r="116" spans="1:7" ht="30" customHeight="1" x14ac:dyDescent="0.2">
      <c r="A116" s="85" t="s">
        <v>62</v>
      </c>
      <c r="B116" s="86" t="s">
        <v>63</v>
      </c>
      <c r="C116" s="87">
        <f>C114+C115</f>
        <v>30529412</v>
      </c>
      <c r="D116" s="87"/>
      <c r="E116" s="88"/>
      <c r="F116" s="89">
        <f>C116/1000</f>
        <v>30529.412</v>
      </c>
      <c r="G116" s="41"/>
    </row>
    <row r="117" spans="1:7" ht="24.95" customHeight="1" thickBot="1" x14ac:dyDescent="0.25">
      <c r="A117" s="1749" t="s">
        <v>96</v>
      </c>
      <c r="B117" s="1750"/>
      <c r="C117" s="1750"/>
      <c r="D117" s="1750"/>
      <c r="E117" s="1750"/>
      <c r="F117" s="52">
        <f>SUM(F89:F116)</f>
        <v>42060.411999999997</v>
      </c>
      <c r="G117" s="41"/>
    </row>
    <row r="118" spans="1:7" ht="35.1" customHeight="1" x14ac:dyDescent="0.2">
      <c r="A118" s="53" t="s">
        <v>108</v>
      </c>
      <c r="B118" s="74" t="s">
        <v>647</v>
      </c>
      <c r="C118" s="56"/>
      <c r="D118" s="56">
        <v>2000000</v>
      </c>
      <c r="E118" s="56">
        <f>D118/1000</f>
        <v>2000</v>
      </c>
      <c r="F118" s="57"/>
      <c r="G118" s="41"/>
    </row>
    <row r="119" spans="1:7" ht="126" x14ac:dyDescent="0.2">
      <c r="A119" s="53" t="s">
        <v>97</v>
      </c>
      <c r="B119" s="74" t="s">
        <v>646</v>
      </c>
      <c r="C119" s="56"/>
      <c r="D119" s="56">
        <v>3065000</v>
      </c>
      <c r="E119" s="56">
        <f>D119/1000</f>
        <v>3065</v>
      </c>
      <c r="F119" s="57"/>
      <c r="G119" s="41"/>
    </row>
    <row r="120" spans="1:7" ht="50.1" customHeight="1" x14ac:dyDescent="0.2">
      <c r="A120" s="53" t="s">
        <v>71</v>
      </c>
      <c r="B120" s="74" t="s">
        <v>109</v>
      </c>
      <c r="C120" s="56"/>
      <c r="D120" s="56">
        <v>200000</v>
      </c>
      <c r="E120" s="56">
        <f>D120/1000</f>
        <v>200</v>
      </c>
      <c r="F120" s="57"/>
      <c r="G120" s="41"/>
    </row>
    <row r="121" spans="1:7" ht="63" x14ac:dyDescent="0.2">
      <c r="A121" s="53" t="s">
        <v>73</v>
      </c>
      <c r="B121" s="74" t="s">
        <v>648</v>
      </c>
      <c r="C121" s="56"/>
      <c r="D121" s="56">
        <v>693000</v>
      </c>
      <c r="E121" s="56">
        <f>D121/1000</f>
        <v>693</v>
      </c>
      <c r="F121" s="57"/>
      <c r="G121" s="41"/>
    </row>
    <row r="122" spans="1:7" ht="30" customHeight="1" x14ac:dyDescent="0.2">
      <c r="A122" s="58" t="s">
        <v>78</v>
      </c>
      <c r="B122" s="75" t="s">
        <v>79</v>
      </c>
      <c r="C122" s="76"/>
      <c r="D122" s="76">
        <f>SUM(D118:D121)</f>
        <v>5958000</v>
      </c>
      <c r="E122" s="76"/>
      <c r="F122" s="66">
        <f>D122/1000</f>
        <v>5958</v>
      </c>
      <c r="G122" s="41"/>
    </row>
    <row r="123" spans="1:7" ht="30" customHeight="1" x14ac:dyDescent="0.2">
      <c r="A123" s="53" t="s">
        <v>524</v>
      </c>
      <c r="B123" s="74" t="s">
        <v>525</v>
      </c>
      <c r="C123" s="56"/>
      <c r="D123" s="56"/>
      <c r="E123" s="56">
        <f>D123/1000</f>
        <v>0</v>
      </c>
      <c r="F123" s="57"/>
      <c r="G123" s="41"/>
    </row>
    <row r="124" spans="1:7" ht="30" customHeight="1" x14ac:dyDescent="0.2">
      <c r="A124" s="58" t="s">
        <v>524</v>
      </c>
      <c r="B124" s="75" t="s">
        <v>149</v>
      </c>
      <c r="C124" s="76"/>
      <c r="D124" s="76">
        <f>SUM(D123:D123)</f>
        <v>0</v>
      </c>
      <c r="E124" s="76"/>
      <c r="F124" s="66">
        <f>D124/1000</f>
        <v>0</v>
      </c>
      <c r="G124" s="41"/>
    </row>
    <row r="125" spans="1:7" ht="30" customHeight="1" thickBot="1" x14ac:dyDescent="0.25">
      <c r="A125" s="1744" t="s">
        <v>80</v>
      </c>
      <c r="B125" s="1745"/>
      <c r="C125" s="1745"/>
      <c r="D125" s="1745"/>
      <c r="E125" s="1745"/>
      <c r="F125" s="67">
        <f>SUM(F118:F124)</f>
        <v>5958</v>
      </c>
      <c r="G125" s="41"/>
    </row>
    <row r="126" spans="1:7" ht="25.15" customHeight="1" thickBot="1" x14ac:dyDescent="0.25">
      <c r="A126" s="95"/>
      <c r="B126" s="95"/>
      <c r="C126" s="95"/>
      <c r="D126" s="95"/>
      <c r="E126" s="95"/>
      <c r="F126" s="96"/>
      <c r="G126" s="41"/>
    </row>
    <row r="127" spans="1:7" ht="30" customHeight="1" x14ac:dyDescent="0.2">
      <c r="A127" s="1746" t="s">
        <v>110</v>
      </c>
      <c r="B127" s="1747"/>
      <c r="C127" s="1747"/>
      <c r="D127" s="1747"/>
      <c r="E127" s="1747"/>
      <c r="F127" s="1748"/>
      <c r="G127" s="41"/>
    </row>
    <row r="128" spans="1:7" ht="30" customHeight="1" x14ac:dyDescent="0.2">
      <c r="A128" s="15" t="s">
        <v>16</v>
      </c>
      <c r="B128" s="16" t="s">
        <v>111</v>
      </c>
      <c r="C128" s="17">
        <v>400000</v>
      </c>
      <c r="D128" s="24"/>
      <c r="E128" s="25"/>
      <c r="F128" s="51"/>
      <c r="G128" s="41"/>
    </row>
    <row r="129" spans="1:7" ht="30" customHeight="1" x14ac:dyDescent="0.2">
      <c r="A129" s="22" t="s">
        <v>17</v>
      </c>
      <c r="B129" s="23" t="s">
        <v>18</v>
      </c>
      <c r="C129" s="24">
        <f>C128</f>
        <v>400000</v>
      </c>
      <c r="D129" s="24"/>
      <c r="E129" s="25">
        <f>C129/1000</f>
        <v>400</v>
      </c>
      <c r="F129" s="51"/>
      <c r="G129" s="41"/>
    </row>
    <row r="130" spans="1:7" ht="30" customHeight="1" x14ac:dyDescent="0.2">
      <c r="A130" s="47" t="s">
        <v>19</v>
      </c>
      <c r="B130" s="28" t="s">
        <v>20</v>
      </c>
      <c r="C130" s="48">
        <f>C129</f>
        <v>400000</v>
      </c>
      <c r="D130" s="48"/>
      <c r="E130" s="49"/>
      <c r="F130" s="50">
        <f>C130/1000</f>
        <v>400</v>
      </c>
      <c r="G130" s="41"/>
    </row>
    <row r="131" spans="1:7" ht="31.5" x14ac:dyDescent="0.2">
      <c r="A131" s="15" t="s">
        <v>21</v>
      </c>
      <c r="B131" s="16" t="s">
        <v>608</v>
      </c>
      <c r="C131" s="17">
        <v>83000</v>
      </c>
      <c r="D131" s="17"/>
      <c r="E131" s="18"/>
      <c r="F131" s="19"/>
      <c r="G131" s="41"/>
    </row>
    <row r="132" spans="1:7" ht="30" customHeight="1" x14ac:dyDescent="0.2">
      <c r="A132" s="15" t="s">
        <v>23</v>
      </c>
      <c r="B132" s="16" t="s">
        <v>609</v>
      </c>
      <c r="C132" s="17">
        <v>71000</v>
      </c>
      <c r="D132" s="17"/>
      <c r="E132" s="18"/>
      <c r="F132" s="19"/>
      <c r="G132" s="41"/>
    </row>
    <row r="133" spans="1:7" ht="30" customHeight="1" x14ac:dyDescent="0.2">
      <c r="A133" s="22" t="s">
        <v>24</v>
      </c>
      <c r="B133" s="23" t="s">
        <v>112</v>
      </c>
      <c r="C133" s="24">
        <f>SUM(C131:C132)</f>
        <v>154000</v>
      </c>
      <c r="D133" s="24"/>
      <c r="E133" s="25">
        <f>C133/1000</f>
        <v>154</v>
      </c>
      <c r="F133" s="51"/>
      <c r="G133" s="41"/>
    </row>
    <row r="134" spans="1:7" ht="30" customHeight="1" x14ac:dyDescent="0.2">
      <c r="A134" s="47" t="s">
        <v>24</v>
      </c>
      <c r="B134" s="28" t="s">
        <v>112</v>
      </c>
      <c r="C134" s="48">
        <f>C133</f>
        <v>154000</v>
      </c>
      <c r="D134" s="48"/>
      <c r="E134" s="49"/>
      <c r="F134" s="50">
        <f>C134/1000</f>
        <v>154</v>
      </c>
      <c r="G134" s="41"/>
    </row>
    <row r="135" spans="1:7" ht="54.75" customHeight="1" x14ac:dyDescent="0.2">
      <c r="A135" s="15" t="s">
        <v>28</v>
      </c>
      <c r="B135" s="16" t="s">
        <v>522</v>
      </c>
      <c r="C135" s="17">
        <v>300000</v>
      </c>
      <c r="D135" s="24"/>
      <c r="E135" s="25"/>
      <c r="F135" s="51"/>
      <c r="G135" s="41"/>
    </row>
    <row r="136" spans="1:7" ht="30" customHeight="1" x14ac:dyDescent="0.2">
      <c r="A136" s="22" t="s">
        <v>29</v>
      </c>
      <c r="B136" s="23" t="s">
        <v>30</v>
      </c>
      <c r="C136" s="24">
        <f>C135</f>
        <v>300000</v>
      </c>
      <c r="D136" s="24"/>
      <c r="E136" s="25">
        <f>C136/1000</f>
        <v>300</v>
      </c>
      <c r="F136" s="51"/>
      <c r="G136" s="41"/>
    </row>
    <row r="137" spans="1:7" ht="30" customHeight="1" x14ac:dyDescent="0.2">
      <c r="A137" s="15" t="s">
        <v>105</v>
      </c>
      <c r="B137" s="16" t="s">
        <v>521</v>
      </c>
      <c r="C137" s="17">
        <v>100000</v>
      </c>
      <c r="D137" s="17"/>
      <c r="E137" s="18"/>
      <c r="F137" s="19"/>
      <c r="G137" s="41"/>
    </row>
    <row r="138" spans="1:7" ht="30" customHeight="1" x14ac:dyDescent="0.2">
      <c r="A138" s="35" t="s">
        <v>40</v>
      </c>
      <c r="B138" s="36" t="s">
        <v>512</v>
      </c>
      <c r="C138" s="37">
        <v>100000</v>
      </c>
      <c r="D138" s="37"/>
      <c r="E138" s="38"/>
      <c r="F138" s="39"/>
      <c r="G138" s="41"/>
    </row>
    <row r="139" spans="1:7" ht="30" customHeight="1" x14ac:dyDescent="0.2">
      <c r="A139" s="81" t="s">
        <v>41</v>
      </c>
      <c r="B139" s="82" t="s">
        <v>42</v>
      </c>
      <c r="C139" s="83">
        <f>SUM(C137:C138)</f>
        <v>200000</v>
      </c>
      <c r="D139" s="82"/>
      <c r="E139" s="83">
        <f>C139/1000</f>
        <v>200</v>
      </c>
      <c r="F139" s="80"/>
      <c r="G139" s="41"/>
    </row>
    <row r="140" spans="1:7" ht="30" customHeight="1" x14ac:dyDescent="0.2">
      <c r="A140" s="15" t="s">
        <v>46</v>
      </c>
      <c r="B140" s="16" t="s">
        <v>113</v>
      </c>
      <c r="C140" s="17">
        <v>135000</v>
      </c>
      <c r="D140" s="24"/>
      <c r="E140" s="25"/>
      <c r="F140" s="51"/>
      <c r="G140" s="41"/>
    </row>
    <row r="141" spans="1:7" ht="30" customHeight="1" x14ac:dyDescent="0.2">
      <c r="A141" s="42" t="s">
        <v>48</v>
      </c>
      <c r="B141" s="43" t="s">
        <v>114</v>
      </c>
      <c r="C141" s="98">
        <f>C140</f>
        <v>135000</v>
      </c>
      <c r="D141" s="98"/>
      <c r="E141" s="99">
        <f>C141/1000</f>
        <v>135</v>
      </c>
      <c r="F141" s="45"/>
      <c r="G141" s="41"/>
    </row>
    <row r="142" spans="1:7" ht="30" customHeight="1" thickBot="1" x14ac:dyDescent="0.25">
      <c r="A142" s="100" t="s">
        <v>50</v>
      </c>
      <c r="B142" s="101" t="s">
        <v>51</v>
      </c>
      <c r="C142" s="102">
        <f>C136+C141+C139</f>
        <v>635000</v>
      </c>
      <c r="D142" s="101"/>
      <c r="E142" s="101"/>
      <c r="F142" s="103">
        <f>C142/1000</f>
        <v>635</v>
      </c>
      <c r="G142" s="41"/>
    </row>
    <row r="143" spans="1:7" ht="30" customHeight="1" thickBot="1" x14ac:dyDescent="0.25">
      <c r="A143" s="1749" t="s">
        <v>96</v>
      </c>
      <c r="B143" s="1750"/>
      <c r="C143" s="1750"/>
      <c r="D143" s="1750"/>
      <c r="E143" s="1750"/>
      <c r="F143" s="52">
        <f>SUM(F128:F142)</f>
        <v>1189</v>
      </c>
      <c r="G143" s="41"/>
    </row>
    <row r="144" spans="1:7" ht="30" customHeight="1" thickBot="1" x14ac:dyDescent="0.25">
      <c r="A144" s="68"/>
      <c r="B144" s="68"/>
      <c r="C144" s="68"/>
      <c r="D144" s="68"/>
      <c r="E144" s="68"/>
      <c r="F144" s="69"/>
      <c r="G144" s="41"/>
    </row>
    <row r="145" spans="1:7" ht="30" customHeight="1" x14ac:dyDescent="0.2">
      <c r="A145" s="1765" t="s">
        <v>115</v>
      </c>
      <c r="B145" s="1766"/>
      <c r="C145" s="1766"/>
      <c r="D145" s="1766"/>
      <c r="E145" s="1766"/>
      <c r="F145" s="1767"/>
      <c r="G145" s="41"/>
    </row>
    <row r="146" spans="1:7" ht="30" customHeight="1" x14ac:dyDescent="0.2">
      <c r="A146" s="15" t="s">
        <v>116</v>
      </c>
      <c r="B146" s="16" t="s">
        <v>117</v>
      </c>
      <c r="C146" s="17"/>
      <c r="D146" s="24"/>
      <c r="E146" s="25"/>
      <c r="F146" s="51"/>
      <c r="G146" s="41"/>
    </row>
    <row r="147" spans="1:7" ht="24.95" customHeight="1" x14ac:dyDescent="0.2">
      <c r="A147" s="42" t="s">
        <v>118</v>
      </c>
      <c r="B147" s="43" t="s">
        <v>119</v>
      </c>
      <c r="C147" s="98">
        <f>C146</f>
        <v>0</v>
      </c>
      <c r="D147" s="98"/>
      <c r="E147" s="99">
        <f>C147/1000</f>
        <v>0</v>
      </c>
      <c r="F147" s="45"/>
      <c r="G147" s="41"/>
    </row>
    <row r="148" spans="1:7" ht="24.95" customHeight="1" thickBot="1" x14ac:dyDescent="0.25">
      <c r="A148" s="100" t="s">
        <v>54</v>
      </c>
      <c r="B148" s="101" t="s">
        <v>55</v>
      </c>
      <c r="C148" s="102">
        <f>C145+C147</f>
        <v>0</v>
      </c>
      <c r="D148" s="101"/>
      <c r="E148" s="101"/>
      <c r="F148" s="103">
        <f>C148/1000</f>
        <v>0</v>
      </c>
      <c r="G148" s="41"/>
    </row>
    <row r="149" spans="1:7" ht="30" customHeight="1" thickBot="1" x14ac:dyDescent="0.25">
      <c r="A149" s="1749" t="s">
        <v>96</v>
      </c>
      <c r="B149" s="1750"/>
      <c r="C149" s="1750"/>
      <c r="D149" s="1750"/>
      <c r="E149" s="1750"/>
      <c r="F149" s="52">
        <f>F148</f>
        <v>0</v>
      </c>
      <c r="G149" s="41"/>
    </row>
    <row r="150" spans="1:7" ht="141.75" x14ac:dyDescent="0.2">
      <c r="A150" s="104" t="s">
        <v>120</v>
      </c>
      <c r="B150" s="105" t="s">
        <v>1224</v>
      </c>
      <c r="C150" s="106"/>
      <c r="D150" s="106">
        <v>71400131</v>
      </c>
      <c r="E150" s="107"/>
      <c r="F150" s="108"/>
      <c r="G150" s="41"/>
    </row>
    <row r="151" spans="1:7" ht="94.5" x14ac:dyDescent="0.2">
      <c r="A151" s="104" t="s">
        <v>121</v>
      </c>
      <c r="B151" s="105" t="s">
        <v>610</v>
      </c>
      <c r="C151" s="106"/>
      <c r="D151" s="106">
        <v>61660080</v>
      </c>
      <c r="E151" s="107"/>
      <c r="F151" s="108"/>
      <c r="G151" s="41"/>
    </row>
    <row r="152" spans="1:7" ht="110.25" x14ac:dyDescent="0.2">
      <c r="A152" s="104" t="s">
        <v>122</v>
      </c>
      <c r="B152" s="105" t="s">
        <v>611</v>
      </c>
      <c r="C152" s="106"/>
      <c r="D152" s="106">
        <v>38130050</v>
      </c>
      <c r="E152" s="107"/>
      <c r="F152" s="108"/>
      <c r="G152" s="41"/>
    </row>
    <row r="153" spans="1:7" ht="30" customHeight="1" x14ac:dyDescent="0.2">
      <c r="A153" s="104" t="s">
        <v>123</v>
      </c>
      <c r="B153" s="105" t="s">
        <v>612</v>
      </c>
      <c r="C153" s="106"/>
      <c r="D153" s="106">
        <v>3846825</v>
      </c>
      <c r="E153" s="107"/>
      <c r="F153" s="108"/>
      <c r="G153" s="41"/>
    </row>
    <row r="154" spans="1:7" ht="30" customHeight="1" x14ac:dyDescent="0.2">
      <c r="A154" s="104" t="s">
        <v>520</v>
      </c>
      <c r="B154" s="105" t="s">
        <v>613</v>
      </c>
      <c r="C154" s="106"/>
      <c r="D154" s="106"/>
      <c r="E154" s="107"/>
      <c r="F154" s="108"/>
      <c r="G154" s="41"/>
    </row>
    <row r="155" spans="1:7" ht="30" customHeight="1" x14ac:dyDescent="0.2">
      <c r="A155" s="109" t="s">
        <v>124</v>
      </c>
      <c r="B155" s="54" t="s">
        <v>125</v>
      </c>
      <c r="C155" s="55"/>
      <c r="D155" s="55">
        <f>SUM(D150:D154)</f>
        <v>175037086</v>
      </c>
      <c r="E155" s="64">
        <f>D155/1000</f>
        <v>175037.08600000001</v>
      </c>
      <c r="F155" s="108"/>
      <c r="G155" s="41"/>
    </row>
    <row r="156" spans="1:7" ht="30" customHeight="1" x14ac:dyDescent="0.2">
      <c r="A156" s="110" t="s">
        <v>66</v>
      </c>
      <c r="B156" s="111" t="s">
        <v>126</v>
      </c>
      <c r="C156" s="60"/>
      <c r="D156" s="60">
        <f>D155</f>
        <v>175037086</v>
      </c>
      <c r="E156" s="61"/>
      <c r="F156" s="66">
        <f>D156/1000</f>
        <v>175037.08600000001</v>
      </c>
      <c r="G156" s="41"/>
    </row>
    <row r="157" spans="1:7" ht="30" customHeight="1" thickBot="1" x14ac:dyDescent="0.25">
      <c r="A157" s="1744" t="s">
        <v>80</v>
      </c>
      <c r="B157" s="1745"/>
      <c r="C157" s="1745"/>
      <c r="D157" s="1745"/>
      <c r="E157" s="1745"/>
      <c r="F157" s="67">
        <f>F156</f>
        <v>175037.08600000001</v>
      </c>
      <c r="G157" s="41"/>
    </row>
    <row r="158" spans="1:7" ht="30" customHeight="1" thickBot="1" x14ac:dyDescent="0.25">
      <c r="A158" s="112"/>
      <c r="B158" s="113"/>
      <c r="C158" s="114"/>
      <c r="D158" s="114"/>
      <c r="E158" s="115"/>
      <c r="F158" s="115"/>
      <c r="G158" s="41"/>
    </row>
    <row r="159" spans="1:7" ht="30" customHeight="1" x14ac:dyDescent="0.2">
      <c r="A159" s="1765" t="s">
        <v>127</v>
      </c>
      <c r="B159" s="1766"/>
      <c r="C159" s="1766"/>
      <c r="D159" s="1766"/>
      <c r="E159" s="1766"/>
      <c r="F159" s="1767"/>
      <c r="G159" s="41"/>
    </row>
    <row r="160" spans="1:7" ht="207.75" customHeight="1" x14ac:dyDescent="0.2">
      <c r="A160" s="116" t="s">
        <v>128</v>
      </c>
      <c r="B160" s="117" t="s">
        <v>929</v>
      </c>
      <c r="C160" s="118"/>
      <c r="D160" s="119">
        <v>97354513</v>
      </c>
      <c r="E160" s="119"/>
      <c r="F160" s="120"/>
      <c r="G160" s="41"/>
    </row>
    <row r="161" spans="1:7" ht="24.95" customHeight="1" x14ac:dyDescent="0.2">
      <c r="A161" s="121" t="s">
        <v>129</v>
      </c>
      <c r="B161" s="122" t="s">
        <v>130</v>
      </c>
      <c r="C161" s="123"/>
      <c r="D161" s="124">
        <f>D160</f>
        <v>97354513</v>
      </c>
      <c r="E161" s="124">
        <f>D161/1000</f>
        <v>97354.513000000006</v>
      </c>
      <c r="F161" s="125"/>
      <c r="G161" s="41"/>
    </row>
    <row r="162" spans="1:7" ht="24.95" customHeight="1" x14ac:dyDescent="0.2">
      <c r="A162" s="126" t="s">
        <v>131</v>
      </c>
      <c r="B162" s="127" t="s">
        <v>132</v>
      </c>
      <c r="C162" s="128"/>
      <c r="D162" s="129">
        <f>D160</f>
        <v>97354513</v>
      </c>
      <c r="E162" s="129"/>
      <c r="F162" s="130">
        <f>D162/1000</f>
        <v>97354.513000000006</v>
      </c>
      <c r="G162" s="41"/>
    </row>
    <row r="163" spans="1:7" ht="30" customHeight="1" thickBot="1" x14ac:dyDescent="0.25">
      <c r="A163" s="1744" t="s">
        <v>80</v>
      </c>
      <c r="B163" s="1745"/>
      <c r="C163" s="1745"/>
      <c r="D163" s="1745"/>
      <c r="E163" s="1745"/>
      <c r="F163" s="67">
        <f>F162</f>
        <v>97354.513000000006</v>
      </c>
      <c r="G163" s="41"/>
    </row>
    <row r="164" spans="1:7" ht="76.5" customHeight="1" x14ac:dyDescent="0.2">
      <c r="A164" s="35" t="s">
        <v>517</v>
      </c>
      <c r="B164" s="926" t="s">
        <v>614</v>
      </c>
      <c r="C164" s="99">
        <v>3000000</v>
      </c>
      <c r="D164" s="925"/>
      <c r="E164" s="925"/>
      <c r="F164" s="45"/>
      <c r="G164" s="41"/>
    </row>
    <row r="165" spans="1:7" ht="60.75" customHeight="1" x14ac:dyDescent="0.2">
      <c r="A165" s="42" t="s">
        <v>518</v>
      </c>
      <c r="B165" s="43" t="s">
        <v>519</v>
      </c>
      <c r="C165" s="99">
        <f>C164</f>
        <v>3000000</v>
      </c>
      <c r="D165" s="925"/>
      <c r="E165" s="928">
        <f>C165/1000</f>
        <v>3000</v>
      </c>
      <c r="F165" s="45"/>
      <c r="G165" s="41"/>
    </row>
    <row r="166" spans="1:7" ht="30" customHeight="1" x14ac:dyDescent="0.2">
      <c r="A166" s="133" t="s">
        <v>54</v>
      </c>
      <c r="B166" s="134" t="s">
        <v>516</v>
      </c>
      <c r="C166" s="929">
        <f>C165</f>
        <v>3000000</v>
      </c>
      <c r="D166" s="927"/>
      <c r="E166" s="927"/>
      <c r="F166" s="136">
        <f>C166/1000</f>
        <v>3000</v>
      </c>
      <c r="G166" s="41"/>
    </row>
    <row r="167" spans="1:7" ht="74.25" customHeight="1" x14ac:dyDescent="0.2">
      <c r="A167" s="1768" t="s">
        <v>133</v>
      </c>
      <c r="B167" s="16" t="s">
        <v>1222</v>
      </c>
      <c r="C167" s="17">
        <v>69767454</v>
      </c>
      <c r="D167" s="17"/>
      <c r="E167" s="18"/>
      <c r="F167" s="51"/>
      <c r="G167" s="41"/>
    </row>
    <row r="168" spans="1:7" ht="67.5" customHeight="1" x14ac:dyDescent="0.2">
      <c r="A168" s="1769"/>
      <c r="B168" s="16" t="s">
        <v>1221</v>
      </c>
      <c r="C168" s="17">
        <v>97571668</v>
      </c>
      <c r="D168" s="17"/>
      <c r="E168" s="18"/>
      <c r="F168" s="51"/>
      <c r="G168" s="41"/>
    </row>
    <row r="169" spans="1:7" ht="24.95" customHeight="1" x14ac:dyDescent="0.2">
      <c r="A169" s="15" t="s">
        <v>134</v>
      </c>
      <c r="B169" s="20" t="s">
        <v>615</v>
      </c>
      <c r="C169" s="17">
        <v>6713595</v>
      </c>
      <c r="D169" s="17"/>
      <c r="E169" s="18"/>
      <c r="F169" s="19"/>
      <c r="G169" s="41"/>
    </row>
    <row r="170" spans="1:7" ht="24.95" customHeight="1" x14ac:dyDescent="0.2">
      <c r="A170" s="131" t="s">
        <v>135</v>
      </c>
      <c r="B170" s="23" t="s">
        <v>136</v>
      </c>
      <c r="C170" s="24">
        <f>C167+C168+C169</f>
        <v>174052717</v>
      </c>
      <c r="D170" s="24"/>
      <c r="E170" s="25">
        <f>C170/1000</f>
        <v>174052.717</v>
      </c>
      <c r="F170" s="51"/>
      <c r="G170" s="41"/>
    </row>
    <row r="171" spans="1:7" ht="24.95" customHeight="1" x14ac:dyDescent="0.2">
      <c r="A171" s="132" t="s">
        <v>137</v>
      </c>
      <c r="B171" s="28" t="s">
        <v>138</v>
      </c>
      <c r="C171" s="48">
        <f>C170</f>
        <v>174052717</v>
      </c>
      <c r="D171" s="48"/>
      <c r="E171" s="49"/>
      <c r="F171" s="50">
        <f>C171/1000</f>
        <v>174052.717</v>
      </c>
      <c r="G171" s="41"/>
    </row>
    <row r="172" spans="1:7" ht="30" customHeight="1" thickBot="1" x14ac:dyDescent="0.25">
      <c r="A172" s="1749" t="s">
        <v>96</v>
      </c>
      <c r="B172" s="1750"/>
      <c r="C172" s="1750"/>
      <c r="D172" s="1750"/>
      <c r="E172" s="1750"/>
      <c r="F172" s="52">
        <f>F171+F166</f>
        <v>177052.717</v>
      </c>
      <c r="G172" s="41"/>
    </row>
    <row r="173" spans="1:7" ht="30" customHeight="1" thickBot="1" x14ac:dyDescent="0.25">
      <c r="A173" s="68"/>
      <c r="B173" s="68"/>
      <c r="C173" s="68"/>
      <c r="D173" s="68"/>
      <c r="E173" s="68"/>
      <c r="F173" s="69"/>
      <c r="G173" s="41"/>
    </row>
    <row r="174" spans="1:7" ht="30" customHeight="1" x14ac:dyDescent="0.2">
      <c r="A174" s="1746" t="s">
        <v>139</v>
      </c>
      <c r="B174" s="1747"/>
      <c r="C174" s="1747"/>
      <c r="D174" s="1747"/>
      <c r="E174" s="1747"/>
      <c r="F174" s="1748"/>
      <c r="G174" s="41"/>
    </row>
    <row r="175" spans="1:7" ht="39.950000000000003" customHeight="1" x14ac:dyDescent="0.2">
      <c r="A175" s="15" t="s">
        <v>7</v>
      </c>
      <c r="B175" s="16" t="s">
        <v>616</v>
      </c>
      <c r="C175" s="17">
        <v>1468000</v>
      </c>
      <c r="D175" s="17"/>
      <c r="E175" s="18"/>
      <c r="F175" s="19"/>
      <c r="G175" s="41"/>
    </row>
    <row r="176" spans="1:7" ht="39.950000000000003" customHeight="1" x14ac:dyDescent="0.2">
      <c r="A176" s="4" t="s">
        <v>11</v>
      </c>
      <c r="B176" s="5" t="s">
        <v>140</v>
      </c>
      <c r="C176" s="6">
        <v>0</v>
      </c>
      <c r="D176" s="7"/>
      <c r="E176" s="7"/>
      <c r="F176" s="8"/>
      <c r="G176" s="41"/>
    </row>
    <row r="177" spans="1:7" ht="30" customHeight="1" x14ac:dyDescent="0.2">
      <c r="A177" s="9" t="s">
        <v>12</v>
      </c>
      <c r="B177" s="10" t="s">
        <v>13</v>
      </c>
      <c r="C177" s="11">
        <f>SUM(C175:C176)</f>
        <v>1468000</v>
      </c>
      <c r="D177" s="12"/>
      <c r="E177" s="13">
        <f>C177/1000</f>
        <v>1468</v>
      </c>
      <c r="F177" s="14"/>
      <c r="G177" s="41"/>
    </row>
    <row r="178" spans="1:7" ht="30" customHeight="1" x14ac:dyDescent="0.2">
      <c r="A178" s="47" t="s">
        <v>19</v>
      </c>
      <c r="B178" s="28" t="s">
        <v>20</v>
      </c>
      <c r="C178" s="48">
        <f>C177</f>
        <v>1468000</v>
      </c>
      <c r="D178" s="48"/>
      <c r="E178" s="49"/>
      <c r="F178" s="50">
        <f>C178/1000</f>
        <v>1468</v>
      </c>
      <c r="G178" s="41"/>
    </row>
    <row r="179" spans="1:7" ht="39.950000000000003" customHeight="1" x14ac:dyDescent="0.2">
      <c r="A179" s="22" t="s">
        <v>21</v>
      </c>
      <c r="B179" s="23" t="s">
        <v>617</v>
      </c>
      <c r="C179" s="24">
        <v>144000</v>
      </c>
      <c r="D179" s="24"/>
      <c r="E179" s="25">
        <f>C179/1000</f>
        <v>144</v>
      </c>
      <c r="F179" s="51"/>
      <c r="G179" s="41"/>
    </row>
    <row r="180" spans="1:7" ht="30" customHeight="1" x14ac:dyDescent="0.2">
      <c r="A180" s="70" t="s">
        <v>24</v>
      </c>
      <c r="B180" s="71" t="s">
        <v>84</v>
      </c>
      <c r="C180" s="72">
        <f>C179</f>
        <v>144000</v>
      </c>
      <c r="D180" s="71"/>
      <c r="E180" s="71"/>
      <c r="F180" s="73">
        <f>C180/1000</f>
        <v>144</v>
      </c>
      <c r="G180" s="41"/>
    </row>
    <row r="181" spans="1:7" ht="30" customHeight="1" x14ac:dyDescent="0.2">
      <c r="A181" s="15" t="s">
        <v>28</v>
      </c>
      <c r="B181" s="16" t="s">
        <v>141</v>
      </c>
      <c r="C181" s="17"/>
      <c r="D181" s="24"/>
      <c r="E181" s="25"/>
      <c r="F181" s="51"/>
      <c r="G181" s="41"/>
    </row>
    <row r="182" spans="1:7" ht="24.95" customHeight="1" x14ac:dyDescent="0.2">
      <c r="A182" s="22" t="s">
        <v>29</v>
      </c>
      <c r="B182" s="23" t="s">
        <v>30</v>
      </c>
      <c r="C182" s="24">
        <f>C181</f>
        <v>0</v>
      </c>
      <c r="D182" s="24"/>
      <c r="E182" s="25">
        <f>C182/1000</f>
        <v>0</v>
      </c>
      <c r="F182" s="51"/>
      <c r="G182" s="41"/>
    </row>
    <row r="183" spans="1:7" ht="35.1" customHeight="1" x14ac:dyDescent="0.2">
      <c r="A183" s="15" t="s">
        <v>46</v>
      </c>
      <c r="B183" s="16" t="s">
        <v>113</v>
      </c>
      <c r="C183" s="17"/>
      <c r="D183" s="24"/>
      <c r="E183" s="25"/>
      <c r="F183" s="51"/>
      <c r="G183" s="41"/>
    </row>
    <row r="184" spans="1:7" ht="35.1" customHeight="1" x14ac:dyDescent="0.2">
      <c r="A184" s="42" t="s">
        <v>48</v>
      </c>
      <c r="B184" s="43" t="s">
        <v>114</v>
      </c>
      <c r="C184" s="98">
        <f>C183</f>
        <v>0</v>
      </c>
      <c r="D184" s="98"/>
      <c r="E184" s="99">
        <f>C184/1000</f>
        <v>0</v>
      </c>
      <c r="F184" s="45"/>
      <c r="G184" s="41"/>
    </row>
    <row r="185" spans="1:7" ht="30" customHeight="1" x14ac:dyDescent="0.2">
      <c r="A185" s="133" t="s">
        <v>50</v>
      </c>
      <c r="B185" s="134" t="s">
        <v>51</v>
      </c>
      <c r="C185" s="135">
        <f>C182+C184</f>
        <v>0</v>
      </c>
      <c r="D185" s="134"/>
      <c r="E185" s="134"/>
      <c r="F185" s="136">
        <f>C185/1000</f>
        <v>0</v>
      </c>
      <c r="G185" s="41"/>
    </row>
    <row r="186" spans="1:7" ht="30" customHeight="1" x14ac:dyDescent="0.2">
      <c r="A186" s="22" t="s">
        <v>107</v>
      </c>
      <c r="B186" s="23" t="s">
        <v>142</v>
      </c>
      <c r="C186" s="24"/>
      <c r="D186" s="24"/>
      <c r="E186" s="25">
        <f>C186/1000</f>
        <v>0</v>
      </c>
      <c r="F186" s="19"/>
      <c r="G186" s="41"/>
    </row>
    <row r="187" spans="1:7" ht="30" customHeight="1" x14ac:dyDescent="0.2">
      <c r="A187" s="22" t="s">
        <v>59</v>
      </c>
      <c r="B187" s="23" t="s">
        <v>143</v>
      </c>
      <c r="C187" s="24"/>
      <c r="D187" s="24"/>
      <c r="E187" s="25">
        <f>C187/1000</f>
        <v>0</v>
      </c>
      <c r="F187" s="19"/>
      <c r="G187" s="41"/>
    </row>
    <row r="188" spans="1:7" ht="30" customHeight="1" x14ac:dyDescent="0.2">
      <c r="A188" s="22" t="s">
        <v>60</v>
      </c>
      <c r="B188" s="23" t="s">
        <v>61</v>
      </c>
      <c r="C188" s="24"/>
      <c r="D188" s="24"/>
      <c r="E188" s="25">
        <f>C188/1000</f>
        <v>0</v>
      </c>
      <c r="F188" s="19"/>
      <c r="G188" s="41"/>
    </row>
    <row r="189" spans="1:7" ht="30" customHeight="1" x14ac:dyDescent="0.2">
      <c r="A189" s="47" t="s">
        <v>62</v>
      </c>
      <c r="B189" s="28" t="s">
        <v>63</v>
      </c>
      <c r="C189" s="48">
        <f>C186+C188+C187</f>
        <v>0</v>
      </c>
      <c r="D189" s="48"/>
      <c r="E189" s="49"/>
      <c r="F189" s="50">
        <f>C189/1000</f>
        <v>0</v>
      </c>
      <c r="G189" s="41"/>
    </row>
    <row r="190" spans="1:7" ht="30" customHeight="1" thickBot="1" x14ac:dyDescent="0.25">
      <c r="A190" s="1749" t="s">
        <v>96</v>
      </c>
      <c r="B190" s="1750"/>
      <c r="C190" s="1750"/>
      <c r="D190" s="1750"/>
      <c r="E190" s="1750"/>
      <c r="F190" s="52">
        <f>SUM(F175:F189)</f>
        <v>1612</v>
      </c>
      <c r="G190" s="41"/>
    </row>
    <row r="191" spans="1:7" ht="54.6" customHeight="1" x14ac:dyDescent="0.2">
      <c r="A191" s="137" t="s">
        <v>144</v>
      </c>
      <c r="B191" s="105" t="s">
        <v>618</v>
      </c>
      <c r="C191" s="138"/>
      <c r="D191" s="138">
        <v>1450000</v>
      </c>
      <c r="E191" s="105"/>
      <c r="F191" s="57"/>
      <c r="G191" s="41"/>
    </row>
    <row r="192" spans="1:7" ht="30" customHeight="1" x14ac:dyDescent="0.2">
      <c r="A192" s="53" t="s">
        <v>65</v>
      </c>
      <c r="B192" s="54" t="s">
        <v>145</v>
      </c>
      <c r="C192" s="138"/>
      <c r="D192" s="56">
        <f>D191</f>
        <v>1450000</v>
      </c>
      <c r="E192" s="56">
        <f>D192/1000</f>
        <v>1450</v>
      </c>
      <c r="F192" s="57"/>
      <c r="G192" s="41"/>
    </row>
    <row r="193" spans="1:7" ht="30" customHeight="1" x14ac:dyDescent="0.2">
      <c r="A193" s="110" t="s">
        <v>66</v>
      </c>
      <c r="B193" s="111" t="s">
        <v>126</v>
      </c>
      <c r="C193" s="60"/>
      <c r="D193" s="60">
        <f>D192</f>
        <v>1450000</v>
      </c>
      <c r="E193" s="61"/>
      <c r="F193" s="66">
        <f>D193/1000</f>
        <v>1450</v>
      </c>
      <c r="G193" s="41"/>
    </row>
    <row r="194" spans="1:7" ht="30" customHeight="1" x14ac:dyDescent="0.2">
      <c r="A194" s="139" t="s">
        <v>146</v>
      </c>
      <c r="B194" s="74" t="s">
        <v>147</v>
      </c>
      <c r="C194" s="140"/>
      <c r="D194" s="140">
        <v>0</v>
      </c>
      <c r="E194" s="141">
        <f>D194/1000</f>
        <v>0</v>
      </c>
      <c r="F194" s="142"/>
    </row>
    <row r="195" spans="1:7" ht="30" customHeight="1" x14ac:dyDescent="0.2">
      <c r="A195" s="143" t="s">
        <v>148</v>
      </c>
      <c r="B195" s="75" t="s">
        <v>149</v>
      </c>
      <c r="C195" s="144"/>
      <c r="D195" s="144">
        <f>D194</f>
        <v>0</v>
      </c>
      <c r="E195" s="145"/>
      <c r="F195" s="130">
        <f>D195/1000</f>
        <v>0</v>
      </c>
    </row>
    <row r="196" spans="1:7" ht="30" customHeight="1" thickBot="1" x14ac:dyDescent="0.25">
      <c r="A196" s="1744" t="s">
        <v>80</v>
      </c>
      <c r="B196" s="1745"/>
      <c r="C196" s="1745"/>
      <c r="D196" s="1745"/>
      <c r="E196" s="1745"/>
      <c r="F196" s="67">
        <f>F193+F195</f>
        <v>1450</v>
      </c>
      <c r="G196" s="41"/>
    </row>
    <row r="197" spans="1:7" ht="24.95" customHeight="1" thickBot="1" x14ac:dyDescent="0.25">
      <c r="A197" s="68"/>
      <c r="B197" s="68"/>
      <c r="C197" s="68"/>
      <c r="D197" s="68"/>
      <c r="E197" s="68"/>
      <c r="F197" s="69"/>
      <c r="G197" s="41"/>
    </row>
    <row r="198" spans="1:7" ht="30" customHeight="1" x14ac:dyDescent="0.2">
      <c r="A198" s="1746" t="s">
        <v>150</v>
      </c>
      <c r="B198" s="1747"/>
      <c r="C198" s="1747"/>
      <c r="D198" s="1747"/>
      <c r="E198" s="1747"/>
      <c r="F198" s="1748"/>
      <c r="G198" s="41"/>
    </row>
    <row r="199" spans="1:7" ht="54" customHeight="1" x14ac:dyDescent="0.2">
      <c r="A199" s="15" t="s">
        <v>38</v>
      </c>
      <c r="B199" s="16" t="s">
        <v>514</v>
      </c>
      <c r="C199" s="17">
        <v>600000</v>
      </c>
      <c r="D199" s="17"/>
      <c r="E199" s="18"/>
      <c r="F199" s="19"/>
      <c r="G199" s="41"/>
    </row>
    <row r="200" spans="1:7" ht="30" customHeight="1" x14ac:dyDescent="0.2">
      <c r="A200" s="22" t="s">
        <v>41</v>
      </c>
      <c r="B200" s="23" t="s">
        <v>42</v>
      </c>
      <c r="C200" s="24">
        <f>C199</f>
        <v>600000</v>
      </c>
      <c r="D200" s="24"/>
      <c r="E200" s="25">
        <f>C200/1000</f>
        <v>600</v>
      </c>
      <c r="F200" s="19"/>
      <c r="G200" s="41"/>
    </row>
    <row r="201" spans="1:7" ht="30" customHeight="1" x14ac:dyDescent="0.2">
      <c r="A201" s="15" t="s">
        <v>46</v>
      </c>
      <c r="B201" s="16" t="s">
        <v>515</v>
      </c>
      <c r="C201" s="17">
        <v>162000</v>
      </c>
      <c r="D201" s="17"/>
      <c r="E201" s="18"/>
      <c r="F201" s="51"/>
      <c r="G201" s="41"/>
    </row>
    <row r="202" spans="1:7" ht="30" customHeight="1" x14ac:dyDescent="0.2">
      <c r="A202" s="42" t="s">
        <v>48</v>
      </c>
      <c r="B202" s="43" t="s">
        <v>151</v>
      </c>
      <c r="C202" s="98">
        <f>C201</f>
        <v>162000</v>
      </c>
      <c r="D202" s="98"/>
      <c r="E202" s="99">
        <f>C202/1000</f>
        <v>162</v>
      </c>
      <c r="F202" s="45"/>
      <c r="G202" s="41"/>
    </row>
    <row r="203" spans="1:7" ht="30" customHeight="1" thickBot="1" x14ac:dyDescent="0.25">
      <c r="A203" s="146" t="s">
        <v>50</v>
      </c>
      <c r="B203" s="147" t="s">
        <v>51</v>
      </c>
      <c r="C203" s="148">
        <f>C200+C202</f>
        <v>762000</v>
      </c>
      <c r="D203" s="147"/>
      <c r="E203" s="147"/>
      <c r="F203" s="149">
        <f>C203/1000</f>
        <v>762</v>
      </c>
      <c r="G203" s="41"/>
    </row>
    <row r="204" spans="1:7" ht="30" customHeight="1" thickBot="1" x14ac:dyDescent="0.25">
      <c r="A204" s="1749" t="s">
        <v>96</v>
      </c>
      <c r="B204" s="1750"/>
      <c r="C204" s="1750"/>
      <c r="D204" s="1750"/>
      <c r="E204" s="1750"/>
      <c r="F204" s="52">
        <f>SUM(F199:F203)</f>
        <v>762</v>
      </c>
      <c r="G204" s="41"/>
    </row>
    <row r="205" spans="1:7" ht="16.5" thickBot="1" x14ac:dyDescent="0.25">
      <c r="A205" s="95"/>
      <c r="B205" s="95"/>
      <c r="C205" s="95"/>
      <c r="D205" s="95"/>
      <c r="E205" s="95"/>
      <c r="F205" s="96"/>
      <c r="G205" s="41"/>
    </row>
    <row r="206" spans="1:7" ht="30" customHeight="1" x14ac:dyDescent="0.2">
      <c r="A206" s="1746" t="s">
        <v>152</v>
      </c>
      <c r="B206" s="1747"/>
      <c r="C206" s="1747"/>
      <c r="D206" s="1747"/>
      <c r="E206" s="1747"/>
      <c r="F206" s="1748"/>
      <c r="G206" s="41"/>
    </row>
    <row r="207" spans="1:7" ht="35.1" customHeight="1" x14ac:dyDescent="0.2">
      <c r="A207" s="15" t="s">
        <v>28</v>
      </c>
      <c r="B207" s="16" t="s">
        <v>513</v>
      </c>
      <c r="C207" s="17">
        <v>1000000</v>
      </c>
      <c r="D207" s="17"/>
      <c r="E207" s="18"/>
      <c r="F207" s="19"/>
      <c r="G207" s="41"/>
    </row>
    <row r="208" spans="1:7" ht="35.1" customHeight="1" x14ac:dyDescent="0.2">
      <c r="A208" s="22" t="s">
        <v>29</v>
      </c>
      <c r="B208" s="23" t="s">
        <v>30</v>
      </c>
      <c r="C208" s="24">
        <f>SUM(C205:C207)</f>
        <v>1000000</v>
      </c>
      <c r="D208" s="24"/>
      <c r="E208" s="25">
        <f>C208/1000</f>
        <v>1000</v>
      </c>
      <c r="F208" s="19"/>
      <c r="G208" s="41"/>
    </row>
    <row r="209" spans="1:7" ht="30" customHeight="1" x14ac:dyDescent="0.2">
      <c r="A209" s="15" t="s">
        <v>40</v>
      </c>
      <c r="B209" s="16" t="s">
        <v>512</v>
      </c>
      <c r="C209" s="17">
        <v>200000</v>
      </c>
      <c r="D209" s="17"/>
      <c r="E209" s="18"/>
      <c r="F209" s="19"/>
      <c r="G209" s="41"/>
    </row>
    <row r="210" spans="1:7" ht="35.1" customHeight="1" x14ac:dyDescent="0.2">
      <c r="A210" s="22" t="s">
        <v>41</v>
      </c>
      <c r="B210" s="23" t="s">
        <v>42</v>
      </c>
      <c r="C210" s="24">
        <f>SUM(C209:C209)</f>
        <v>200000</v>
      </c>
      <c r="D210" s="24"/>
      <c r="E210" s="25">
        <f>C210/1000</f>
        <v>200</v>
      </c>
      <c r="F210" s="19"/>
      <c r="G210" s="41"/>
    </row>
    <row r="211" spans="1:7" ht="24.95" customHeight="1" x14ac:dyDescent="0.2">
      <c r="A211" s="15" t="s">
        <v>46</v>
      </c>
      <c r="B211" s="16" t="s">
        <v>511</v>
      </c>
      <c r="C211" s="17">
        <v>324000</v>
      </c>
      <c r="D211" s="17"/>
      <c r="E211" s="18"/>
      <c r="F211" s="19"/>
      <c r="G211" s="41"/>
    </row>
    <row r="212" spans="1:7" ht="30" customHeight="1" x14ac:dyDescent="0.2">
      <c r="A212" s="22" t="s">
        <v>48</v>
      </c>
      <c r="B212" s="23" t="s">
        <v>114</v>
      </c>
      <c r="C212" s="24">
        <f>C211</f>
        <v>324000</v>
      </c>
      <c r="D212" s="24"/>
      <c r="E212" s="25">
        <f>C212/1000</f>
        <v>324</v>
      </c>
      <c r="F212" s="19"/>
      <c r="G212" s="41"/>
    </row>
    <row r="213" spans="1:7" ht="30" customHeight="1" x14ac:dyDescent="0.2">
      <c r="A213" s="47" t="s">
        <v>50</v>
      </c>
      <c r="B213" s="28" t="s">
        <v>51</v>
      </c>
      <c r="C213" s="48">
        <f>C210+C212+C208</f>
        <v>1524000</v>
      </c>
      <c r="D213" s="48"/>
      <c r="E213" s="49"/>
      <c r="F213" s="50">
        <f>C213/1000</f>
        <v>1524</v>
      </c>
      <c r="G213" s="41"/>
    </row>
    <row r="214" spans="1:7" ht="30" customHeight="1" x14ac:dyDescent="0.2">
      <c r="A214" s="22" t="s">
        <v>56</v>
      </c>
      <c r="B214" s="23" t="s">
        <v>510</v>
      </c>
      <c r="C214" s="24">
        <v>0</v>
      </c>
      <c r="D214" s="24"/>
      <c r="E214" s="25">
        <f>C214/1000</f>
        <v>0</v>
      </c>
      <c r="F214" s="19"/>
      <c r="G214" s="41"/>
    </row>
    <row r="215" spans="1:7" ht="30" customHeight="1" x14ac:dyDescent="0.2">
      <c r="A215" s="22" t="s">
        <v>107</v>
      </c>
      <c r="B215" s="23" t="s">
        <v>1216</v>
      </c>
      <c r="C215" s="24"/>
      <c r="D215" s="24"/>
      <c r="E215" s="25">
        <f>C215/1000</f>
        <v>0</v>
      </c>
      <c r="F215" s="19"/>
      <c r="G215" s="41"/>
    </row>
    <row r="216" spans="1:7" ht="24.95" customHeight="1" x14ac:dyDescent="0.2">
      <c r="A216" s="22" t="s">
        <v>60</v>
      </c>
      <c r="B216" s="23" t="s">
        <v>509</v>
      </c>
      <c r="C216" s="24"/>
      <c r="D216" s="24"/>
      <c r="E216" s="25">
        <f>C216/1000</f>
        <v>0</v>
      </c>
      <c r="F216" s="19"/>
      <c r="G216" s="41"/>
    </row>
    <row r="217" spans="1:7" ht="35.1" customHeight="1" x14ac:dyDescent="0.2">
      <c r="A217" s="47" t="s">
        <v>62</v>
      </c>
      <c r="B217" s="28" t="s">
        <v>153</v>
      </c>
      <c r="C217" s="48">
        <f>SUM(C214:C216)</f>
        <v>0</v>
      </c>
      <c r="D217" s="48"/>
      <c r="E217" s="49"/>
      <c r="F217" s="50">
        <f>C217/1000</f>
        <v>0</v>
      </c>
      <c r="G217" s="41"/>
    </row>
    <row r="218" spans="1:7" ht="72.75" customHeight="1" x14ac:dyDescent="0.2">
      <c r="A218" s="22" t="s">
        <v>154</v>
      </c>
      <c r="B218" s="23" t="s">
        <v>1217</v>
      </c>
      <c r="C218" s="24">
        <v>17149960</v>
      </c>
      <c r="D218" s="24"/>
      <c r="E218" s="25">
        <f>C218/1000</f>
        <v>17149.96</v>
      </c>
      <c r="F218" s="19"/>
      <c r="G218" s="41"/>
    </row>
    <row r="219" spans="1:7" ht="24.95" customHeight="1" x14ac:dyDescent="0.2">
      <c r="A219" s="22" t="s">
        <v>155</v>
      </c>
      <c r="B219" s="23" t="s">
        <v>508</v>
      </c>
      <c r="C219" s="24">
        <v>4630490</v>
      </c>
      <c r="D219" s="24"/>
      <c r="E219" s="25">
        <f>C219/1000</f>
        <v>4630.49</v>
      </c>
      <c r="F219" s="19"/>
      <c r="G219" s="41"/>
    </row>
    <row r="220" spans="1:7" ht="35.1" customHeight="1" x14ac:dyDescent="0.2">
      <c r="A220" s="47" t="s">
        <v>156</v>
      </c>
      <c r="B220" s="28" t="s">
        <v>153</v>
      </c>
      <c r="C220" s="48">
        <f>C218+C219</f>
        <v>21780450</v>
      </c>
      <c r="D220" s="48"/>
      <c r="E220" s="49"/>
      <c r="F220" s="50">
        <f>C220/1000</f>
        <v>21780.45</v>
      </c>
      <c r="G220" s="41"/>
    </row>
    <row r="221" spans="1:7" ht="30" customHeight="1" thickBot="1" x14ac:dyDescent="0.25">
      <c r="A221" s="1749" t="s">
        <v>96</v>
      </c>
      <c r="B221" s="1750"/>
      <c r="C221" s="1750"/>
      <c r="D221" s="1750"/>
      <c r="E221" s="1750"/>
      <c r="F221" s="52">
        <f>SUM(F207:F220)</f>
        <v>23304.45</v>
      </c>
      <c r="G221" s="41"/>
    </row>
    <row r="222" spans="1:7" ht="24.95" customHeight="1" thickBot="1" x14ac:dyDescent="0.25">
      <c r="A222" s="68"/>
      <c r="B222" s="68"/>
      <c r="C222" s="68"/>
      <c r="D222" s="68"/>
      <c r="E222" s="68"/>
      <c r="F222" s="69"/>
      <c r="G222" s="41"/>
    </row>
    <row r="223" spans="1:7" ht="24.95" customHeight="1" x14ac:dyDescent="0.2">
      <c r="A223" s="1746" t="s">
        <v>157</v>
      </c>
      <c r="B223" s="1747"/>
      <c r="C223" s="1747"/>
      <c r="D223" s="1747"/>
      <c r="E223" s="1747"/>
      <c r="F223" s="1748"/>
      <c r="G223" s="41"/>
    </row>
    <row r="224" spans="1:7" ht="65.45" customHeight="1" x14ac:dyDescent="0.2">
      <c r="A224" s="22" t="s">
        <v>59</v>
      </c>
      <c r="B224" s="23" t="s">
        <v>1218</v>
      </c>
      <c r="C224" s="24">
        <v>337402</v>
      </c>
      <c r="D224" s="24"/>
      <c r="E224" s="25"/>
      <c r="F224" s="51"/>
      <c r="G224" s="41"/>
    </row>
    <row r="225" spans="1:7" ht="30" customHeight="1" x14ac:dyDescent="0.2">
      <c r="A225" s="22" t="s">
        <v>60</v>
      </c>
      <c r="B225" s="23" t="s">
        <v>61</v>
      </c>
      <c r="C225" s="24">
        <v>91098</v>
      </c>
      <c r="D225" s="24"/>
      <c r="E225" s="25"/>
      <c r="F225" s="51"/>
      <c r="G225" s="41"/>
    </row>
    <row r="226" spans="1:7" ht="30" customHeight="1" x14ac:dyDescent="0.2">
      <c r="A226" s="47" t="s">
        <v>62</v>
      </c>
      <c r="B226" s="28" t="s">
        <v>95</v>
      </c>
      <c r="C226" s="48">
        <f>C224+C225</f>
        <v>428500</v>
      </c>
      <c r="D226" s="48"/>
      <c r="E226" s="49"/>
      <c r="F226" s="50">
        <f>C226/1000</f>
        <v>428.5</v>
      </c>
      <c r="G226" s="41"/>
    </row>
    <row r="227" spans="1:7" ht="30" customHeight="1" thickBot="1" x14ac:dyDescent="0.25">
      <c r="A227" s="1749" t="s">
        <v>96</v>
      </c>
      <c r="B227" s="1750"/>
      <c r="C227" s="1750"/>
      <c r="D227" s="1750"/>
      <c r="E227" s="1750"/>
      <c r="F227" s="52">
        <f>SUM(F224:F226)</f>
        <v>428.5</v>
      </c>
    </row>
    <row r="228" spans="1:7" ht="16.5" thickBot="1" x14ac:dyDescent="0.25">
      <c r="A228" s="68"/>
      <c r="B228" s="68"/>
      <c r="C228" s="68"/>
      <c r="D228" s="68"/>
      <c r="E228" s="68"/>
      <c r="F228" s="69"/>
    </row>
    <row r="229" spans="1:7" ht="24.95" customHeight="1" x14ac:dyDescent="0.2">
      <c r="A229" s="1746" t="s">
        <v>158</v>
      </c>
      <c r="B229" s="1747"/>
      <c r="C229" s="1747"/>
      <c r="D229" s="1747"/>
      <c r="E229" s="1747"/>
      <c r="F229" s="1748"/>
      <c r="G229" s="41"/>
    </row>
    <row r="230" spans="1:7" ht="39.6" customHeight="1" x14ac:dyDescent="0.2">
      <c r="A230" s="77" t="s">
        <v>88</v>
      </c>
      <c r="B230" s="78" t="s">
        <v>159</v>
      </c>
      <c r="C230" s="79">
        <v>118000</v>
      </c>
      <c r="D230" s="150"/>
      <c r="E230" s="151"/>
      <c r="F230" s="94"/>
      <c r="G230" s="41"/>
    </row>
    <row r="231" spans="1:7" s="32" customFormat="1" ht="30" customHeight="1" x14ac:dyDescent="0.2">
      <c r="A231" s="81" t="s">
        <v>41</v>
      </c>
      <c r="B231" s="82" t="s">
        <v>42</v>
      </c>
      <c r="C231" s="83">
        <f>SUM(C228:C230)</f>
        <v>118000</v>
      </c>
      <c r="D231" s="82"/>
      <c r="E231" s="83">
        <f>C231/1000</f>
        <v>118</v>
      </c>
      <c r="F231" s="97"/>
    </row>
    <row r="232" spans="1:7" ht="31.5" x14ac:dyDescent="0.2">
      <c r="A232" s="77" t="s">
        <v>46</v>
      </c>
      <c r="B232" s="78" t="s">
        <v>160</v>
      </c>
      <c r="C232" s="79">
        <v>32000</v>
      </c>
      <c r="D232" s="78"/>
      <c r="E232" s="79"/>
      <c r="F232" s="80"/>
    </row>
    <row r="233" spans="1:7" ht="30" customHeight="1" x14ac:dyDescent="0.2">
      <c r="A233" s="81" t="s">
        <v>48</v>
      </c>
      <c r="B233" s="82" t="s">
        <v>49</v>
      </c>
      <c r="C233" s="83">
        <f>C232</f>
        <v>32000</v>
      </c>
      <c r="D233" s="82"/>
      <c r="E233" s="83">
        <f>C233/1000</f>
        <v>32</v>
      </c>
      <c r="F233" s="80"/>
    </row>
    <row r="234" spans="1:7" ht="30" customHeight="1" x14ac:dyDescent="0.2">
      <c r="A234" s="85" t="s">
        <v>50</v>
      </c>
      <c r="B234" s="86" t="s">
        <v>51</v>
      </c>
      <c r="C234" s="87">
        <f>C231+C233</f>
        <v>150000</v>
      </c>
      <c r="D234" s="87"/>
      <c r="E234" s="88"/>
      <c r="F234" s="89">
        <f>C234/1000</f>
        <v>150</v>
      </c>
      <c r="G234" s="41"/>
    </row>
    <row r="235" spans="1:7" ht="30" customHeight="1" thickBot="1" x14ac:dyDescent="0.25">
      <c r="A235" s="1749" t="s">
        <v>96</v>
      </c>
      <c r="B235" s="1750"/>
      <c r="C235" s="1750"/>
      <c r="D235" s="1750"/>
      <c r="E235" s="1750"/>
      <c r="F235" s="52">
        <f>F234</f>
        <v>150</v>
      </c>
      <c r="G235" s="41"/>
    </row>
    <row r="236" spans="1:7" ht="16.5" thickBot="1" x14ac:dyDescent="0.25">
      <c r="A236" s="68"/>
      <c r="B236" s="68"/>
      <c r="C236" s="68"/>
      <c r="D236" s="68"/>
      <c r="E236" s="68"/>
      <c r="F236" s="69"/>
      <c r="G236" s="41"/>
    </row>
    <row r="237" spans="1:7" ht="24.95" customHeight="1" x14ac:dyDescent="0.2">
      <c r="A237" s="1746" t="s">
        <v>161</v>
      </c>
      <c r="B237" s="1747"/>
      <c r="C237" s="1747"/>
      <c r="D237" s="1747"/>
      <c r="E237" s="1747"/>
      <c r="F237" s="1748"/>
      <c r="G237" s="41"/>
    </row>
    <row r="238" spans="1:7" ht="15.75" x14ac:dyDescent="0.2">
      <c r="A238" s="35" t="s">
        <v>88</v>
      </c>
      <c r="B238" s="36" t="s">
        <v>619</v>
      </c>
      <c r="C238" s="40">
        <v>5652000</v>
      </c>
      <c r="D238" s="17"/>
      <c r="E238" s="18"/>
      <c r="F238" s="19"/>
      <c r="G238" s="41"/>
    </row>
    <row r="239" spans="1:7" ht="15.75" x14ac:dyDescent="0.2">
      <c r="A239" s="35" t="s">
        <v>90</v>
      </c>
      <c r="B239" s="36" t="s">
        <v>91</v>
      </c>
      <c r="C239" s="40">
        <v>1305000</v>
      </c>
      <c r="D239" s="24"/>
      <c r="E239" s="25"/>
      <c r="F239" s="19"/>
      <c r="G239" s="41"/>
    </row>
    <row r="240" spans="1:7" ht="30" customHeight="1" x14ac:dyDescent="0.2">
      <c r="A240" s="42" t="s">
        <v>41</v>
      </c>
      <c r="B240" s="43" t="s">
        <v>42</v>
      </c>
      <c r="C240" s="44">
        <f>SUM(C236:C239)</f>
        <v>6957000</v>
      </c>
      <c r="D240" s="43"/>
      <c r="E240" s="44">
        <f>C240/1000</f>
        <v>6957</v>
      </c>
      <c r="F240" s="51"/>
      <c r="G240" s="41"/>
    </row>
    <row r="241" spans="1:7" ht="15.75" x14ac:dyDescent="0.2">
      <c r="A241" s="35" t="s">
        <v>46</v>
      </c>
      <c r="B241" s="36" t="s">
        <v>620</v>
      </c>
      <c r="C241" s="40">
        <v>1879000</v>
      </c>
      <c r="D241" s="36"/>
      <c r="E241" s="40"/>
      <c r="F241" s="39"/>
      <c r="G241" s="41"/>
    </row>
    <row r="242" spans="1:7" ht="30" customHeight="1" x14ac:dyDescent="0.2">
      <c r="A242" s="42" t="s">
        <v>48</v>
      </c>
      <c r="B242" s="43" t="s">
        <v>49</v>
      </c>
      <c r="C242" s="44">
        <f>C241</f>
        <v>1879000</v>
      </c>
      <c r="D242" s="43"/>
      <c r="E242" s="44">
        <f>C242/1000</f>
        <v>1879</v>
      </c>
      <c r="F242" s="39"/>
      <c r="G242" s="41"/>
    </row>
    <row r="243" spans="1:7" ht="30" customHeight="1" x14ac:dyDescent="0.2">
      <c r="A243" s="47" t="s">
        <v>50</v>
      </c>
      <c r="B243" s="28" t="s">
        <v>51</v>
      </c>
      <c r="C243" s="48">
        <f>C240+C242</f>
        <v>8836000</v>
      </c>
      <c r="D243" s="48"/>
      <c r="E243" s="49"/>
      <c r="F243" s="50">
        <f>C243/1000</f>
        <v>8836</v>
      </c>
      <c r="G243" s="41"/>
    </row>
    <row r="244" spans="1:7" ht="30" customHeight="1" thickBot="1" x14ac:dyDescent="0.25">
      <c r="A244" s="1749" t="s">
        <v>96</v>
      </c>
      <c r="B244" s="1750"/>
      <c r="C244" s="1750"/>
      <c r="D244" s="1750"/>
      <c r="E244" s="1750"/>
      <c r="F244" s="52">
        <f>SUM(F238:F243)</f>
        <v>8836</v>
      </c>
      <c r="G244" s="41"/>
    </row>
    <row r="245" spans="1:7" ht="35.1" customHeight="1" thickBot="1" x14ac:dyDescent="0.25">
      <c r="A245" s="68"/>
      <c r="B245" s="68"/>
      <c r="C245" s="68"/>
      <c r="D245" s="68"/>
      <c r="E245" s="68"/>
      <c r="F245" s="69"/>
      <c r="G245" s="41"/>
    </row>
    <row r="246" spans="1:7" ht="35.1" customHeight="1" x14ac:dyDescent="0.2">
      <c r="A246" s="1746" t="s">
        <v>162</v>
      </c>
      <c r="B246" s="1747"/>
      <c r="C246" s="1747"/>
      <c r="D246" s="1747"/>
      <c r="E246" s="1747"/>
      <c r="F246" s="1748"/>
      <c r="G246" s="41"/>
    </row>
    <row r="247" spans="1:7" ht="39" customHeight="1" x14ac:dyDescent="0.2">
      <c r="A247" s="15" t="s">
        <v>7</v>
      </c>
      <c r="B247" s="16" t="s">
        <v>621</v>
      </c>
      <c r="C247" s="17">
        <v>0</v>
      </c>
      <c r="D247" s="17"/>
      <c r="E247" s="18"/>
      <c r="F247" s="19"/>
      <c r="G247" s="41"/>
    </row>
    <row r="248" spans="1:7" ht="29.25" customHeight="1" x14ac:dyDescent="0.2">
      <c r="A248" s="15" t="s">
        <v>9</v>
      </c>
      <c r="B248" s="20" t="s">
        <v>622</v>
      </c>
      <c r="C248" s="17">
        <v>0</v>
      </c>
      <c r="D248" s="17"/>
      <c r="E248" s="18"/>
      <c r="F248" s="19"/>
      <c r="G248" s="41"/>
    </row>
    <row r="249" spans="1:7" ht="24.95" customHeight="1" x14ac:dyDescent="0.2">
      <c r="A249" s="22" t="s">
        <v>12</v>
      </c>
      <c r="B249" s="23" t="s">
        <v>83</v>
      </c>
      <c r="C249" s="24">
        <f>SUM(C247:C248)</f>
        <v>0</v>
      </c>
      <c r="D249" s="24"/>
      <c r="E249" s="25">
        <f>C249/1000</f>
        <v>0</v>
      </c>
      <c r="F249" s="34"/>
      <c r="G249" s="41"/>
    </row>
    <row r="250" spans="1:7" ht="24.95" customHeight="1" x14ac:dyDescent="0.2">
      <c r="A250" s="47" t="s">
        <v>19</v>
      </c>
      <c r="B250" s="28" t="s">
        <v>20</v>
      </c>
      <c r="C250" s="48">
        <f>C249</f>
        <v>0</v>
      </c>
      <c r="D250" s="48"/>
      <c r="E250" s="49"/>
      <c r="F250" s="50">
        <f>C250/1000</f>
        <v>0</v>
      </c>
      <c r="G250" s="41"/>
    </row>
    <row r="251" spans="1:7" ht="39.950000000000003" customHeight="1" x14ac:dyDescent="0.2">
      <c r="A251" s="15" t="s">
        <v>21</v>
      </c>
      <c r="B251" s="16" t="s">
        <v>623</v>
      </c>
      <c r="C251" s="17">
        <v>0</v>
      </c>
      <c r="D251" s="17"/>
      <c r="E251" s="18"/>
      <c r="F251" s="51"/>
      <c r="G251" s="41"/>
    </row>
    <row r="252" spans="1:7" ht="15.75" x14ac:dyDescent="0.2">
      <c r="A252" s="15" t="s">
        <v>23</v>
      </c>
      <c r="B252" s="20" t="s">
        <v>624</v>
      </c>
      <c r="C252" s="17">
        <v>0</v>
      </c>
      <c r="D252" s="17"/>
      <c r="E252" s="18"/>
      <c r="F252" s="19"/>
      <c r="G252" s="41"/>
    </row>
    <row r="253" spans="1:7" ht="30" customHeight="1" x14ac:dyDescent="0.2">
      <c r="A253" s="22" t="s">
        <v>24</v>
      </c>
      <c r="B253" s="23" t="s">
        <v>25</v>
      </c>
      <c r="C253" s="24">
        <f>SUM(C251:C252)</f>
        <v>0</v>
      </c>
      <c r="D253" s="24"/>
      <c r="E253" s="25">
        <f>C253/1000</f>
        <v>0</v>
      </c>
      <c r="F253" s="19"/>
      <c r="G253" s="41"/>
    </row>
    <row r="254" spans="1:7" ht="30" customHeight="1" x14ac:dyDescent="0.2">
      <c r="A254" s="70" t="s">
        <v>24</v>
      </c>
      <c r="B254" s="71" t="s">
        <v>84</v>
      </c>
      <c r="C254" s="72">
        <f>C253</f>
        <v>0</v>
      </c>
      <c r="D254" s="71"/>
      <c r="E254" s="71"/>
      <c r="F254" s="73">
        <f>C254/1000</f>
        <v>0</v>
      </c>
      <c r="G254" s="41"/>
    </row>
    <row r="255" spans="1:7" ht="90.6" customHeight="1" x14ac:dyDescent="0.2">
      <c r="A255" s="35" t="s">
        <v>28</v>
      </c>
      <c r="B255" s="36" t="s">
        <v>163</v>
      </c>
      <c r="C255" s="40">
        <v>905000</v>
      </c>
      <c r="D255" s="36"/>
      <c r="E255" s="36"/>
      <c r="F255" s="39"/>
      <c r="G255" s="41"/>
    </row>
    <row r="256" spans="1:7" ht="35.1" customHeight="1" x14ac:dyDescent="0.2">
      <c r="A256" s="42" t="s">
        <v>29</v>
      </c>
      <c r="B256" s="43" t="s">
        <v>30</v>
      </c>
      <c r="C256" s="44">
        <f>C255</f>
        <v>905000</v>
      </c>
      <c r="D256" s="43"/>
      <c r="E256" s="43">
        <f>C256/1000</f>
        <v>905</v>
      </c>
      <c r="F256" s="45"/>
      <c r="G256" s="41"/>
    </row>
    <row r="257" spans="1:7" ht="35.1" customHeight="1" x14ac:dyDescent="0.2">
      <c r="A257" s="35" t="s">
        <v>32</v>
      </c>
      <c r="B257" s="36" t="s">
        <v>164</v>
      </c>
      <c r="C257" s="40">
        <v>20000</v>
      </c>
      <c r="D257" s="36"/>
      <c r="E257" s="36"/>
      <c r="F257" s="39"/>
      <c r="G257" s="41"/>
    </row>
    <row r="258" spans="1:7" ht="24.95" customHeight="1" x14ac:dyDescent="0.2">
      <c r="A258" s="42" t="s">
        <v>34</v>
      </c>
      <c r="B258" s="43" t="s">
        <v>35</v>
      </c>
      <c r="C258" s="44">
        <f>C257</f>
        <v>20000</v>
      </c>
      <c r="D258" s="43"/>
      <c r="E258" s="43">
        <f>C258/1000</f>
        <v>20</v>
      </c>
      <c r="F258" s="39"/>
      <c r="G258" s="41"/>
    </row>
    <row r="259" spans="1:7" ht="63.6" customHeight="1" x14ac:dyDescent="0.2">
      <c r="A259" s="35" t="s">
        <v>88</v>
      </c>
      <c r="B259" s="36" t="s">
        <v>165</v>
      </c>
      <c r="C259" s="40">
        <v>21000</v>
      </c>
      <c r="D259" s="36"/>
      <c r="E259" s="36"/>
      <c r="F259" s="39"/>
      <c r="G259" s="41"/>
    </row>
    <row r="260" spans="1:7" ht="48" customHeight="1" x14ac:dyDescent="0.2">
      <c r="A260" s="35" t="s">
        <v>90</v>
      </c>
      <c r="B260" s="36" t="s">
        <v>625</v>
      </c>
      <c r="C260" s="40">
        <v>1575000</v>
      </c>
      <c r="D260" s="36"/>
      <c r="E260" s="36"/>
      <c r="F260" s="39"/>
      <c r="G260" s="41"/>
    </row>
    <row r="261" spans="1:7" ht="63" x14ac:dyDescent="0.2">
      <c r="A261" s="35" t="s">
        <v>40</v>
      </c>
      <c r="B261" s="36" t="s">
        <v>645</v>
      </c>
      <c r="C261" s="40">
        <v>277000</v>
      </c>
      <c r="D261" s="36"/>
      <c r="E261" s="36"/>
      <c r="F261" s="39"/>
      <c r="G261" s="41"/>
    </row>
    <row r="262" spans="1:7" ht="24.95" customHeight="1" x14ac:dyDescent="0.2">
      <c r="A262" s="81" t="s">
        <v>41</v>
      </c>
      <c r="B262" s="82" t="s">
        <v>42</v>
      </c>
      <c r="C262" s="83">
        <f>SUM(C259:C261)</f>
        <v>1873000</v>
      </c>
      <c r="D262" s="82"/>
      <c r="E262" s="83">
        <f>C262/1000</f>
        <v>1873</v>
      </c>
      <c r="F262" s="80"/>
      <c r="G262" s="41"/>
    </row>
    <row r="263" spans="1:7" ht="35.1" customHeight="1" x14ac:dyDescent="0.2">
      <c r="A263" s="77" t="s">
        <v>46</v>
      </c>
      <c r="B263" s="78" t="s">
        <v>626</v>
      </c>
      <c r="C263" s="79">
        <v>756000</v>
      </c>
      <c r="D263" s="78"/>
      <c r="E263" s="79"/>
      <c r="F263" s="80"/>
      <c r="G263" s="41"/>
    </row>
    <row r="264" spans="1:7" ht="30" customHeight="1" x14ac:dyDescent="0.2">
      <c r="A264" s="81" t="s">
        <v>48</v>
      </c>
      <c r="B264" s="82" t="s">
        <v>49</v>
      </c>
      <c r="C264" s="83">
        <f>C263</f>
        <v>756000</v>
      </c>
      <c r="D264" s="82"/>
      <c r="E264" s="83">
        <f>C264/1000</f>
        <v>756</v>
      </c>
      <c r="F264" s="80"/>
      <c r="G264" s="41"/>
    </row>
    <row r="265" spans="1:7" ht="30" customHeight="1" x14ac:dyDescent="0.2">
      <c r="A265" s="85" t="s">
        <v>50</v>
      </c>
      <c r="B265" s="86" t="s">
        <v>51</v>
      </c>
      <c r="C265" s="87">
        <f>C256+C258+C262+C264</f>
        <v>3554000</v>
      </c>
      <c r="D265" s="87"/>
      <c r="E265" s="88"/>
      <c r="F265" s="89">
        <f>C265/1000</f>
        <v>3554</v>
      </c>
      <c r="G265" s="41"/>
    </row>
    <row r="266" spans="1:7" ht="62.25" customHeight="1" x14ac:dyDescent="0.2">
      <c r="A266" s="90" t="s">
        <v>107</v>
      </c>
      <c r="B266" s="91" t="s">
        <v>1220</v>
      </c>
      <c r="C266" s="92">
        <v>1713976</v>
      </c>
      <c r="D266" s="92"/>
      <c r="E266" s="93">
        <f>C266/1000</f>
        <v>1713.9760000000001</v>
      </c>
      <c r="F266" s="94"/>
      <c r="G266" s="41"/>
    </row>
    <row r="267" spans="1:7" ht="35.1" customHeight="1" x14ac:dyDescent="0.2">
      <c r="A267" s="90" t="s">
        <v>59</v>
      </c>
      <c r="B267" s="91" t="s">
        <v>1219</v>
      </c>
      <c r="C267" s="92"/>
      <c r="D267" s="92"/>
      <c r="E267" s="93">
        <f>C267/1000</f>
        <v>0</v>
      </c>
      <c r="F267" s="94"/>
      <c r="G267" s="41"/>
    </row>
    <row r="268" spans="1:7" ht="35.1" customHeight="1" x14ac:dyDescent="0.2">
      <c r="A268" s="90" t="s">
        <v>60</v>
      </c>
      <c r="B268" s="91" t="s">
        <v>61</v>
      </c>
      <c r="C268" s="92">
        <v>462774</v>
      </c>
      <c r="D268" s="92"/>
      <c r="E268" s="93">
        <f>C268/1000</f>
        <v>462.774</v>
      </c>
      <c r="F268" s="94"/>
      <c r="G268" s="41"/>
    </row>
    <row r="269" spans="1:7" ht="24.95" customHeight="1" x14ac:dyDescent="0.2">
      <c r="A269" s="85" t="s">
        <v>62</v>
      </c>
      <c r="B269" s="86" t="s">
        <v>63</v>
      </c>
      <c r="C269" s="87">
        <f>C266+C268+C267</f>
        <v>2176750</v>
      </c>
      <c r="D269" s="87"/>
      <c r="E269" s="88"/>
      <c r="F269" s="89">
        <f>C269/1000</f>
        <v>2176.75</v>
      </c>
      <c r="G269" s="41"/>
    </row>
    <row r="270" spans="1:7" ht="24.95" customHeight="1" thickBot="1" x14ac:dyDescent="0.25">
      <c r="A270" s="1749" t="s">
        <v>96</v>
      </c>
      <c r="B270" s="1750"/>
      <c r="C270" s="1750"/>
      <c r="D270" s="1750"/>
      <c r="E270" s="1750"/>
      <c r="F270" s="52">
        <f>F250+F254+F265+F269</f>
        <v>5730.75</v>
      </c>
      <c r="G270" s="41"/>
    </row>
    <row r="271" spans="1:7" ht="63" customHeight="1" x14ac:dyDescent="0.2">
      <c r="A271" s="53" t="s">
        <v>97</v>
      </c>
      <c r="B271" s="54" t="s">
        <v>166</v>
      </c>
      <c r="C271" s="56"/>
      <c r="D271" s="56">
        <v>188000</v>
      </c>
      <c r="E271" s="56">
        <f>D271/1000</f>
        <v>188</v>
      </c>
      <c r="F271" s="108"/>
      <c r="G271" s="41"/>
    </row>
    <row r="272" spans="1:7" ht="30" customHeight="1" x14ac:dyDescent="0.2">
      <c r="A272" s="53" t="s">
        <v>73</v>
      </c>
      <c r="B272" s="54" t="s">
        <v>167</v>
      </c>
      <c r="C272" s="138"/>
      <c r="D272" s="56">
        <v>51000</v>
      </c>
      <c r="E272" s="56">
        <f>D272/1000</f>
        <v>51</v>
      </c>
      <c r="F272" s="57"/>
      <c r="G272" s="41"/>
    </row>
    <row r="273" spans="1:7" ht="30" customHeight="1" x14ac:dyDescent="0.2">
      <c r="A273" s="110" t="s">
        <v>78</v>
      </c>
      <c r="B273" s="111" t="s">
        <v>168</v>
      </c>
      <c r="C273" s="60"/>
      <c r="D273" s="60">
        <f>D271+D272</f>
        <v>239000</v>
      </c>
      <c r="E273" s="61"/>
      <c r="F273" s="66">
        <f>D273/1000</f>
        <v>239</v>
      </c>
      <c r="G273" s="41"/>
    </row>
    <row r="274" spans="1:7" ht="30" customHeight="1" thickBot="1" x14ac:dyDescent="0.25">
      <c r="A274" s="1744" t="s">
        <v>80</v>
      </c>
      <c r="B274" s="1745"/>
      <c r="C274" s="1745"/>
      <c r="D274" s="1745"/>
      <c r="E274" s="1745"/>
      <c r="F274" s="67">
        <f>F273</f>
        <v>239</v>
      </c>
      <c r="G274" s="41"/>
    </row>
    <row r="275" spans="1:7" ht="24.95" customHeight="1" thickBot="1" x14ac:dyDescent="0.25">
      <c r="A275" s="68"/>
      <c r="B275" s="68"/>
      <c r="C275" s="68"/>
      <c r="D275" s="68"/>
      <c r="E275" s="68"/>
      <c r="F275" s="69"/>
      <c r="G275" s="41"/>
    </row>
    <row r="276" spans="1:7" ht="24.95" customHeight="1" x14ac:dyDescent="0.2">
      <c r="A276" s="1746" t="s">
        <v>169</v>
      </c>
      <c r="B276" s="1747"/>
      <c r="C276" s="1747"/>
      <c r="D276" s="1747"/>
      <c r="E276" s="1747"/>
      <c r="F276" s="1748"/>
      <c r="G276" s="41"/>
    </row>
    <row r="277" spans="1:7" ht="78.75" x14ac:dyDescent="0.2">
      <c r="A277" s="15" t="s">
        <v>7</v>
      </c>
      <c r="B277" s="16" t="s">
        <v>579</v>
      </c>
      <c r="C277" s="17">
        <v>6561000</v>
      </c>
      <c r="D277" s="17"/>
      <c r="E277" s="18"/>
      <c r="F277" s="19"/>
      <c r="G277" s="41"/>
    </row>
    <row r="278" spans="1:7" ht="47.25" x14ac:dyDescent="0.2">
      <c r="A278" s="4" t="s">
        <v>9</v>
      </c>
      <c r="B278" s="5" t="s">
        <v>938</v>
      </c>
      <c r="C278" s="6">
        <v>300000</v>
      </c>
      <c r="D278" s="7"/>
      <c r="E278" s="7"/>
      <c r="F278" s="8"/>
      <c r="G278" s="41"/>
    </row>
    <row r="279" spans="1:7" ht="30" customHeight="1" x14ac:dyDescent="0.2">
      <c r="A279" s="22" t="s">
        <v>12</v>
      </c>
      <c r="B279" s="23" t="s">
        <v>83</v>
      </c>
      <c r="C279" s="24">
        <f>SUM(C277:C278)</f>
        <v>6861000</v>
      </c>
      <c r="D279" s="24"/>
      <c r="E279" s="25">
        <f>C279/1000</f>
        <v>6861</v>
      </c>
      <c r="F279" s="34"/>
      <c r="G279" s="41"/>
    </row>
    <row r="280" spans="1:7" ht="30" customHeight="1" x14ac:dyDescent="0.2">
      <c r="A280" s="47" t="s">
        <v>19</v>
      </c>
      <c r="B280" s="28" t="s">
        <v>20</v>
      </c>
      <c r="C280" s="48">
        <f>C279</f>
        <v>6861000</v>
      </c>
      <c r="D280" s="48"/>
      <c r="E280" s="49"/>
      <c r="F280" s="50">
        <f>C280/1000</f>
        <v>6861</v>
      </c>
      <c r="G280" s="41"/>
    </row>
    <row r="281" spans="1:7" ht="72" customHeight="1" x14ac:dyDescent="0.2">
      <c r="A281" s="15" t="s">
        <v>21</v>
      </c>
      <c r="B281" s="16" t="s">
        <v>580</v>
      </c>
      <c r="C281" s="17">
        <v>1211000</v>
      </c>
      <c r="D281" s="17"/>
      <c r="E281" s="18"/>
      <c r="F281" s="19"/>
      <c r="G281" s="41"/>
    </row>
    <row r="282" spans="1:7" ht="78.75" x14ac:dyDescent="0.2">
      <c r="A282" s="15" t="s">
        <v>23</v>
      </c>
      <c r="B282" s="20" t="s">
        <v>582</v>
      </c>
      <c r="C282" s="17">
        <v>58100</v>
      </c>
      <c r="D282" s="17"/>
      <c r="E282" s="18"/>
      <c r="F282" s="19"/>
      <c r="G282" s="41"/>
    </row>
    <row r="283" spans="1:7" ht="31.5" x14ac:dyDescent="0.2">
      <c r="A283" s="22" t="s">
        <v>24</v>
      </c>
      <c r="B283" s="23" t="s">
        <v>25</v>
      </c>
      <c r="C283" s="24">
        <f>SUM(C281:C282)</f>
        <v>1269100</v>
      </c>
      <c r="D283" s="24"/>
      <c r="E283" s="25">
        <f>C283/1000</f>
        <v>1269.0999999999999</v>
      </c>
      <c r="F283" s="19"/>
      <c r="G283" s="41"/>
    </row>
    <row r="284" spans="1:7" ht="30" customHeight="1" x14ac:dyDescent="0.2">
      <c r="A284" s="70" t="s">
        <v>24</v>
      </c>
      <c r="B284" s="71" t="s">
        <v>84</v>
      </c>
      <c r="C284" s="72">
        <f>C283</f>
        <v>1269100</v>
      </c>
      <c r="D284" s="71"/>
      <c r="E284" s="71"/>
      <c r="F284" s="73">
        <f>C284/1000</f>
        <v>1269.0999999999999</v>
      </c>
      <c r="G284" s="41"/>
    </row>
    <row r="285" spans="1:7" ht="78.75" x14ac:dyDescent="0.2">
      <c r="A285" s="77" t="s">
        <v>28</v>
      </c>
      <c r="B285" s="78" t="s">
        <v>506</v>
      </c>
      <c r="C285" s="79">
        <v>1209000</v>
      </c>
      <c r="D285" s="78"/>
      <c r="E285" s="78"/>
      <c r="F285" s="80"/>
      <c r="G285" s="41"/>
    </row>
    <row r="286" spans="1:7" ht="30" customHeight="1" x14ac:dyDescent="0.2">
      <c r="A286" s="81" t="s">
        <v>29</v>
      </c>
      <c r="B286" s="82" t="s">
        <v>30</v>
      </c>
      <c r="C286" s="83">
        <f>C285</f>
        <v>1209000</v>
      </c>
      <c r="D286" s="82"/>
      <c r="E286" s="82">
        <f>C286/1000</f>
        <v>1209</v>
      </c>
      <c r="F286" s="84"/>
      <c r="G286" s="41"/>
    </row>
    <row r="287" spans="1:7" ht="31.5" x14ac:dyDescent="0.2">
      <c r="A287" s="77" t="s">
        <v>32</v>
      </c>
      <c r="B287" s="78" t="s">
        <v>170</v>
      </c>
      <c r="C287" s="79">
        <v>34000</v>
      </c>
      <c r="D287" s="78"/>
      <c r="E287" s="78"/>
      <c r="F287" s="80"/>
      <c r="G287" s="41"/>
    </row>
    <row r="288" spans="1:7" ht="30" customHeight="1" x14ac:dyDescent="0.2">
      <c r="A288" s="81" t="s">
        <v>34</v>
      </c>
      <c r="B288" s="82" t="s">
        <v>35</v>
      </c>
      <c r="C288" s="83">
        <f>C287</f>
        <v>34000</v>
      </c>
      <c r="D288" s="82"/>
      <c r="E288" s="82">
        <f>C288/1000</f>
        <v>34</v>
      </c>
      <c r="F288" s="80"/>
      <c r="G288" s="41"/>
    </row>
    <row r="289" spans="1:7" ht="31.5" x14ac:dyDescent="0.2">
      <c r="A289" s="77" t="s">
        <v>88</v>
      </c>
      <c r="B289" s="78" t="s">
        <v>171</v>
      </c>
      <c r="C289" s="79">
        <v>67000</v>
      </c>
      <c r="D289" s="78"/>
      <c r="E289" s="78"/>
      <c r="F289" s="80"/>
      <c r="G289" s="41"/>
    </row>
    <row r="290" spans="1:7" ht="31.5" x14ac:dyDescent="0.2">
      <c r="A290" s="77" t="s">
        <v>105</v>
      </c>
      <c r="B290" s="78" t="s">
        <v>172</v>
      </c>
      <c r="C290" s="79">
        <v>150000</v>
      </c>
      <c r="D290" s="78"/>
      <c r="E290" s="78"/>
      <c r="F290" s="80"/>
      <c r="G290" s="41"/>
    </row>
    <row r="291" spans="1:7" ht="30" customHeight="1" x14ac:dyDescent="0.2">
      <c r="A291" s="77" t="s">
        <v>90</v>
      </c>
      <c r="B291" s="78" t="s">
        <v>91</v>
      </c>
      <c r="C291" s="79">
        <v>80000</v>
      </c>
      <c r="D291" s="78"/>
      <c r="E291" s="78"/>
      <c r="F291" s="80"/>
      <c r="G291" s="41"/>
    </row>
    <row r="292" spans="1:7" ht="126" x14ac:dyDescent="0.2">
      <c r="A292" s="77" t="s">
        <v>40</v>
      </c>
      <c r="B292" s="78" t="s">
        <v>173</v>
      </c>
      <c r="C292" s="79">
        <v>485000</v>
      </c>
      <c r="D292" s="78"/>
      <c r="E292" s="78"/>
      <c r="F292" s="80"/>
      <c r="G292" s="41"/>
    </row>
    <row r="293" spans="1:7" ht="30" customHeight="1" x14ac:dyDescent="0.2">
      <c r="A293" s="81" t="s">
        <v>41</v>
      </c>
      <c r="B293" s="82" t="s">
        <v>42</v>
      </c>
      <c r="C293" s="83">
        <f>SUM(C289:C292)</f>
        <v>782000</v>
      </c>
      <c r="D293" s="82"/>
      <c r="E293" s="83">
        <f>C293/1000</f>
        <v>782</v>
      </c>
      <c r="F293" s="80"/>
      <c r="G293" s="41"/>
    </row>
    <row r="294" spans="1:7" ht="31.5" x14ac:dyDescent="0.2">
      <c r="A294" s="77" t="s">
        <v>46</v>
      </c>
      <c r="B294" s="78" t="s">
        <v>507</v>
      </c>
      <c r="C294" s="79">
        <v>505000</v>
      </c>
      <c r="D294" s="78"/>
      <c r="E294" s="79"/>
      <c r="F294" s="80"/>
      <c r="G294" s="41"/>
    </row>
    <row r="295" spans="1:7" ht="30" customHeight="1" x14ac:dyDescent="0.2">
      <c r="A295" s="81" t="s">
        <v>48</v>
      </c>
      <c r="B295" s="82" t="s">
        <v>49</v>
      </c>
      <c r="C295" s="83">
        <f>C294</f>
        <v>505000</v>
      </c>
      <c r="D295" s="82"/>
      <c r="E295" s="83">
        <f>C295/1000</f>
        <v>505</v>
      </c>
      <c r="F295" s="80"/>
      <c r="G295" s="41"/>
    </row>
    <row r="296" spans="1:7" ht="30" customHeight="1" x14ac:dyDescent="0.2">
      <c r="A296" s="85" t="s">
        <v>50</v>
      </c>
      <c r="B296" s="86" t="s">
        <v>51</v>
      </c>
      <c r="C296" s="87">
        <f>C286+C288+C293+C295</f>
        <v>2530000</v>
      </c>
      <c r="D296" s="87"/>
      <c r="E296" s="88"/>
      <c r="F296" s="89">
        <f>C296/1000</f>
        <v>2530</v>
      </c>
      <c r="G296" s="41"/>
    </row>
    <row r="297" spans="1:7" ht="30" customHeight="1" thickBot="1" x14ac:dyDescent="0.25">
      <c r="A297" s="1749" t="s">
        <v>96</v>
      </c>
      <c r="B297" s="1750"/>
      <c r="C297" s="1750"/>
      <c r="D297" s="1750"/>
      <c r="E297" s="1750"/>
      <c r="F297" s="52">
        <f>F284+F296+F280</f>
        <v>10660.1</v>
      </c>
      <c r="G297" s="41"/>
    </row>
    <row r="298" spans="1:7" ht="16.5" thickBot="1" x14ac:dyDescent="0.25">
      <c r="A298" s="68"/>
      <c r="B298" s="68"/>
      <c r="C298" s="68"/>
      <c r="D298" s="68"/>
      <c r="E298" s="68"/>
      <c r="F298" s="69"/>
      <c r="G298" s="41"/>
    </row>
    <row r="299" spans="1:7" ht="30" customHeight="1" x14ac:dyDescent="0.2">
      <c r="A299" s="1746" t="s">
        <v>174</v>
      </c>
      <c r="B299" s="1747"/>
      <c r="C299" s="1747"/>
      <c r="D299" s="1747"/>
      <c r="E299" s="1747"/>
      <c r="F299" s="1748"/>
      <c r="G299" s="41"/>
    </row>
    <row r="300" spans="1:7" ht="30" customHeight="1" x14ac:dyDescent="0.2">
      <c r="A300" s="152" t="s">
        <v>28</v>
      </c>
      <c r="B300" s="153" t="s">
        <v>175</v>
      </c>
      <c r="C300" s="150">
        <v>10000</v>
      </c>
      <c r="D300" s="150"/>
      <c r="E300" s="151"/>
      <c r="F300" s="94"/>
      <c r="G300" s="41"/>
    </row>
    <row r="301" spans="1:7" ht="30" customHeight="1" x14ac:dyDescent="0.2">
      <c r="A301" s="90" t="s">
        <v>29</v>
      </c>
      <c r="B301" s="91" t="s">
        <v>30</v>
      </c>
      <c r="C301" s="92">
        <f>SUM(C300:C300)</f>
        <v>10000</v>
      </c>
      <c r="D301" s="92"/>
      <c r="E301" s="93">
        <f>C301/1000</f>
        <v>10</v>
      </c>
      <c r="F301" s="94"/>
      <c r="G301" s="41"/>
    </row>
    <row r="302" spans="1:7" ht="78.75" x14ac:dyDescent="0.2">
      <c r="A302" s="77" t="s">
        <v>88</v>
      </c>
      <c r="B302" s="78" t="s">
        <v>176</v>
      </c>
      <c r="C302" s="79">
        <v>255000</v>
      </c>
      <c r="D302" s="78"/>
      <c r="E302" s="78"/>
      <c r="F302" s="80"/>
      <c r="G302" s="41"/>
    </row>
    <row r="303" spans="1:7" ht="24.95" customHeight="1" x14ac:dyDescent="0.2">
      <c r="A303" s="77" t="s">
        <v>90</v>
      </c>
      <c r="B303" s="78" t="s">
        <v>91</v>
      </c>
      <c r="C303" s="79">
        <v>5000</v>
      </c>
      <c r="D303" s="78"/>
      <c r="E303" s="78"/>
      <c r="F303" s="80"/>
      <c r="G303" s="41"/>
    </row>
    <row r="304" spans="1:7" ht="94.5" x14ac:dyDescent="0.2">
      <c r="A304" s="77" t="s">
        <v>40</v>
      </c>
      <c r="B304" s="78" t="s">
        <v>177</v>
      </c>
      <c r="C304" s="79">
        <v>35000</v>
      </c>
      <c r="D304" s="78"/>
      <c r="E304" s="78"/>
      <c r="F304" s="80"/>
      <c r="G304" s="41"/>
    </row>
    <row r="305" spans="1:7" ht="24.95" customHeight="1" x14ac:dyDescent="0.2">
      <c r="A305" s="81" t="s">
        <v>41</v>
      </c>
      <c r="B305" s="82" t="s">
        <v>42</v>
      </c>
      <c r="C305" s="83">
        <f>SUM(C302:C304)</f>
        <v>295000</v>
      </c>
      <c r="D305" s="82"/>
      <c r="E305" s="83">
        <f>C305/1000</f>
        <v>295</v>
      </c>
      <c r="F305" s="80"/>
      <c r="G305" s="41"/>
    </row>
    <row r="306" spans="1:7" ht="31.5" x14ac:dyDescent="0.2">
      <c r="A306" s="77" t="s">
        <v>46</v>
      </c>
      <c r="B306" s="78" t="s">
        <v>178</v>
      </c>
      <c r="C306" s="79">
        <v>82000</v>
      </c>
      <c r="D306" s="78"/>
      <c r="E306" s="78"/>
      <c r="F306" s="80"/>
      <c r="G306" s="41"/>
    </row>
    <row r="307" spans="1:7" ht="15.75" x14ac:dyDescent="0.2">
      <c r="A307" s="81" t="s">
        <v>48</v>
      </c>
      <c r="B307" s="82" t="s">
        <v>49</v>
      </c>
      <c r="C307" s="83">
        <f>C306</f>
        <v>82000</v>
      </c>
      <c r="D307" s="82"/>
      <c r="E307" s="83">
        <f>C307/1000</f>
        <v>82</v>
      </c>
      <c r="F307" s="80"/>
      <c r="G307" s="41"/>
    </row>
    <row r="308" spans="1:7" ht="24.95" customHeight="1" x14ac:dyDescent="0.2">
      <c r="A308" s="85" t="s">
        <v>50</v>
      </c>
      <c r="B308" s="86" t="s">
        <v>51</v>
      </c>
      <c r="C308" s="87">
        <f>C301+C305+C307</f>
        <v>387000</v>
      </c>
      <c r="D308" s="87"/>
      <c r="E308" s="88"/>
      <c r="F308" s="89">
        <f>C308/1000</f>
        <v>387</v>
      </c>
      <c r="G308" s="41"/>
    </row>
    <row r="309" spans="1:7" ht="35.1" customHeight="1" thickBot="1" x14ac:dyDescent="0.25">
      <c r="A309" s="1749" t="s">
        <v>96</v>
      </c>
      <c r="B309" s="1750"/>
      <c r="C309" s="1750"/>
      <c r="D309" s="1750"/>
      <c r="E309" s="1750"/>
      <c r="F309" s="52">
        <f>F308</f>
        <v>387</v>
      </c>
      <c r="G309" s="41"/>
    </row>
    <row r="310" spans="1:7" ht="35.1" customHeight="1" thickBot="1" x14ac:dyDescent="0.25">
      <c r="A310" s="68"/>
      <c r="B310" s="68"/>
      <c r="C310" s="68"/>
      <c r="D310" s="68"/>
      <c r="E310" s="68"/>
      <c r="F310" s="69"/>
      <c r="G310" s="41"/>
    </row>
    <row r="311" spans="1:7" ht="30" customHeight="1" x14ac:dyDescent="0.2">
      <c r="A311" s="1746" t="s">
        <v>179</v>
      </c>
      <c r="B311" s="1747"/>
      <c r="C311" s="1747"/>
      <c r="D311" s="1747"/>
      <c r="E311" s="1747"/>
      <c r="F311" s="1748"/>
      <c r="G311" s="41"/>
    </row>
    <row r="312" spans="1:7" ht="89.45" customHeight="1" x14ac:dyDescent="0.2">
      <c r="A312" s="77" t="s">
        <v>88</v>
      </c>
      <c r="B312" s="78" t="s">
        <v>176</v>
      </c>
      <c r="C312" s="79">
        <v>255000</v>
      </c>
      <c r="D312" s="78"/>
      <c r="E312" s="78"/>
      <c r="F312" s="80"/>
      <c r="G312" s="41"/>
    </row>
    <row r="313" spans="1:7" ht="30" customHeight="1" x14ac:dyDescent="0.2">
      <c r="A313" s="77" t="s">
        <v>90</v>
      </c>
      <c r="B313" s="78" t="s">
        <v>91</v>
      </c>
      <c r="C313" s="79">
        <v>5000</v>
      </c>
      <c r="D313" s="78"/>
      <c r="E313" s="78"/>
      <c r="F313" s="80"/>
      <c r="G313" s="41"/>
    </row>
    <row r="314" spans="1:7" ht="30" customHeight="1" x14ac:dyDescent="0.2">
      <c r="A314" s="35" t="s">
        <v>38</v>
      </c>
      <c r="B314" s="36" t="s">
        <v>180</v>
      </c>
      <c r="C314" s="40">
        <v>188000</v>
      </c>
      <c r="D314" s="36"/>
      <c r="E314" s="36"/>
      <c r="F314" s="39"/>
      <c r="G314" s="41"/>
    </row>
    <row r="315" spans="1:7" ht="95.45" customHeight="1" x14ac:dyDescent="0.2">
      <c r="A315" s="77" t="s">
        <v>40</v>
      </c>
      <c r="B315" s="78" t="s">
        <v>177</v>
      </c>
      <c r="C315" s="79">
        <v>35000</v>
      </c>
      <c r="D315" s="78"/>
      <c r="E315" s="78"/>
      <c r="F315" s="80"/>
      <c r="G315" s="41"/>
    </row>
    <row r="316" spans="1:7" ht="30" customHeight="1" x14ac:dyDescent="0.2">
      <c r="A316" s="81" t="s">
        <v>41</v>
      </c>
      <c r="B316" s="82" t="s">
        <v>42</v>
      </c>
      <c r="C316" s="83">
        <f>SUM(C312:C315)</f>
        <v>483000</v>
      </c>
      <c r="D316" s="82"/>
      <c r="E316" s="83">
        <f>C316/1000</f>
        <v>483</v>
      </c>
      <c r="F316" s="80"/>
      <c r="G316" s="41"/>
    </row>
    <row r="317" spans="1:7" ht="30" customHeight="1" x14ac:dyDescent="0.2">
      <c r="A317" s="77" t="s">
        <v>46</v>
      </c>
      <c r="B317" s="78" t="s">
        <v>181</v>
      </c>
      <c r="C317" s="79">
        <v>118000</v>
      </c>
      <c r="D317" s="78"/>
      <c r="E317" s="78"/>
      <c r="F317" s="80"/>
      <c r="G317" s="41"/>
    </row>
    <row r="318" spans="1:7" ht="30" customHeight="1" x14ac:dyDescent="0.2">
      <c r="A318" s="81" t="s">
        <v>48</v>
      </c>
      <c r="B318" s="82" t="s">
        <v>49</v>
      </c>
      <c r="C318" s="83">
        <f>C317</f>
        <v>118000</v>
      </c>
      <c r="D318" s="82"/>
      <c r="E318" s="83">
        <f>C318/1000</f>
        <v>118</v>
      </c>
      <c r="F318" s="80"/>
      <c r="G318" s="41"/>
    </row>
    <row r="319" spans="1:7" ht="30" customHeight="1" x14ac:dyDescent="0.2">
      <c r="A319" s="85" t="s">
        <v>50</v>
      </c>
      <c r="B319" s="86" t="s">
        <v>51</v>
      </c>
      <c r="C319" s="87">
        <f>C309+C311+C316+C318</f>
        <v>601000</v>
      </c>
      <c r="D319" s="87"/>
      <c r="E319" s="88"/>
      <c r="F319" s="89">
        <f>C319/1000</f>
        <v>601</v>
      </c>
      <c r="G319" s="41"/>
    </row>
    <row r="320" spans="1:7" ht="30" customHeight="1" thickBot="1" x14ac:dyDescent="0.25">
      <c r="A320" s="1749" t="s">
        <v>96</v>
      </c>
      <c r="B320" s="1750"/>
      <c r="C320" s="1750"/>
      <c r="D320" s="1750"/>
      <c r="E320" s="1750"/>
      <c r="F320" s="52">
        <f>F319</f>
        <v>601</v>
      </c>
      <c r="G320" s="41"/>
    </row>
    <row r="321" spans="1:7" ht="24.95" customHeight="1" thickBot="1" x14ac:dyDescent="0.25">
      <c r="A321" s="68"/>
      <c r="B321" s="68"/>
      <c r="C321" s="68"/>
      <c r="D321" s="68"/>
      <c r="E321" s="68"/>
      <c r="F321" s="69"/>
      <c r="G321" s="41"/>
    </row>
    <row r="322" spans="1:7" ht="24.95" customHeight="1" x14ac:dyDescent="0.2">
      <c r="A322" s="1746" t="s">
        <v>182</v>
      </c>
      <c r="B322" s="1747"/>
      <c r="C322" s="1747"/>
      <c r="D322" s="1747"/>
      <c r="E322" s="1747"/>
      <c r="F322" s="1748"/>
      <c r="G322" s="41"/>
    </row>
    <row r="323" spans="1:7" ht="58.9" customHeight="1" x14ac:dyDescent="0.2">
      <c r="A323" s="35" t="s">
        <v>38</v>
      </c>
      <c r="B323" s="36" t="s">
        <v>183</v>
      </c>
      <c r="C323" s="40">
        <v>261000</v>
      </c>
      <c r="D323" s="36"/>
      <c r="E323" s="36"/>
      <c r="F323" s="39"/>
      <c r="G323" s="41"/>
    </row>
    <row r="324" spans="1:7" ht="30" customHeight="1" x14ac:dyDescent="0.2">
      <c r="A324" s="42" t="s">
        <v>41</v>
      </c>
      <c r="B324" s="43" t="s">
        <v>42</v>
      </c>
      <c r="C324" s="44">
        <f>SUM(C321:C323)</f>
        <v>261000</v>
      </c>
      <c r="D324" s="43"/>
      <c r="E324" s="44">
        <f>C324/1000</f>
        <v>261</v>
      </c>
      <c r="F324" s="39"/>
      <c r="G324" s="41"/>
    </row>
    <row r="325" spans="1:7" ht="30" customHeight="1" x14ac:dyDescent="0.2">
      <c r="A325" s="47" t="s">
        <v>50</v>
      </c>
      <c r="B325" s="28" t="s">
        <v>51</v>
      </c>
      <c r="C325" s="48">
        <f>C324</f>
        <v>261000</v>
      </c>
      <c r="D325" s="48"/>
      <c r="E325" s="49"/>
      <c r="F325" s="50">
        <f>C325/1000</f>
        <v>261</v>
      </c>
      <c r="G325" s="41"/>
    </row>
    <row r="326" spans="1:7" ht="30" customHeight="1" thickBot="1" x14ac:dyDescent="0.25">
      <c r="A326" s="1749" t="s">
        <v>96</v>
      </c>
      <c r="B326" s="1750"/>
      <c r="C326" s="1750"/>
      <c r="D326" s="1750"/>
      <c r="E326" s="1750"/>
      <c r="F326" s="52">
        <f>F325</f>
        <v>261</v>
      </c>
      <c r="G326" s="41"/>
    </row>
    <row r="327" spans="1:7" ht="24.95" customHeight="1" thickBot="1" x14ac:dyDescent="0.25">
      <c r="A327" s="68"/>
      <c r="B327" s="68"/>
      <c r="C327" s="68"/>
      <c r="D327" s="68"/>
      <c r="E327" s="68"/>
      <c r="F327" s="69"/>
      <c r="G327" s="41"/>
    </row>
    <row r="328" spans="1:7" ht="24.95" customHeight="1" x14ac:dyDescent="0.2">
      <c r="A328" s="1746" t="s">
        <v>184</v>
      </c>
      <c r="B328" s="1747"/>
      <c r="C328" s="1747"/>
      <c r="D328" s="1747"/>
      <c r="E328" s="1747"/>
      <c r="F328" s="1748"/>
      <c r="G328" s="41"/>
    </row>
    <row r="329" spans="1:7" ht="63" x14ac:dyDescent="0.2">
      <c r="A329" s="15" t="s">
        <v>7</v>
      </c>
      <c r="B329" s="16" t="s">
        <v>587</v>
      </c>
      <c r="C329" s="17">
        <v>3999000</v>
      </c>
      <c r="D329" s="17"/>
      <c r="E329" s="18"/>
      <c r="F329" s="19"/>
      <c r="G329" s="41"/>
    </row>
    <row r="330" spans="1:7" ht="47.25" x14ac:dyDescent="0.2">
      <c r="A330" s="4" t="s">
        <v>9</v>
      </c>
      <c r="B330" s="5" t="s">
        <v>939</v>
      </c>
      <c r="C330" s="6">
        <v>150000</v>
      </c>
      <c r="D330" s="7"/>
      <c r="E330" s="7"/>
      <c r="F330" s="8"/>
      <c r="G330" s="41"/>
    </row>
    <row r="331" spans="1:7" ht="30" customHeight="1" x14ac:dyDescent="0.2">
      <c r="A331" s="22" t="s">
        <v>12</v>
      </c>
      <c r="B331" s="23" t="s">
        <v>83</v>
      </c>
      <c r="C331" s="24">
        <f>SUM(C329:C330)</f>
        <v>4149000</v>
      </c>
      <c r="D331" s="24"/>
      <c r="E331" s="25">
        <f>C331/1000</f>
        <v>4149</v>
      </c>
      <c r="F331" s="34"/>
      <c r="G331" s="41"/>
    </row>
    <row r="332" spans="1:7" ht="30" customHeight="1" x14ac:dyDescent="0.2">
      <c r="A332" s="47" t="s">
        <v>19</v>
      </c>
      <c r="B332" s="28" t="s">
        <v>20</v>
      </c>
      <c r="C332" s="48">
        <f>C331</f>
        <v>4149000</v>
      </c>
      <c r="D332" s="48"/>
      <c r="E332" s="49"/>
      <c r="F332" s="50">
        <f>C332/1000</f>
        <v>4149</v>
      </c>
      <c r="G332" s="41"/>
    </row>
    <row r="333" spans="1:7" ht="58.5" customHeight="1" x14ac:dyDescent="0.2">
      <c r="A333" s="15" t="s">
        <v>21</v>
      </c>
      <c r="B333" s="16" t="s">
        <v>588</v>
      </c>
      <c r="C333" s="17">
        <v>731000</v>
      </c>
      <c r="D333" s="17"/>
      <c r="E333" s="18"/>
      <c r="F333" s="19"/>
      <c r="G333" s="41"/>
    </row>
    <row r="334" spans="1:7" ht="78.75" x14ac:dyDescent="0.2">
      <c r="A334" s="15" t="s">
        <v>23</v>
      </c>
      <c r="B334" s="20" t="s">
        <v>589</v>
      </c>
      <c r="C334" s="17">
        <v>32000</v>
      </c>
      <c r="D334" s="17"/>
      <c r="E334" s="18"/>
      <c r="F334" s="19"/>
      <c r="G334" s="41"/>
    </row>
    <row r="335" spans="1:7" ht="31.5" x14ac:dyDescent="0.2">
      <c r="A335" s="22" t="s">
        <v>24</v>
      </c>
      <c r="B335" s="23" t="s">
        <v>25</v>
      </c>
      <c r="C335" s="24">
        <f>SUM(C333:C334)</f>
        <v>763000</v>
      </c>
      <c r="D335" s="24"/>
      <c r="E335" s="25">
        <f>C335/1000</f>
        <v>763</v>
      </c>
      <c r="F335" s="19"/>
      <c r="G335" s="41"/>
    </row>
    <row r="336" spans="1:7" ht="30" customHeight="1" x14ac:dyDescent="0.2">
      <c r="A336" s="70" t="s">
        <v>24</v>
      </c>
      <c r="B336" s="71" t="s">
        <v>84</v>
      </c>
      <c r="C336" s="72">
        <f>C335</f>
        <v>763000</v>
      </c>
      <c r="D336" s="71"/>
      <c r="E336" s="71"/>
      <c r="F336" s="73">
        <f>C336/1000</f>
        <v>763</v>
      </c>
      <c r="G336" s="41"/>
    </row>
    <row r="337" spans="1:7" ht="30" customHeight="1" x14ac:dyDescent="0.2">
      <c r="A337" s="152" t="s">
        <v>26</v>
      </c>
      <c r="B337" s="153" t="s">
        <v>505</v>
      </c>
      <c r="C337" s="150">
        <v>22000</v>
      </c>
      <c r="D337" s="150"/>
      <c r="E337" s="151"/>
      <c r="F337" s="94"/>
      <c r="G337" s="41"/>
    </row>
    <row r="338" spans="1:7" ht="63" x14ac:dyDescent="0.2">
      <c r="A338" s="152" t="s">
        <v>28</v>
      </c>
      <c r="B338" s="153" t="s">
        <v>185</v>
      </c>
      <c r="C338" s="150">
        <v>15000</v>
      </c>
      <c r="D338" s="150"/>
      <c r="E338" s="151"/>
      <c r="F338" s="94"/>
      <c r="G338" s="41"/>
    </row>
    <row r="339" spans="1:7" ht="30" customHeight="1" x14ac:dyDescent="0.2">
      <c r="A339" s="90" t="s">
        <v>29</v>
      </c>
      <c r="B339" s="91" t="s">
        <v>30</v>
      </c>
      <c r="C339" s="92">
        <f>SUM(C337:C338)</f>
        <v>37000</v>
      </c>
      <c r="D339" s="92"/>
      <c r="E339" s="93">
        <f>C339/1000</f>
        <v>37</v>
      </c>
      <c r="F339" s="94"/>
      <c r="G339" s="41"/>
    </row>
    <row r="340" spans="1:7" ht="47.25" x14ac:dyDescent="0.2">
      <c r="A340" s="15" t="s">
        <v>31</v>
      </c>
      <c r="B340" s="16" t="s">
        <v>186</v>
      </c>
      <c r="C340" s="17">
        <v>22000</v>
      </c>
      <c r="D340" s="17"/>
      <c r="E340" s="18"/>
      <c r="F340" s="19"/>
      <c r="G340" s="41"/>
    </row>
    <row r="341" spans="1:7" ht="31.5" x14ac:dyDescent="0.2">
      <c r="A341" s="35" t="s">
        <v>32</v>
      </c>
      <c r="B341" s="36" t="s">
        <v>187</v>
      </c>
      <c r="C341" s="40">
        <v>4000</v>
      </c>
      <c r="D341" s="36"/>
      <c r="E341" s="36"/>
      <c r="F341" s="39"/>
      <c r="G341" s="41"/>
    </row>
    <row r="342" spans="1:7" ht="30" customHeight="1" x14ac:dyDescent="0.2">
      <c r="A342" s="42" t="s">
        <v>34</v>
      </c>
      <c r="B342" s="43" t="s">
        <v>35</v>
      </c>
      <c r="C342" s="44">
        <f>SUM(C340:C341)</f>
        <v>26000</v>
      </c>
      <c r="D342" s="43"/>
      <c r="E342" s="44">
        <f>C342/1000</f>
        <v>26</v>
      </c>
      <c r="F342" s="39"/>
      <c r="G342" s="41"/>
    </row>
    <row r="343" spans="1:7" ht="78.75" x14ac:dyDescent="0.2">
      <c r="A343" s="35" t="s">
        <v>88</v>
      </c>
      <c r="B343" s="36" t="s">
        <v>188</v>
      </c>
      <c r="C343" s="40">
        <v>100000</v>
      </c>
      <c r="D343" s="36"/>
      <c r="E343" s="36"/>
      <c r="F343" s="39"/>
      <c r="G343" s="41"/>
    </row>
    <row r="344" spans="1:7" ht="30" customHeight="1" x14ac:dyDescent="0.2">
      <c r="A344" s="35" t="s">
        <v>90</v>
      </c>
      <c r="B344" s="36" t="s">
        <v>91</v>
      </c>
      <c r="C344" s="40">
        <v>5000</v>
      </c>
      <c r="D344" s="36"/>
      <c r="E344" s="36"/>
      <c r="F344" s="39"/>
      <c r="G344" s="41"/>
    </row>
    <row r="345" spans="1:7" ht="94.5" x14ac:dyDescent="0.2">
      <c r="A345" s="35" t="s">
        <v>40</v>
      </c>
      <c r="B345" s="36" t="s">
        <v>177</v>
      </c>
      <c r="C345" s="40">
        <v>35000</v>
      </c>
      <c r="D345" s="36"/>
      <c r="E345" s="36"/>
      <c r="F345" s="39"/>
      <c r="G345" s="41"/>
    </row>
    <row r="346" spans="1:7" ht="30" customHeight="1" x14ac:dyDescent="0.2">
      <c r="A346" s="81" t="s">
        <v>41</v>
      </c>
      <c r="B346" s="82" t="s">
        <v>42</v>
      </c>
      <c r="C346" s="83">
        <f>SUM(C343:C345)</f>
        <v>140000</v>
      </c>
      <c r="D346" s="82"/>
      <c r="E346" s="83">
        <f>C346/1000</f>
        <v>140</v>
      </c>
      <c r="F346" s="80"/>
      <c r="G346" s="41"/>
    </row>
    <row r="347" spans="1:7" ht="30" customHeight="1" x14ac:dyDescent="0.2">
      <c r="A347" s="77" t="s">
        <v>46</v>
      </c>
      <c r="B347" s="78" t="s">
        <v>628</v>
      </c>
      <c r="C347" s="79">
        <v>55000</v>
      </c>
      <c r="D347" s="78"/>
      <c r="E347" s="78"/>
      <c r="F347" s="80"/>
      <c r="G347" s="41"/>
    </row>
    <row r="348" spans="1:7" ht="30" customHeight="1" x14ac:dyDescent="0.2">
      <c r="A348" s="81" t="s">
        <v>48</v>
      </c>
      <c r="B348" s="82" t="s">
        <v>49</v>
      </c>
      <c r="C348" s="83">
        <f>C347</f>
        <v>55000</v>
      </c>
      <c r="D348" s="82"/>
      <c r="E348" s="83">
        <f>C348/1000</f>
        <v>55</v>
      </c>
      <c r="F348" s="80"/>
      <c r="G348" s="41"/>
    </row>
    <row r="349" spans="1:7" ht="30" customHeight="1" x14ac:dyDescent="0.2">
      <c r="A349" s="85" t="s">
        <v>50</v>
      </c>
      <c r="B349" s="86" t="s">
        <v>51</v>
      </c>
      <c r="C349" s="87">
        <f>C340+C342+C346+C348</f>
        <v>243000</v>
      </c>
      <c r="D349" s="87"/>
      <c r="E349" s="88"/>
      <c r="F349" s="89">
        <f>C349/1000</f>
        <v>243</v>
      </c>
      <c r="G349" s="41"/>
    </row>
    <row r="350" spans="1:7" ht="30" customHeight="1" thickBot="1" x14ac:dyDescent="0.25">
      <c r="A350" s="1749" t="s">
        <v>96</v>
      </c>
      <c r="B350" s="1750"/>
      <c r="C350" s="1750"/>
      <c r="D350" s="1750"/>
      <c r="E350" s="1750"/>
      <c r="F350" s="52">
        <f>F349+F332+F336</f>
        <v>5155</v>
      </c>
      <c r="G350" s="41"/>
    </row>
    <row r="351" spans="1:7" ht="71.45" customHeight="1" x14ac:dyDescent="0.2">
      <c r="A351" s="137" t="s">
        <v>189</v>
      </c>
      <c r="B351" s="154" t="s">
        <v>627</v>
      </c>
      <c r="C351" s="138"/>
      <c r="D351" s="138">
        <v>2032000</v>
      </c>
      <c r="E351" s="105"/>
      <c r="F351" s="57"/>
      <c r="G351" s="41"/>
    </row>
    <row r="352" spans="1:7" ht="30" customHeight="1" x14ac:dyDescent="0.2">
      <c r="A352" s="53" t="s">
        <v>65</v>
      </c>
      <c r="B352" s="54" t="s">
        <v>145</v>
      </c>
      <c r="C352" s="138"/>
      <c r="D352" s="56">
        <f>D351</f>
        <v>2032000</v>
      </c>
      <c r="E352" s="56">
        <f>D352/1000</f>
        <v>2032</v>
      </c>
      <c r="F352" s="57"/>
      <c r="G352" s="41"/>
    </row>
    <row r="353" spans="1:7" ht="30" customHeight="1" x14ac:dyDescent="0.2">
      <c r="A353" s="110" t="s">
        <v>66</v>
      </c>
      <c r="B353" s="111" t="s">
        <v>126</v>
      </c>
      <c r="C353" s="60"/>
      <c r="D353" s="60">
        <f>D352</f>
        <v>2032000</v>
      </c>
      <c r="E353" s="61"/>
      <c r="F353" s="66">
        <f>D353/1000</f>
        <v>2032</v>
      </c>
    </row>
    <row r="354" spans="1:7" ht="30" customHeight="1" thickBot="1" x14ac:dyDescent="0.25">
      <c r="A354" s="1744" t="s">
        <v>80</v>
      </c>
      <c r="B354" s="1745"/>
      <c r="C354" s="1745"/>
      <c r="D354" s="1745"/>
      <c r="E354" s="1745"/>
      <c r="F354" s="67">
        <f>F353</f>
        <v>2032</v>
      </c>
      <c r="G354" s="41"/>
    </row>
    <row r="355" spans="1:7" ht="24.95" customHeight="1" thickBot="1" x14ac:dyDescent="0.25">
      <c r="A355" s="68"/>
      <c r="B355" s="68"/>
      <c r="C355" s="68"/>
      <c r="D355" s="68"/>
      <c r="E355" s="68"/>
      <c r="F355" s="69"/>
      <c r="G355" s="41"/>
    </row>
    <row r="356" spans="1:7" s="155" customFormat="1" ht="30" customHeight="1" x14ac:dyDescent="0.2">
      <c r="A356" s="1746" t="s">
        <v>190</v>
      </c>
      <c r="B356" s="1747"/>
      <c r="C356" s="1747"/>
      <c r="D356" s="1747"/>
      <c r="E356" s="1747"/>
      <c r="F356" s="1748"/>
      <c r="G356" s="156"/>
    </row>
    <row r="357" spans="1:7" s="155" customFormat="1" ht="30" customHeight="1" x14ac:dyDescent="0.2">
      <c r="A357" s="152" t="s">
        <v>26</v>
      </c>
      <c r="B357" s="153" t="s">
        <v>27</v>
      </c>
      <c r="C357" s="150">
        <v>11000</v>
      </c>
      <c r="D357" s="150"/>
      <c r="E357" s="151"/>
      <c r="F357" s="94"/>
    </row>
    <row r="358" spans="1:7" s="155" customFormat="1" ht="63" x14ac:dyDescent="0.2">
      <c r="A358" s="152" t="s">
        <v>28</v>
      </c>
      <c r="B358" s="153" t="s">
        <v>191</v>
      </c>
      <c r="C358" s="150">
        <v>49000</v>
      </c>
      <c r="D358" s="150"/>
      <c r="E358" s="151"/>
      <c r="F358" s="94"/>
    </row>
    <row r="359" spans="1:7" ht="35.1" customHeight="1" x14ac:dyDescent="0.2">
      <c r="A359" s="90" t="s">
        <v>29</v>
      </c>
      <c r="B359" s="91" t="s">
        <v>30</v>
      </c>
      <c r="C359" s="92">
        <f>SUM(C357:C358)</f>
        <v>60000</v>
      </c>
      <c r="D359" s="92"/>
      <c r="E359" s="93">
        <f>C359/1000</f>
        <v>60</v>
      </c>
      <c r="F359" s="94"/>
      <c r="G359" s="41"/>
    </row>
    <row r="360" spans="1:7" ht="56.45" customHeight="1" x14ac:dyDescent="0.2">
      <c r="A360" s="15" t="s">
        <v>31</v>
      </c>
      <c r="B360" s="16" t="s">
        <v>192</v>
      </c>
      <c r="C360" s="17">
        <v>59000</v>
      </c>
      <c r="D360" s="17"/>
      <c r="E360" s="18"/>
      <c r="F360" s="19"/>
      <c r="G360" s="41"/>
    </row>
    <row r="361" spans="1:7" ht="31.5" x14ac:dyDescent="0.2">
      <c r="A361" s="77" t="s">
        <v>32</v>
      </c>
      <c r="B361" s="36" t="s">
        <v>193</v>
      </c>
      <c r="C361" s="79">
        <v>23000</v>
      </c>
      <c r="D361" s="78"/>
      <c r="E361" s="78"/>
      <c r="F361" s="80"/>
      <c r="G361" s="41"/>
    </row>
    <row r="362" spans="1:7" ht="30" customHeight="1" x14ac:dyDescent="0.2">
      <c r="A362" s="81" t="s">
        <v>34</v>
      </c>
      <c r="B362" s="82" t="s">
        <v>35</v>
      </c>
      <c r="C362" s="83">
        <f>SUM(C360:C361)</f>
        <v>82000</v>
      </c>
      <c r="D362" s="82"/>
      <c r="E362" s="83">
        <f>C362/1000</f>
        <v>82</v>
      </c>
      <c r="F362" s="80"/>
      <c r="G362" s="41"/>
    </row>
    <row r="363" spans="1:7" ht="78.75" x14ac:dyDescent="0.2">
      <c r="A363" s="77" t="s">
        <v>88</v>
      </c>
      <c r="B363" s="78" t="s">
        <v>194</v>
      </c>
      <c r="C363" s="79">
        <v>320000</v>
      </c>
      <c r="D363" s="78"/>
      <c r="E363" s="78"/>
      <c r="F363" s="80"/>
      <c r="G363" s="41"/>
    </row>
    <row r="364" spans="1:7" ht="24.95" customHeight="1" x14ac:dyDescent="0.2">
      <c r="A364" s="77" t="s">
        <v>90</v>
      </c>
      <c r="B364" s="78" t="s">
        <v>91</v>
      </c>
      <c r="C364" s="79">
        <v>5000</v>
      </c>
      <c r="D364" s="78"/>
      <c r="E364" s="78"/>
      <c r="F364" s="80"/>
      <c r="G364" s="41"/>
    </row>
    <row r="365" spans="1:7" ht="31.5" x14ac:dyDescent="0.2">
      <c r="A365" s="35" t="s">
        <v>38</v>
      </c>
      <c r="B365" s="36" t="s">
        <v>629</v>
      </c>
      <c r="C365" s="40">
        <v>158000</v>
      </c>
      <c r="D365" s="36"/>
      <c r="E365" s="36"/>
      <c r="F365" s="39"/>
      <c r="G365" s="41"/>
    </row>
    <row r="366" spans="1:7" ht="94.9" customHeight="1" x14ac:dyDescent="0.2">
      <c r="A366" s="77" t="s">
        <v>40</v>
      </c>
      <c r="B366" s="36" t="s">
        <v>177</v>
      </c>
      <c r="C366" s="79">
        <v>35000</v>
      </c>
      <c r="D366" s="78"/>
      <c r="E366" s="78"/>
      <c r="F366" s="80"/>
      <c r="G366" s="41"/>
    </row>
    <row r="367" spans="1:7" ht="30" customHeight="1" x14ac:dyDescent="0.2">
      <c r="A367" s="81" t="s">
        <v>41</v>
      </c>
      <c r="B367" s="82" t="s">
        <v>42</v>
      </c>
      <c r="C367" s="83">
        <f>SUM(C363:C366)</f>
        <v>518000</v>
      </c>
      <c r="D367" s="82"/>
      <c r="E367" s="83">
        <f>C367/1000</f>
        <v>518</v>
      </c>
      <c r="F367" s="80"/>
      <c r="G367" s="41"/>
    </row>
    <row r="368" spans="1:7" ht="30" customHeight="1" x14ac:dyDescent="0.2">
      <c r="A368" s="77" t="s">
        <v>46</v>
      </c>
      <c r="B368" s="78" t="s">
        <v>630</v>
      </c>
      <c r="C368" s="79">
        <v>179000</v>
      </c>
      <c r="D368" s="78"/>
      <c r="E368" s="78"/>
      <c r="F368" s="80"/>
      <c r="G368" s="41"/>
    </row>
    <row r="369" spans="1:7" ht="30" customHeight="1" x14ac:dyDescent="0.2">
      <c r="A369" s="81" t="s">
        <v>48</v>
      </c>
      <c r="B369" s="82" t="s">
        <v>49</v>
      </c>
      <c r="C369" s="83">
        <f>C368</f>
        <v>179000</v>
      </c>
      <c r="D369" s="82"/>
      <c r="E369" s="83">
        <f>C369/1000</f>
        <v>179</v>
      </c>
      <c r="F369" s="80"/>
      <c r="G369" s="41"/>
    </row>
    <row r="370" spans="1:7" ht="30" customHeight="1" x14ac:dyDescent="0.2">
      <c r="A370" s="85" t="s">
        <v>50</v>
      </c>
      <c r="B370" s="86" t="s">
        <v>51</v>
      </c>
      <c r="C370" s="87">
        <f>C360+C362+C367+C369</f>
        <v>838000</v>
      </c>
      <c r="D370" s="87"/>
      <c r="E370" s="88"/>
      <c r="F370" s="89">
        <f>C370/1000</f>
        <v>838</v>
      </c>
      <c r="G370" s="41"/>
    </row>
    <row r="371" spans="1:7" ht="30" customHeight="1" thickBot="1" x14ac:dyDescent="0.25">
      <c r="A371" s="1749" t="s">
        <v>96</v>
      </c>
      <c r="B371" s="1750"/>
      <c r="C371" s="1750"/>
      <c r="D371" s="1750"/>
      <c r="E371" s="1750"/>
      <c r="F371" s="52">
        <f>SUM(F357:F370)</f>
        <v>838</v>
      </c>
      <c r="G371" s="41"/>
    </row>
    <row r="372" spans="1:7" ht="94.5" x14ac:dyDescent="0.2">
      <c r="A372" s="137" t="s">
        <v>189</v>
      </c>
      <c r="B372" s="154" t="s">
        <v>631</v>
      </c>
      <c r="C372" s="138"/>
      <c r="D372" s="138">
        <v>4036000</v>
      </c>
      <c r="E372" s="105"/>
      <c r="F372" s="57"/>
      <c r="G372" s="41"/>
    </row>
    <row r="373" spans="1:7" ht="30" customHeight="1" x14ac:dyDescent="0.2">
      <c r="A373" s="53" t="s">
        <v>65</v>
      </c>
      <c r="B373" s="54" t="s">
        <v>145</v>
      </c>
      <c r="C373" s="138"/>
      <c r="D373" s="56">
        <f>D372</f>
        <v>4036000</v>
      </c>
      <c r="E373" s="56">
        <f>D373/1000</f>
        <v>4036</v>
      </c>
      <c r="F373" s="57"/>
      <c r="G373" s="41"/>
    </row>
    <row r="374" spans="1:7" ht="30" customHeight="1" x14ac:dyDescent="0.2">
      <c r="A374" s="110" t="s">
        <v>66</v>
      </c>
      <c r="B374" s="111" t="s">
        <v>126</v>
      </c>
      <c r="C374" s="60"/>
      <c r="D374" s="60">
        <f>D373</f>
        <v>4036000</v>
      </c>
      <c r="E374" s="61"/>
      <c r="F374" s="66">
        <f>D374/1000</f>
        <v>4036</v>
      </c>
      <c r="G374" s="41"/>
    </row>
    <row r="375" spans="1:7" ht="30" customHeight="1" thickBot="1" x14ac:dyDescent="0.25">
      <c r="A375" s="1744" t="s">
        <v>80</v>
      </c>
      <c r="B375" s="1745"/>
      <c r="C375" s="1745"/>
      <c r="D375" s="1745"/>
      <c r="E375" s="1745"/>
      <c r="F375" s="67">
        <f>F374</f>
        <v>4036</v>
      </c>
      <c r="G375" s="41"/>
    </row>
    <row r="376" spans="1:7" ht="30" customHeight="1" thickBot="1" x14ac:dyDescent="0.25">
      <c r="A376" s="68"/>
      <c r="B376" s="68"/>
      <c r="C376" s="68"/>
      <c r="D376" s="68"/>
      <c r="E376" s="68"/>
      <c r="F376" s="69"/>
      <c r="G376" s="41"/>
    </row>
    <row r="377" spans="1:7" ht="30" customHeight="1" x14ac:dyDescent="0.2">
      <c r="A377" s="1746" t="s">
        <v>195</v>
      </c>
      <c r="B377" s="1747"/>
      <c r="C377" s="1747"/>
      <c r="D377" s="1747"/>
      <c r="E377" s="1747"/>
      <c r="F377" s="1748"/>
      <c r="G377" s="41"/>
    </row>
    <row r="378" spans="1:7" ht="30" customHeight="1" x14ac:dyDescent="0.2">
      <c r="A378" s="152" t="s">
        <v>196</v>
      </c>
      <c r="B378" s="16" t="s">
        <v>197</v>
      </c>
      <c r="C378" s="17">
        <v>1850000</v>
      </c>
      <c r="D378" s="17"/>
      <c r="E378" s="18"/>
      <c r="F378" s="19"/>
      <c r="G378" s="41"/>
    </row>
    <row r="379" spans="1:7" ht="30" customHeight="1" x14ac:dyDescent="0.2">
      <c r="A379" s="90" t="s">
        <v>198</v>
      </c>
      <c r="B379" s="23" t="s">
        <v>199</v>
      </c>
      <c r="C379" s="24">
        <f>C378</f>
        <v>1850000</v>
      </c>
      <c r="D379" s="24"/>
      <c r="E379" s="25">
        <f>C379/1000</f>
        <v>1850</v>
      </c>
      <c r="F379" s="51"/>
      <c r="G379" s="41"/>
    </row>
    <row r="380" spans="1:7" ht="30" customHeight="1" x14ac:dyDescent="0.2">
      <c r="A380" s="85" t="s">
        <v>54</v>
      </c>
      <c r="B380" s="28" t="s">
        <v>55</v>
      </c>
      <c r="C380" s="48">
        <f>C379</f>
        <v>1850000</v>
      </c>
      <c r="D380" s="48"/>
      <c r="E380" s="49"/>
      <c r="F380" s="50">
        <f>C380/1000</f>
        <v>1850</v>
      </c>
    </row>
    <row r="381" spans="1:7" ht="30" customHeight="1" thickBot="1" x14ac:dyDescent="0.25">
      <c r="A381" s="1749" t="s">
        <v>96</v>
      </c>
      <c r="B381" s="1750"/>
      <c r="C381" s="1750"/>
      <c r="D381" s="1750"/>
      <c r="E381" s="1750"/>
      <c r="F381" s="52">
        <f>SUM(F378:F380)</f>
        <v>1850</v>
      </c>
      <c r="G381" s="41"/>
    </row>
    <row r="382" spans="1:7" ht="24.95" customHeight="1" thickBot="1" x14ac:dyDescent="0.25">
      <c r="A382" s="68"/>
      <c r="B382" s="68"/>
      <c r="C382" s="68"/>
      <c r="D382" s="68"/>
      <c r="E382" s="68"/>
      <c r="F382" s="69"/>
      <c r="G382" s="41"/>
    </row>
    <row r="383" spans="1:7" ht="30" customHeight="1" x14ac:dyDescent="0.2">
      <c r="A383" s="1746" t="s">
        <v>200</v>
      </c>
      <c r="B383" s="1747"/>
      <c r="C383" s="1747"/>
      <c r="D383" s="1747"/>
      <c r="E383" s="1747"/>
      <c r="F383" s="1748"/>
      <c r="G383" s="41"/>
    </row>
    <row r="384" spans="1:7" ht="30" customHeight="1" x14ac:dyDescent="0.2">
      <c r="A384" s="152" t="s">
        <v>196</v>
      </c>
      <c r="B384" s="16" t="s">
        <v>201</v>
      </c>
      <c r="C384" s="17">
        <v>450000</v>
      </c>
      <c r="D384" s="17"/>
      <c r="E384" s="18"/>
      <c r="F384" s="19"/>
      <c r="G384" s="41"/>
    </row>
    <row r="385" spans="1:7" ht="30" customHeight="1" x14ac:dyDescent="0.2">
      <c r="A385" s="90" t="s">
        <v>198</v>
      </c>
      <c r="B385" s="23" t="s">
        <v>199</v>
      </c>
      <c r="C385" s="24">
        <f>C384</f>
        <v>450000</v>
      </c>
      <c r="D385" s="24"/>
      <c r="E385" s="25">
        <f>C385/1000</f>
        <v>450</v>
      </c>
      <c r="F385" s="51"/>
      <c r="G385" s="41"/>
    </row>
    <row r="386" spans="1:7" ht="30" customHeight="1" x14ac:dyDescent="0.2">
      <c r="A386" s="85" t="s">
        <v>54</v>
      </c>
      <c r="B386" s="28" t="s">
        <v>55</v>
      </c>
      <c r="C386" s="48">
        <f>C385</f>
        <v>450000</v>
      </c>
      <c r="D386" s="48"/>
      <c r="E386" s="49"/>
      <c r="F386" s="50">
        <f>C386/1000</f>
        <v>450</v>
      </c>
    </row>
    <row r="387" spans="1:7" ht="30" customHeight="1" thickBot="1" x14ac:dyDescent="0.25">
      <c r="A387" s="1749" t="s">
        <v>96</v>
      </c>
      <c r="B387" s="1750"/>
      <c r="C387" s="1750"/>
      <c r="D387" s="1750"/>
      <c r="E387" s="1750"/>
      <c r="F387" s="52">
        <f>SUM(F384:F386)</f>
        <v>450</v>
      </c>
    </row>
    <row r="388" spans="1:7" ht="24.95" customHeight="1" thickBot="1" x14ac:dyDescent="0.25">
      <c r="A388" s="68"/>
      <c r="B388" s="68"/>
      <c r="C388" s="68"/>
      <c r="D388" s="68"/>
      <c r="E388" s="68"/>
      <c r="F388" s="69"/>
      <c r="G388" s="41"/>
    </row>
    <row r="389" spans="1:7" ht="30" customHeight="1" x14ac:dyDescent="0.2">
      <c r="A389" s="1746" t="s">
        <v>202</v>
      </c>
      <c r="B389" s="1747"/>
      <c r="C389" s="1747"/>
      <c r="D389" s="1747"/>
      <c r="E389" s="1747"/>
      <c r="F389" s="1748"/>
    </row>
    <row r="390" spans="1:7" ht="67.900000000000006" customHeight="1" x14ac:dyDescent="0.2">
      <c r="A390" s="15" t="s">
        <v>15</v>
      </c>
      <c r="B390" s="16" t="s">
        <v>203</v>
      </c>
      <c r="C390" s="17">
        <v>480000</v>
      </c>
      <c r="D390" s="17"/>
      <c r="E390" s="18"/>
      <c r="F390" s="19"/>
    </row>
    <row r="391" spans="1:7" ht="30" customHeight="1" x14ac:dyDescent="0.2">
      <c r="A391" s="22" t="s">
        <v>15</v>
      </c>
      <c r="B391" s="23" t="s">
        <v>18</v>
      </c>
      <c r="C391" s="24">
        <f>SUM(C389:C390)</f>
        <v>480000</v>
      </c>
      <c r="D391" s="24"/>
      <c r="E391" s="25">
        <f>C391/1000</f>
        <v>480</v>
      </c>
      <c r="F391" s="34"/>
    </row>
    <row r="392" spans="1:7" ht="30" customHeight="1" x14ac:dyDescent="0.2">
      <c r="A392" s="47" t="s">
        <v>19</v>
      </c>
      <c r="B392" s="28" t="s">
        <v>20</v>
      </c>
      <c r="C392" s="48">
        <f>C391</f>
        <v>480000</v>
      </c>
      <c r="D392" s="48"/>
      <c r="E392" s="49"/>
      <c r="F392" s="50">
        <f>C392/1000</f>
        <v>480</v>
      </c>
    </row>
    <row r="393" spans="1:7" ht="39.950000000000003" customHeight="1" x14ac:dyDescent="0.2">
      <c r="A393" s="15" t="s">
        <v>21</v>
      </c>
      <c r="B393" s="16" t="s">
        <v>632</v>
      </c>
      <c r="C393" s="17">
        <v>84000</v>
      </c>
      <c r="D393" s="17"/>
      <c r="E393" s="18"/>
      <c r="F393" s="51"/>
      <c r="G393" s="41"/>
    </row>
    <row r="394" spans="1:7" ht="30" customHeight="1" x14ac:dyDescent="0.2">
      <c r="A394" s="22" t="s">
        <v>24</v>
      </c>
      <c r="B394" s="23" t="s">
        <v>25</v>
      </c>
      <c r="C394" s="24">
        <f>C393</f>
        <v>84000</v>
      </c>
      <c r="D394" s="24"/>
      <c r="E394" s="25">
        <f>C394/1000</f>
        <v>84</v>
      </c>
      <c r="F394" s="19"/>
    </row>
    <row r="395" spans="1:7" ht="30" customHeight="1" x14ac:dyDescent="0.2">
      <c r="A395" s="70" t="s">
        <v>24</v>
      </c>
      <c r="B395" s="71" t="s">
        <v>84</v>
      </c>
      <c r="C395" s="72">
        <f>C394</f>
        <v>84000</v>
      </c>
      <c r="D395" s="71"/>
      <c r="E395" s="71"/>
      <c r="F395" s="73">
        <f>C395/1000</f>
        <v>84</v>
      </c>
      <c r="G395" s="41"/>
    </row>
    <row r="396" spans="1:7" s="157" customFormat="1" ht="30" customHeight="1" x14ac:dyDescent="0.2">
      <c r="A396" s="77" t="s">
        <v>32</v>
      </c>
      <c r="B396" s="78" t="s">
        <v>103</v>
      </c>
      <c r="C396" s="79">
        <v>3000</v>
      </c>
      <c r="D396" s="78"/>
      <c r="E396" s="78"/>
      <c r="F396" s="80"/>
      <c r="G396" s="158"/>
    </row>
    <row r="397" spans="1:7" ht="30" customHeight="1" x14ac:dyDescent="0.2">
      <c r="A397" s="81" t="s">
        <v>34</v>
      </c>
      <c r="B397" s="82" t="s">
        <v>35</v>
      </c>
      <c r="C397" s="83">
        <f>C396</f>
        <v>3000</v>
      </c>
      <c r="D397" s="82"/>
      <c r="E397" s="82">
        <f>C397/1000</f>
        <v>3</v>
      </c>
      <c r="F397" s="80"/>
      <c r="G397" s="41"/>
    </row>
    <row r="398" spans="1:7" ht="30" customHeight="1" x14ac:dyDescent="0.2">
      <c r="A398" s="77" t="s">
        <v>46</v>
      </c>
      <c r="B398" s="78" t="s">
        <v>204</v>
      </c>
      <c r="C398" s="79">
        <v>1000</v>
      </c>
      <c r="D398" s="78"/>
      <c r="E398" s="78"/>
      <c r="F398" s="80"/>
    </row>
    <row r="399" spans="1:7" ht="30" customHeight="1" x14ac:dyDescent="0.2">
      <c r="A399" s="81" t="s">
        <v>48</v>
      </c>
      <c r="B399" s="82" t="s">
        <v>49</v>
      </c>
      <c r="C399" s="83">
        <f>C398</f>
        <v>1000</v>
      </c>
      <c r="D399" s="82"/>
      <c r="E399" s="83">
        <f>C399/1000</f>
        <v>1</v>
      </c>
      <c r="F399" s="80"/>
    </row>
    <row r="400" spans="1:7" ht="30" customHeight="1" x14ac:dyDescent="0.2">
      <c r="A400" s="85" t="s">
        <v>50</v>
      </c>
      <c r="B400" s="86" t="s">
        <v>51</v>
      </c>
      <c r="C400" s="87">
        <f>C397+C399</f>
        <v>4000</v>
      </c>
      <c r="D400" s="87"/>
      <c r="E400" s="88"/>
      <c r="F400" s="89">
        <f>C400/1000</f>
        <v>4</v>
      </c>
      <c r="G400" s="41"/>
    </row>
    <row r="401" spans="1:7" ht="30" customHeight="1" thickBot="1" x14ac:dyDescent="0.25">
      <c r="A401" s="1749" t="s">
        <v>96</v>
      </c>
      <c r="B401" s="1750"/>
      <c r="C401" s="1750"/>
      <c r="D401" s="1750"/>
      <c r="E401" s="1750"/>
      <c r="F401" s="52">
        <f>SUM(F390:F400)</f>
        <v>568</v>
      </c>
      <c r="G401" s="41"/>
    </row>
    <row r="402" spans="1:7" ht="24.95" customHeight="1" thickBot="1" x14ac:dyDescent="0.25">
      <c r="A402" s="68"/>
      <c r="B402" s="68"/>
      <c r="C402" s="68"/>
      <c r="D402" s="68"/>
      <c r="E402" s="68"/>
      <c r="F402" s="69"/>
    </row>
    <row r="403" spans="1:7" ht="30" customHeight="1" x14ac:dyDescent="0.2">
      <c r="A403" s="1746" t="s">
        <v>205</v>
      </c>
      <c r="B403" s="1747"/>
      <c r="C403" s="1747"/>
      <c r="D403" s="1747"/>
      <c r="E403" s="1747"/>
      <c r="F403" s="1748"/>
    </row>
    <row r="404" spans="1:7" ht="15.75" x14ac:dyDescent="0.2">
      <c r="A404" s="15" t="s">
        <v>7</v>
      </c>
      <c r="B404" s="16" t="s">
        <v>621</v>
      </c>
      <c r="C404" s="17">
        <v>0</v>
      </c>
      <c r="D404" s="17"/>
      <c r="E404" s="18"/>
      <c r="F404" s="19"/>
    </row>
    <row r="405" spans="1:7" ht="30" customHeight="1" x14ac:dyDescent="0.2">
      <c r="A405" s="4" t="s">
        <v>8</v>
      </c>
      <c r="B405" s="5" t="s">
        <v>82</v>
      </c>
      <c r="C405" s="6">
        <v>0</v>
      </c>
      <c r="D405" s="7"/>
      <c r="E405" s="7"/>
      <c r="F405" s="8"/>
    </row>
    <row r="406" spans="1:7" ht="30" customHeight="1" x14ac:dyDescent="0.2">
      <c r="A406" s="22" t="s">
        <v>12</v>
      </c>
      <c r="B406" s="23" t="s">
        <v>83</v>
      </c>
      <c r="C406" s="24">
        <f>SUM(C404:C405)</f>
        <v>0</v>
      </c>
      <c r="D406" s="24"/>
      <c r="E406" s="25">
        <f>C406/1000</f>
        <v>0</v>
      </c>
      <c r="F406" s="34"/>
      <c r="G406" s="41"/>
    </row>
    <row r="407" spans="1:7" ht="30" customHeight="1" x14ac:dyDescent="0.2">
      <c r="A407" s="47" t="s">
        <v>19</v>
      </c>
      <c r="B407" s="28" t="s">
        <v>20</v>
      </c>
      <c r="C407" s="48">
        <f>C406</f>
        <v>0</v>
      </c>
      <c r="D407" s="48"/>
      <c r="E407" s="49"/>
      <c r="F407" s="50">
        <f>C407/1000</f>
        <v>0</v>
      </c>
      <c r="G407" s="41"/>
    </row>
    <row r="408" spans="1:7" ht="15.75" x14ac:dyDescent="0.2">
      <c r="A408" s="15" t="s">
        <v>21</v>
      </c>
      <c r="B408" s="16" t="s">
        <v>623</v>
      </c>
      <c r="C408" s="17">
        <v>0</v>
      </c>
      <c r="D408" s="17"/>
      <c r="E408" s="18"/>
      <c r="F408" s="51"/>
    </row>
    <row r="409" spans="1:7" ht="15.75" x14ac:dyDescent="0.2">
      <c r="A409" s="15" t="s">
        <v>23</v>
      </c>
      <c r="B409" s="20" t="s">
        <v>624</v>
      </c>
      <c r="C409" s="17">
        <v>0</v>
      </c>
      <c r="D409" s="17"/>
      <c r="E409" s="18"/>
      <c r="F409" s="19"/>
    </row>
    <row r="410" spans="1:7" ht="30" customHeight="1" x14ac:dyDescent="0.2">
      <c r="A410" s="22" t="s">
        <v>24</v>
      </c>
      <c r="B410" s="23" t="s">
        <v>25</v>
      </c>
      <c r="C410" s="24">
        <f>SUM(C408:C409)</f>
        <v>0</v>
      </c>
      <c r="D410" s="24"/>
      <c r="E410" s="25">
        <f>C410/1000</f>
        <v>0</v>
      </c>
      <c r="F410" s="19"/>
    </row>
    <row r="411" spans="1:7" ht="30" customHeight="1" x14ac:dyDescent="0.2">
      <c r="A411" s="70" t="s">
        <v>24</v>
      </c>
      <c r="B411" s="71" t="s">
        <v>84</v>
      </c>
      <c r="C411" s="72">
        <f>C410</f>
        <v>0</v>
      </c>
      <c r="D411" s="71"/>
      <c r="E411" s="71"/>
      <c r="F411" s="73">
        <f>C411/1000</f>
        <v>0</v>
      </c>
      <c r="G411" s="41"/>
    </row>
    <row r="412" spans="1:7" ht="63" x14ac:dyDescent="0.2">
      <c r="A412" s="77" t="s">
        <v>28</v>
      </c>
      <c r="B412" s="78" t="s">
        <v>206</v>
      </c>
      <c r="C412" s="79">
        <v>25000</v>
      </c>
      <c r="D412" s="78"/>
      <c r="E412" s="78"/>
      <c r="F412" s="80"/>
      <c r="G412" s="41"/>
    </row>
    <row r="413" spans="1:7" ht="30" customHeight="1" x14ac:dyDescent="0.2">
      <c r="A413" s="81" t="s">
        <v>29</v>
      </c>
      <c r="B413" s="82" t="s">
        <v>30</v>
      </c>
      <c r="C413" s="83">
        <f>C412</f>
        <v>25000</v>
      </c>
      <c r="D413" s="82"/>
      <c r="E413" s="82">
        <f>C413/1000</f>
        <v>25</v>
      </c>
      <c r="F413" s="84"/>
    </row>
    <row r="414" spans="1:7" ht="63" x14ac:dyDescent="0.2">
      <c r="A414" s="35" t="s">
        <v>32</v>
      </c>
      <c r="B414" s="36" t="s">
        <v>504</v>
      </c>
      <c r="C414" s="40">
        <v>140000</v>
      </c>
      <c r="D414" s="36"/>
      <c r="E414" s="36"/>
      <c r="F414" s="39"/>
    </row>
    <row r="415" spans="1:7" ht="30" customHeight="1" x14ac:dyDescent="0.2">
      <c r="A415" s="81" t="s">
        <v>34</v>
      </c>
      <c r="B415" s="82" t="s">
        <v>35</v>
      </c>
      <c r="C415" s="83">
        <f>C414</f>
        <v>140000</v>
      </c>
      <c r="D415" s="82"/>
      <c r="E415" s="82">
        <f>C415/1000</f>
        <v>140</v>
      </c>
      <c r="F415" s="80"/>
    </row>
    <row r="416" spans="1:7" ht="78.75" x14ac:dyDescent="0.2">
      <c r="A416" s="77" t="s">
        <v>88</v>
      </c>
      <c r="B416" s="78" t="s">
        <v>207</v>
      </c>
      <c r="C416" s="79">
        <v>1328000</v>
      </c>
      <c r="D416" s="78"/>
      <c r="E416" s="78"/>
      <c r="F416" s="80"/>
    </row>
    <row r="417" spans="1:7" ht="30" customHeight="1" x14ac:dyDescent="0.2">
      <c r="A417" s="77" t="s">
        <v>38</v>
      </c>
      <c r="B417" s="78" t="s">
        <v>633</v>
      </c>
      <c r="C417" s="79">
        <v>3240000</v>
      </c>
      <c r="D417" s="78"/>
      <c r="E417" s="78"/>
      <c r="F417" s="80"/>
      <c r="G417" s="41"/>
    </row>
    <row r="418" spans="1:7" ht="75.75" customHeight="1" x14ac:dyDescent="0.2">
      <c r="A418" s="35" t="s">
        <v>40</v>
      </c>
      <c r="B418" s="36" t="s">
        <v>635</v>
      </c>
      <c r="C418" s="40">
        <v>1548000</v>
      </c>
      <c r="D418" s="36"/>
      <c r="E418" s="36"/>
      <c r="F418" s="39"/>
      <c r="G418" s="41"/>
    </row>
    <row r="419" spans="1:7" ht="30" customHeight="1" x14ac:dyDescent="0.2">
      <c r="A419" s="81" t="s">
        <v>41</v>
      </c>
      <c r="B419" s="82" t="s">
        <v>42</v>
      </c>
      <c r="C419" s="83">
        <f>SUM(C416:C418)</f>
        <v>6116000</v>
      </c>
      <c r="D419" s="82"/>
      <c r="E419" s="82">
        <f>C419/1000</f>
        <v>6116</v>
      </c>
      <c r="F419" s="80"/>
    </row>
    <row r="420" spans="1:7" ht="31.5" x14ac:dyDescent="0.2">
      <c r="A420" s="77" t="s">
        <v>46</v>
      </c>
      <c r="B420" s="78" t="s">
        <v>634</v>
      </c>
      <c r="C420" s="79">
        <v>1291000</v>
      </c>
      <c r="D420" s="78"/>
      <c r="E420" s="78"/>
      <c r="F420" s="80"/>
    </row>
    <row r="421" spans="1:7" ht="30" customHeight="1" x14ac:dyDescent="0.2">
      <c r="A421" s="81" t="s">
        <v>48</v>
      </c>
      <c r="B421" s="82" t="s">
        <v>49</v>
      </c>
      <c r="C421" s="83">
        <f>C420</f>
        <v>1291000</v>
      </c>
      <c r="D421" s="82"/>
      <c r="E421" s="82">
        <f>C421/1000</f>
        <v>1291</v>
      </c>
      <c r="F421" s="80"/>
    </row>
    <row r="422" spans="1:7" ht="30" customHeight="1" x14ac:dyDescent="0.2">
      <c r="A422" s="85" t="s">
        <v>50</v>
      </c>
      <c r="B422" s="86" t="s">
        <v>51</v>
      </c>
      <c r="C422" s="87">
        <f>C413+C415+C419+C421</f>
        <v>7572000</v>
      </c>
      <c r="D422" s="87"/>
      <c r="E422" s="88"/>
      <c r="F422" s="89">
        <f>C422/1000</f>
        <v>7572</v>
      </c>
    </row>
    <row r="423" spans="1:7" ht="78.75" x14ac:dyDescent="0.2">
      <c r="A423" s="15" t="s">
        <v>196</v>
      </c>
      <c r="B423" s="16" t="s">
        <v>940</v>
      </c>
      <c r="C423" s="17">
        <v>6120000</v>
      </c>
      <c r="D423" s="17"/>
      <c r="E423" s="18"/>
      <c r="F423" s="19"/>
    </row>
    <row r="424" spans="1:7" ht="30" customHeight="1" x14ac:dyDescent="0.2">
      <c r="A424" s="22" t="s">
        <v>198</v>
      </c>
      <c r="B424" s="23" t="s">
        <v>199</v>
      </c>
      <c r="C424" s="24">
        <f>C423</f>
        <v>6120000</v>
      </c>
      <c r="D424" s="24"/>
      <c r="E424" s="25">
        <f>C424/1000</f>
        <v>6120</v>
      </c>
      <c r="F424" s="51"/>
    </row>
    <row r="425" spans="1:7" ht="30" customHeight="1" x14ac:dyDescent="0.2">
      <c r="A425" s="47" t="s">
        <v>54</v>
      </c>
      <c r="B425" s="28" t="s">
        <v>55</v>
      </c>
      <c r="C425" s="48">
        <f>C424</f>
        <v>6120000</v>
      </c>
      <c r="D425" s="48"/>
      <c r="E425" s="49"/>
      <c r="F425" s="50">
        <f>C425/1000</f>
        <v>6120</v>
      </c>
      <c r="G425" s="41"/>
    </row>
    <row r="426" spans="1:7" ht="30" customHeight="1" x14ac:dyDescent="0.2">
      <c r="A426" s="90" t="s">
        <v>208</v>
      </c>
      <c r="B426" s="23" t="s">
        <v>209</v>
      </c>
      <c r="C426" s="24"/>
      <c r="D426" s="24"/>
      <c r="E426" s="25">
        <f>C426/1000</f>
        <v>0</v>
      </c>
      <c r="F426" s="19"/>
      <c r="G426" s="41"/>
    </row>
    <row r="427" spans="1:7" ht="30" customHeight="1" x14ac:dyDescent="0.2">
      <c r="A427" s="90" t="s">
        <v>155</v>
      </c>
      <c r="B427" s="23" t="s">
        <v>210</v>
      </c>
      <c r="C427" s="24"/>
      <c r="D427" s="24"/>
      <c r="E427" s="25">
        <f>C427/1000</f>
        <v>0</v>
      </c>
      <c r="F427" s="19"/>
      <c r="G427" s="41"/>
    </row>
    <row r="428" spans="1:7" s="157" customFormat="1" ht="30" customHeight="1" x14ac:dyDescent="0.2">
      <c r="A428" s="85" t="s">
        <v>62</v>
      </c>
      <c r="B428" s="86" t="s">
        <v>63</v>
      </c>
      <c r="C428" s="87">
        <f>C426+C427</f>
        <v>0</v>
      </c>
      <c r="D428" s="87"/>
      <c r="E428" s="88"/>
      <c r="F428" s="89">
        <f>C428/1000</f>
        <v>0</v>
      </c>
      <c r="G428" s="158"/>
    </row>
    <row r="429" spans="1:7" s="157" customFormat="1" ht="30" customHeight="1" thickBot="1" x14ac:dyDescent="0.25">
      <c r="A429" s="1749" t="s">
        <v>96</v>
      </c>
      <c r="B429" s="1750"/>
      <c r="C429" s="1750"/>
      <c r="D429" s="1750"/>
      <c r="E429" s="1750"/>
      <c r="F429" s="52">
        <f>SUM(F404:F428)</f>
        <v>13692</v>
      </c>
      <c r="G429" s="158"/>
    </row>
    <row r="430" spans="1:7" s="157" customFormat="1" ht="24.95" customHeight="1" thickBot="1" x14ac:dyDescent="0.25">
      <c r="A430" s="159"/>
      <c r="B430" s="160"/>
      <c r="C430" s="160"/>
      <c r="D430" s="160"/>
      <c r="E430" s="160"/>
      <c r="F430" s="161"/>
      <c r="G430" s="158"/>
    </row>
    <row r="431" spans="1:7" s="157" customFormat="1" ht="30" customHeight="1" x14ac:dyDescent="0.2">
      <c r="A431" s="1746" t="s">
        <v>211</v>
      </c>
      <c r="B431" s="1747"/>
      <c r="C431" s="1747"/>
      <c r="D431" s="1747"/>
      <c r="E431" s="1747"/>
      <c r="F431" s="1748"/>
      <c r="G431" s="158"/>
    </row>
    <row r="432" spans="1:7" s="157" customFormat="1" ht="30" customHeight="1" x14ac:dyDescent="0.2">
      <c r="A432" s="15" t="s">
        <v>40</v>
      </c>
      <c r="B432" s="16" t="s">
        <v>212</v>
      </c>
      <c r="C432" s="17">
        <v>900000</v>
      </c>
      <c r="D432" s="17"/>
      <c r="E432" s="18"/>
      <c r="F432" s="19"/>
      <c r="G432" s="158"/>
    </row>
    <row r="433" spans="1:7" s="157" customFormat="1" ht="30" customHeight="1" x14ac:dyDescent="0.2">
      <c r="A433" s="22" t="s">
        <v>41</v>
      </c>
      <c r="B433" s="23" t="s">
        <v>42</v>
      </c>
      <c r="C433" s="24">
        <f>C432</f>
        <v>900000</v>
      </c>
      <c r="D433" s="24"/>
      <c r="E433" s="25">
        <f>C433/1000</f>
        <v>900</v>
      </c>
      <c r="F433" s="51"/>
      <c r="G433" s="158"/>
    </row>
    <row r="434" spans="1:7" s="157" customFormat="1" ht="30" customHeight="1" x14ac:dyDescent="0.2">
      <c r="A434" s="15" t="s">
        <v>46</v>
      </c>
      <c r="B434" s="16" t="s">
        <v>113</v>
      </c>
      <c r="C434" s="17">
        <v>243000</v>
      </c>
      <c r="D434" s="17"/>
      <c r="E434" s="18"/>
      <c r="F434" s="19"/>
      <c r="G434" s="158"/>
    </row>
    <row r="435" spans="1:7" s="157" customFormat="1" ht="30" customHeight="1" x14ac:dyDescent="0.2">
      <c r="A435" s="22" t="s">
        <v>48</v>
      </c>
      <c r="B435" s="23" t="s">
        <v>49</v>
      </c>
      <c r="C435" s="24">
        <f>C434</f>
        <v>243000</v>
      </c>
      <c r="D435" s="24"/>
      <c r="E435" s="25">
        <f>C435/1000</f>
        <v>243</v>
      </c>
      <c r="F435" s="51"/>
      <c r="G435" s="158"/>
    </row>
    <row r="436" spans="1:7" s="157" customFormat="1" ht="30" customHeight="1" thickBot="1" x14ac:dyDescent="0.25">
      <c r="A436" s="146" t="s">
        <v>50</v>
      </c>
      <c r="B436" s="147" t="s">
        <v>51</v>
      </c>
      <c r="C436" s="148">
        <f>C433+C435</f>
        <v>1143000</v>
      </c>
      <c r="D436" s="147"/>
      <c r="E436" s="147"/>
      <c r="F436" s="149">
        <f>C436/1000</f>
        <v>1143</v>
      </c>
      <c r="G436" s="158"/>
    </row>
    <row r="437" spans="1:7" ht="30" customHeight="1" thickBot="1" x14ac:dyDescent="0.25">
      <c r="A437" s="1749" t="s">
        <v>96</v>
      </c>
      <c r="B437" s="1750"/>
      <c r="C437" s="1750"/>
      <c r="D437" s="1750"/>
      <c r="E437" s="1750"/>
      <c r="F437" s="52">
        <f>SUM(F434:F436)</f>
        <v>1143</v>
      </c>
    </row>
    <row r="438" spans="1:7" ht="30" customHeight="1" thickBot="1" x14ac:dyDescent="0.25">
      <c r="A438" s="879"/>
      <c r="B438" s="879"/>
      <c r="C438" s="879"/>
      <c r="D438" s="879"/>
      <c r="E438" s="879"/>
      <c r="F438" s="69"/>
    </row>
    <row r="439" spans="1:7" ht="30" customHeight="1" x14ac:dyDescent="0.2">
      <c r="A439" s="1746" t="s">
        <v>503</v>
      </c>
      <c r="B439" s="1747"/>
      <c r="C439" s="1747"/>
      <c r="D439" s="1747"/>
      <c r="E439" s="1747"/>
      <c r="F439" s="1748"/>
    </row>
    <row r="440" spans="1:7" ht="63" x14ac:dyDescent="0.2">
      <c r="A440" s="152" t="s">
        <v>196</v>
      </c>
      <c r="B440" s="16" t="s">
        <v>941</v>
      </c>
      <c r="C440" s="17">
        <v>1020000</v>
      </c>
      <c r="D440" s="17"/>
      <c r="E440" s="18"/>
      <c r="F440" s="19"/>
    </row>
    <row r="441" spans="1:7" s="32" customFormat="1" ht="30" customHeight="1" x14ac:dyDescent="0.2">
      <c r="A441" s="90" t="s">
        <v>198</v>
      </c>
      <c r="B441" s="91" t="s">
        <v>199</v>
      </c>
      <c r="C441" s="92">
        <f>C440</f>
        <v>1020000</v>
      </c>
      <c r="D441" s="92"/>
      <c r="E441" s="93">
        <f>C441/1000</f>
        <v>1020</v>
      </c>
      <c r="F441" s="97"/>
    </row>
    <row r="442" spans="1:7" ht="30" customHeight="1" x14ac:dyDescent="0.2">
      <c r="A442" s="85" t="s">
        <v>54</v>
      </c>
      <c r="B442" s="86" t="s">
        <v>55</v>
      </c>
      <c r="C442" s="87">
        <f>C441</f>
        <v>1020000</v>
      </c>
      <c r="D442" s="87"/>
      <c r="E442" s="88"/>
      <c r="F442" s="89">
        <f>C442/1000</f>
        <v>1020</v>
      </c>
    </row>
    <row r="443" spans="1:7" s="32" customFormat="1" ht="30" customHeight="1" thickBot="1" x14ac:dyDescent="0.25">
      <c r="A443" s="1749" t="s">
        <v>96</v>
      </c>
      <c r="B443" s="1750"/>
      <c r="C443" s="1750"/>
      <c r="D443" s="1750"/>
      <c r="E443" s="1750"/>
      <c r="F443" s="52">
        <f>SUM(F440:F442)</f>
        <v>1020</v>
      </c>
    </row>
    <row r="444" spans="1:7" ht="16.5" thickBot="1" x14ac:dyDescent="0.25">
      <c r="A444" s="68"/>
      <c r="B444" s="68"/>
      <c r="C444" s="68"/>
      <c r="D444" s="68"/>
      <c r="E444" s="68"/>
      <c r="F444" s="69"/>
    </row>
    <row r="445" spans="1:7" ht="30" customHeight="1" x14ac:dyDescent="0.2">
      <c r="A445" s="1746" t="s">
        <v>213</v>
      </c>
      <c r="B445" s="1747"/>
      <c r="C445" s="1747"/>
      <c r="D445" s="1747"/>
      <c r="E445" s="1747"/>
      <c r="F445" s="1748"/>
    </row>
    <row r="446" spans="1:7" ht="138.6" customHeight="1" x14ac:dyDescent="0.2">
      <c r="A446" s="152" t="s">
        <v>196</v>
      </c>
      <c r="B446" s="16" t="s">
        <v>942</v>
      </c>
      <c r="C446" s="17">
        <v>4800000</v>
      </c>
      <c r="D446" s="17"/>
      <c r="E446" s="18"/>
      <c r="F446" s="19"/>
    </row>
    <row r="447" spans="1:7" s="32" customFormat="1" ht="30" customHeight="1" x14ac:dyDescent="0.2">
      <c r="A447" s="90" t="s">
        <v>198</v>
      </c>
      <c r="B447" s="91" t="s">
        <v>199</v>
      </c>
      <c r="C447" s="92">
        <f>C446</f>
        <v>4800000</v>
      </c>
      <c r="D447" s="92"/>
      <c r="E447" s="93">
        <f>C447/1000</f>
        <v>4800</v>
      </c>
      <c r="F447" s="97"/>
    </row>
    <row r="448" spans="1:7" ht="30" customHeight="1" x14ac:dyDescent="0.2">
      <c r="A448" s="85" t="s">
        <v>54</v>
      </c>
      <c r="B448" s="86" t="s">
        <v>55</v>
      </c>
      <c r="C448" s="87">
        <f>C447</f>
        <v>4800000</v>
      </c>
      <c r="D448" s="87"/>
      <c r="E448" s="88"/>
      <c r="F448" s="89">
        <f>C448/1000</f>
        <v>4800</v>
      </c>
    </row>
    <row r="449" spans="1:7" s="32" customFormat="1" ht="30" customHeight="1" thickBot="1" x14ac:dyDescent="0.25">
      <c r="A449" s="1749" t="s">
        <v>96</v>
      </c>
      <c r="B449" s="1750"/>
      <c r="C449" s="1750"/>
      <c r="D449" s="1750"/>
      <c r="E449" s="1750"/>
      <c r="F449" s="52">
        <f>SUM(F446:F448)</f>
        <v>4800</v>
      </c>
    </row>
    <row r="450" spans="1:7" s="32" customFormat="1" ht="30" customHeight="1" thickBot="1" x14ac:dyDescent="0.25">
      <c r="A450" s="95"/>
      <c r="B450" s="95"/>
      <c r="C450" s="95"/>
      <c r="D450" s="95"/>
      <c r="E450" s="95"/>
      <c r="F450" s="96"/>
    </row>
    <row r="451" spans="1:7" ht="30" customHeight="1" x14ac:dyDescent="0.2">
      <c r="A451" s="1746" t="s">
        <v>214</v>
      </c>
      <c r="B451" s="1747"/>
      <c r="C451" s="1747"/>
      <c r="D451" s="1747"/>
      <c r="E451" s="1747"/>
      <c r="F451" s="1748"/>
      <c r="G451" s="41"/>
    </row>
    <row r="452" spans="1:7" ht="51.6" customHeight="1" x14ac:dyDescent="0.2">
      <c r="A452" s="15" t="s">
        <v>52</v>
      </c>
      <c r="B452" s="16" t="s">
        <v>502</v>
      </c>
      <c r="C452" s="17">
        <v>400000</v>
      </c>
      <c r="D452" s="17"/>
      <c r="E452" s="18"/>
      <c r="F452" s="19"/>
      <c r="G452" s="41"/>
    </row>
    <row r="453" spans="1:7" ht="30" customHeight="1" x14ac:dyDescent="0.2">
      <c r="A453" s="85" t="s">
        <v>54</v>
      </c>
      <c r="B453" s="86" t="s">
        <v>55</v>
      </c>
      <c r="C453" s="87">
        <f>C452</f>
        <v>400000</v>
      </c>
      <c r="D453" s="87"/>
      <c r="E453" s="88"/>
      <c r="F453" s="89">
        <f>C453/1000</f>
        <v>400</v>
      </c>
      <c r="G453" s="41"/>
    </row>
    <row r="454" spans="1:7" s="157" customFormat="1" ht="24.95" customHeight="1" thickBot="1" x14ac:dyDescent="0.25">
      <c r="A454" s="1749" t="s">
        <v>96</v>
      </c>
      <c r="B454" s="1750"/>
      <c r="C454" s="1750"/>
      <c r="D454" s="1750"/>
      <c r="E454" s="1750"/>
      <c r="F454" s="52">
        <f>SUM(F452:F453)</f>
        <v>400</v>
      </c>
      <c r="G454" s="158"/>
    </row>
    <row r="455" spans="1:7" ht="30" customHeight="1" thickBot="1" x14ac:dyDescent="0.25">
      <c r="A455" s="1771"/>
      <c r="B455" s="1772"/>
      <c r="C455" s="1772"/>
      <c r="D455" s="1772"/>
      <c r="E455" s="1772"/>
      <c r="F455" s="1773"/>
      <c r="G455" s="41"/>
    </row>
    <row r="456" spans="1:7" ht="30" customHeight="1" x14ac:dyDescent="0.2">
      <c r="A456" s="1746" t="s">
        <v>217</v>
      </c>
      <c r="B456" s="1747"/>
      <c r="C456" s="1747"/>
      <c r="D456" s="1747"/>
      <c r="E456" s="1747"/>
      <c r="F456" s="1748"/>
    </row>
    <row r="457" spans="1:7" ht="30" customHeight="1" x14ac:dyDescent="0.2">
      <c r="A457" s="15" t="s">
        <v>218</v>
      </c>
      <c r="B457" s="20" t="s">
        <v>501</v>
      </c>
      <c r="C457" s="17">
        <v>128000</v>
      </c>
      <c r="D457" s="17"/>
      <c r="E457" s="18"/>
      <c r="F457" s="19"/>
    </row>
    <row r="458" spans="1:7" ht="30" customHeight="1" x14ac:dyDescent="0.2">
      <c r="A458" s="22" t="s">
        <v>219</v>
      </c>
      <c r="B458" s="162" t="s">
        <v>220</v>
      </c>
      <c r="C458" s="24">
        <f>SUM(C457:C457)</f>
        <v>128000</v>
      </c>
      <c r="D458" s="24"/>
      <c r="E458" s="25">
        <f>C458/1000</f>
        <v>128</v>
      </c>
      <c r="F458" s="19"/>
    </row>
    <row r="459" spans="1:7" ht="30" customHeight="1" thickBot="1" x14ac:dyDescent="0.25">
      <c r="A459" s="146" t="s">
        <v>215</v>
      </c>
      <c r="B459" s="147" t="s">
        <v>216</v>
      </c>
      <c r="C459" s="163">
        <f>C458</f>
        <v>128000</v>
      </c>
      <c r="D459" s="163"/>
      <c r="E459" s="164"/>
      <c r="F459" s="149">
        <f>C459/1000</f>
        <v>128</v>
      </c>
    </row>
    <row r="460" spans="1:7" ht="30" customHeight="1" thickBot="1" x14ac:dyDescent="0.25">
      <c r="A460" s="1749" t="s">
        <v>96</v>
      </c>
      <c r="B460" s="1750"/>
      <c r="C460" s="1750"/>
      <c r="D460" s="1750"/>
      <c r="E460" s="1750"/>
      <c r="F460" s="52">
        <f>F459</f>
        <v>128</v>
      </c>
    </row>
    <row r="461" spans="1:7" ht="30" customHeight="1" thickBot="1" x14ac:dyDescent="0.25">
      <c r="A461" s="1770"/>
      <c r="B461" s="1770"/>
      <c r="C461" s="1770"/>
      <c r="D461" s="1770"/>
      <c r="E461" s="1770"/>
      <c r="F461" s="1770"/>
    </row>
    <row r="462" spans="1:7" ht="30" customHeight="1" x14ac:dyDescent="0.2">
      <c r="A462" s="1765" t="s">
        <v>221</v>
      </c>
      <c r="B462" s="1766"/>
      <c r="C462" s="1766"/>
      <c r="D462" s="1766"/>
      <c r="E462" s="1766"/>
      <c r="F462" s="1767"/>
    </row>
    <row r="463" spans="1:7" ht="51" customHeight="1" x14ac:dyDescent="0.2">
      <c r="A463" s="137" t="s">
        <v>222</v>
      </c>
      <c r="B463" s="105" t="s">
        <v>636</v>
      </c>
      <c r="C463" s="106"/>
      <c r="D463" s="106">
        <v>0</v>
      </c>
      <c r="E463" s="107"/>
      <c r="F463" s="57"/>
    </row>
    <row r="464" spans="1:7" ht="24.95" customHeight="1" x14ac:dyDescent="0.2">
      <c r="A464" s="53" t="s">
        <v>65</v>
      </c>
      <c r="B464" s="54" t="s">
        <v>145</v>
      </c>
      <c r="C464" s="138"/>
      <c r="D464" s="56">
        <f>D463</f>
        <v>0</v>
      </c>
      <c r="E464" s="56">
        <f>D464/1000</f>
        <v>0</v>
      </c>
      <c r="F464" s="57"/>
    </row>
    <row r="465" spans="1:6" ht="24.95" customHeight="1" x14ac:dyDescent="0.2">
      <c r="A465" s="110" t="s">
        <v>66</v>
      </c>
      <c r="B465" s="111" t="s">
        <v>126</v>
      </c>
      <c r="C465" s="60"/>
      <c r="D465" s="60">
        <f>D464</f>
        <v>0</v>
      </c>
      <c r="E465" s="61"/>
      <c r="F465" s="66">
        <f>D465/1000</f>
        <v>0</v>
      </c>
    </row>
    <row r="466" spans="1:6" ht="24.95" customHeight="1" thickBot="1" x14ac:dyDescent="0.25">
      <c r="A466" s="1744" t="s">
        <v>80</v>
      </c>
      <c r="B466" s="1745"/>
      <c r="C466" s="1745"/>
      <c r="D466" s="1745"/>
      <c r="E466" s="1745"/>
      <c r="F466" s="67">
        <f>F465</f>
        <v>0</v>
      </c>
    </row>
    <row r="467" spans="1:6" ht="24.95" customHeight="1" thickBot="1" x14ac:dyDescent="0.25">
      <c r="A467" s="68"/>
      <c r="B467" s="68"/>
      <c r="C467" s="68"/>
      <c r="D467" s="68"/>
      <c r="E467" s="68"/>
      <c r="F467" s="69"/>
    </row>
    <row r="468" spans="1:6" ht="30" customHeight="1" x14ac:dyDescent="0.2">
      <c r="A468" s="1746" t="s">
        <v>223</v>
      </c>
      <c r="B468" s="1747"/>
      <c r="C468" s="1747"/>
      <c r="D468" s="1747"/>
      <c r="E468" s="1747"/>
      <c r="F468" s="1748"/>
    </row>
    <row r="469" spans="1:6" ht="51.6" customHeight="1" x14ac:dyDescent="0.2">
      <c r="A469" s="15" t="s">
        <v>224</v>
      </c>
      <c r="B469" s="20" t="s">
        <v>500</v>
      </c>
      <c r="C469" s="17">
        <v>150000</v>
      </c>
      <c r="D469" s="17"/>
      <c r="E469" s="18"/>
      <c r="F469" s="19"/>
    </row>
    <row r="470" spans="1:6" ht="24.95" customHeight="1" x14ac:dyDescent="0.2">
      <c r="A470" s="22" t="s">
        <v>219</v>
      </c>
      <c r="B470" s="162" t="s">
        <v>220</v>
      </c>
      <c r="C470" s="24">
        <f>SUM(C469:C469)</f>
        <v>150000</v>
      </c>
      <c r="D470" s="24"/>
      <c r="E470" s="25">
        <f>C470/1000</f>
        <v>150</v>
      </c>
      <c r="F470" s="19"/>
    </row>
    <row r="471" spans="1:6" ht="24.95" customHeight="1" thickBot="1" x14ac:dyDescent="0.25">
      <c r="A471" s="146" t="s">
        <v>215</v>
      </c>
      <c r="B471" s="147" t="s">
        <v>216</v>
      </c>
      <c r="C471" s="163">
        <f>C470</f>
        <v>150000</v>
      </c>
      <c r="D471" s="163"/>
      <c r="E471" s="164"/>
      <c r="F471" s="149">
        <f>C471/1000</f>
        <v>150</v>
      </c>
    </row>
    <row r="472" spans="1:6" ht="24.95" customHeight="1" thickBot="1" x14ac:dyDescent="0.25">
      <c r="A472" s="1749" t="s">
        <v>96</v>
      </c>
      <c r="B472" s="1750"/>
      <c r="C472" s="1750"/>
      <c r="D472" s="1750"/>
      <c r="E472" s="1750"/>
      <c r="F472" s="52">
        <f>F471</f>
        <v>150</v>
      </c>
    </row>
    <row r="473" spans="1:6" ht="24.95" customHeight="1" thickBot="1" x14ac:dyDescent="0.25">
      <c r="A473" s="68"/>
      <c r="B473" s="68"/>
      <c r="C473" s="68"/>
      <c r="D473" s="68"/>
      <c r="E473" s="68"/>
      <c r="F473" s="69"/>
    </row>
    <row r="474" spans="1:6" ht="30" customHeight="1" x14ac:dyDescent="0.2">
      <c r="A474" s="1746" t="s">
        <v>225</v>
      </c>
      <c r="B474" s="1747"/>
      <c r="C474" s="1747"/>
      <c r="D474" s="1747"/>
      <c r="E474" s="1747"/>
      <c r="F474" s="1748"/>
    </row>
    <row r="475" spans="1:6" ht="70.900000000000006" customHeight="1" x14ac:dyDescent="0.2">
      <c r="A475" s="4" t="s">
        <v>7</v>
      </c>
      <c r="B475" s="5" t="s">
        <v>575</v>
      </c>
      <c r="C475" s="6">
        <v>0</v>
      </c>
      <c r="D475" s="7"/>
      <c r="E475" s="7"/>
      <c r="F475" s="8"/>
    </row>
    <row r="476" spans="1:6" ht="39.950000000000003" customHeight="1" x14ac:dyDescent="0.2">
      <c r="A476" s="4" t="s">
        <v>10</v>
      </c>
      <c r="B476" s="5" t="s">
        <v>576</v>
      </c>
      <c r="C476" s="6">
        <v>0</v>
      </c>
      <c r="D476" s="7"/>
      <c r="E476" s="7"/>
      <c r="F476" s="8"/>
    </row>
    <row r="477" spans="1:6" ht="24.95" customHeight="1" x14ac:dyDescent="0.2">
      <c r="A477" s="9" t="s">
        <v>12</v>
      </c>
      <c r="B477" s="10" t="s">
        <v>13</v>
      </c>
      <c r="C477" s="11">
        <f>SUM(C475:C476)</f>
        <v>0</v>
      </c>
      <c r="D477" s="12"/>
      <c r="E477" s="13">
        <f>C477/1000</f>
        <v>0</v>
      </c>
      <c r="F477" s="14"/>
    </row>
    <row r="478" spans="1:6" ht="24.95" customHeight="1" x14ac:dyDescent="0.2">
      <c r="A478" s="27" t="s">
        <v>19</v>
      </c>
      <c r="B478" s="28" t="s">
        <v>20</v>
      </c>
      <c r="C478" s="29">
        <f>C477+C474</f>
        <v>0</v>
      </c>
      <c r="D478" s="29"/>
      <c r="E478" s="30"/>
      <c r="F478" s="31">
        <f>C478/1000</f>
        <v>0</v>
      </c>
    </row>
    <row r="479" spans="1:6" ht="39.950000000000003" customHeight="1" x14ac:dyDescent="0.2">
      <c r="A479" s="15" t="s">
        <v>21</v>
      </c>
      <c r="B479" s="16" t="s">
        <v>623</v>
      </c>
      <c r="C479" s="17">
        <v>0</v>
      </c>
      <c r="D479" s="17"/>
      <c r="E479" s="18"/>
      <c r="F479" s="19"/>
    </row>
    <row r="480" spans="1:6" ht="30" customHeight="1" x14ac:dyDescent="0.2">
      <c r="A480" s="22" t="s">
        <v>24</v>
      </c>
      <c r="B480" s="23" t="s">
        <v>25</v>
      </c>
      <c r="C480" s="24">
        <f>SUM(C479:C479)</f>
        <v>0</v>
      </c>
      <c r="D480" s="24"/>
      <c r="E480" s="25">
        <f>C480/1000</f>
        <v>0</v>
      </c>
      <c r="F480" s="19"/>
    </row>
    <row r="481" spans="1:6" ht="30" customHeight="1" x14ac:dyDescent="0.2">
      <c r="A481" s="27" t="s">
        <v>24</v>
      </c>
      <c r="B481" s="33" t="s">
        <v>25</v>
      </c>
      <c r="C481" s="29">
        <f>C480</f>
        <v>0</v>
      </c>
      <c r="D481" s="29"/>
      <c r="E481" s="30"/>
      <c r="F481" s="34">
        <f>C481/1000</f>
        <v>0</v>
      </c>
    </row>
    <row r="482" spans="1:6" ht="30" customHeight="1" x14ac:dyDescent="0.2">
      <c r="A482" s="15" t="s">
        <v>47</v>
      </c>
      <c r="B482" s="20" t="s">
        <v>499</v>
      </c>
      <c r="C482" s="17">
        <v>0</v>
      </c>
      <c r="D482" s="17"/>
      <c r="E482" s="18"/>
      <c r="F482" s="19"/>
    </row>
    <row r="483" spans="1:6" ht="30" customHeight="1" x14ac:dyDescent="0.2">
      <c r="A483" s="22" t="s">
        <v>48</v>
      </c>
      <c r="B483" s="162" t="s">
        <v>49</v>
      </c>
      <c r="C483" s="24">
        <f>SUM(C482:C482)</f>
        <v>0</v>
      </c>
      <c r="D483" s="24"/>
      <c r="E483" s="25">
        <f>C483/1000</f>
        <v>0</v>
      </c>
      <c r="F483" s="19"/>
    </row>
    <row r="484" spans="1:6" ht="30" customHeight="1" thickBot="1" x14ac:dyDescent="0.25">
      <c r="A484" s="146" t="s">
        <v>50</v>
      </c>
      <c r="B484" s="147" t="s">
        <v>51</v>
      </c>
      <c r="C484" s="163">
        <f>C483</f>
        <v>0</v>
      </c>
      <c r="D484" s="163"/>
      <c r="E484" s="164"/>
      <c r="F484" s="149">
        <f>C484/1000</f>
        <v>0</v>
      </c>
    </row>
    <row r="485" spans="1:6" ht="30" customHeight="1" thickBot="1" x14ac:dyDescent="0.25">
      <c r="A485" s="1749" t="s">
        <v>96</v>
      </c>
      <c r="B485" s="1750"/>
      <c r="C485" s="1750"/>
      <c r="D485" s="1750"/>
      <c r="E485" s="1750"/>
      <c r="F485" s="52">
        <f>F484+F478+F481</f>
        <v>0</v>
      </c>
    </row>
    <row r="486" spans="1:6" ht="24.95" customHeight="1" thickBot="1" x14ac:dyDescent="0.25">
      <c r="A486" s="68"/>
      <c r="B486" s="68"/>
      <c r="C486" s="68"/>
      <c r="D486" s="68"/>
      <c r="E486" s="68"/>
      <c r="F486" s="69"/>
    </row>
    <row r="487" spans="1:6" ht="30" customHeight="1" x14ac:dyDescent="0.2">
      <c r="A487" s="1746" t="s">
        <v>226</v>
      </c>
      <c r="B487" s="1747"/>
      <c r="C487" s="1747"/>
      <c r="D487" s="1747"/>
      <c r="E487" s="1747"/>
      <c r="F487" s="1748"/>
    </row>
    <row r="488" spans="1:6" ht="39.950000000000003" customHeight="1" x14ac:dyDescent="0.2">
      <c r="A488" s="15" t="s">
        <v>22</v>
      </c>
      <c r="B488" s="16" t="s">
        <v>581</v>
      </c>
      <c r="C488" s="18">
        <v>0</v>
      </c>
      <c r="D488" s="165"/>
      <c r="E488" s="18"/>
      <c r="F488" s="19"/>
    </row>
    <row r="489" spans="1:6" ht="39.950000000000003" customHeight="1" x14ac:dyDescent="0.2">
      <c r="A489" s="15" t="s">
        <v>23</v>
      </c>
      <c r="B489" s="16" t="s">
        <v>637</v>
      </c>
      <c r="C489" s="18">
        <v>0</v>
      </c>
      <c r="D489" s="165"/>
      <c r="E489" s="18"/>
      <c r="F489" s="19"/>
    </row>
    <row r="490" spans="1:6" ht="30" customHeight="1" x14ac:dyDescent="0.2">
      <c r="A490" s="22" t="s">
        <v>24</v>
      </c>
      <c r="B490" s="23" t="s">
        <v>25</v>
      </c>
      <c r="C490" s="24">
        <f>SUM(C488:C489)</f>
        <v>0</v>
      </c>
      <c r="D490" s="24"/>
      <c r="E490" s="25">
        <f>C490/1000</f>
        <v>0</v>
      </c>
      <c r="F490" s="19"/>
    </row>
    <row r="491" spans="1:6" ht="30" customHeight="1" x14ac:dyDescent="0.2">
      <c r="A491" s="47" t="s">
        <v>24</v>
      </c>
      <c r="B491" s="28" t="s">
        <v>227</v>
      </c>
      <c r="C491" s="49">
        <f>C490</f>
        <v>0</v>
      </c>
      <c r="D491" s="166"/>
      <c r="E491" s="49"/>
      <c r="F491" s="50">
        <f>C491/1000</f>
        <v>0</v>
      </c>
    </row>
    <row r="492" spans="1:6" ht="30" customHeight="1" x14ac:dyDescent="0.2">
      <c r="A492" s="15" t="s">
        <v>47</v>
      </c>
      <c r="B492" s="20" t="s">
        <v>499</v>
      </c>
      <c r="C492" s="17">
        <v>0</v>
      </c>
      <c r="D492" s="17"/>
      <c r="E492" s="18"/>
      <c r="F492" s="19"/>
    </row>
    <row r="493" spans="1:6" ht="30" customHeight="1" x14ac:dyDescent="0.2">
      <c r="A493" s="22" t="s">
        <v>48</v>
      </c>
      <c r="B493" s="162" t="s">
        <v>49</v>
      </c>
      <c r="C493" s="24">
        <f>SUM(C492:C492)</f>
        <v>0</v>
      </c>
      <c r="D493" s="24"/>
      <c r="E493" s="25">
        <f>C493/1000</f>
        <v>0</v>
      </c>
      <c r="F493" s="19"/>
    </row>
    <row r="494" spans="1:6" ht="30" customHeight="1" thickBot="1" x14ac:dyDescent="0.25">
      <c r="A494" s="146" t="s">
        <v>50</v>
      </c>
      <c r="B494" s="147" t="s">
        <v>51</v>
      </c>
      <c r="C494" s="163">
        <f>C493</f>
        <v>0</v>
      </c>
      <c r="D494" s="163"/>
      <c r="E494" s="164"/>
      <c r="F494" s="149">
        <f>C494/1000</f>
        <v>0</v>
      </c>
    </row>
    <row r="495" spans="1:6" ht="30" customHeight="1" thickBot="1" x14ac:dyDescent="0.25">
      <c r="A495" s="1749" t="s">
        <v>96</v>
      </c>
      <c r="B495" s="1750"/>
      <c r="C495" s="1750"/>
      <c r="D495" s="1750"/>
      <c r="E495" s="1750"/>
      <c r="F495" s="52">
        <f>F494+F491</f>
        <v>0</v>
      </c>
    </row>
    <row r="496" spans="1:6" ht="24.95" customHeight="1" thickBot="1" x14ac:dyDescent="0.25">
      <c r="A496" s="68"/>
      <c r="B496" s="68"/>
      <c r="C496" s="68"/>
      <c r="D496" s="68"/>
      <c r="E496" s="68"/>
      <c r="F496" s="69"/>
    </row>
    <row r="497" spans="1:6" ht="30" customHeight="1" x14ac:dyDescent="0.2">
      <c r="A497" s="1746" t="s">
        <v>228</v>
      </c>
      <c r="B497" s="1747"/>
      <c r="C497" s="1747"/>
      <c r="D497" s="1747"/>
      <c r="E497" s="1747"/>
      <c r="F497" s="1748"/>
    </row>
    <row r="498" spans="1:6" ht="58.15" customHeight="1" x14ac:dyDescent="0.2">
      <c r="A498" s="15" t="s">
        <v>229</v>
      </c>
      <c r="B498" s="20" t="s">
        <v>230</v>
      </c>
      <c r="C498" s="17">
        <v>428000</v>
      </c>
      <c r="D498" s="17"/>
      <c r="E498" s="18"/>
      <c r="F498" s="19"/>
    </row>
    <row r="499" spans="1:6" ht="91.9" customHeight="1" x14ac:dyDescent="0.2">
      <c r="A499" s="15" t="s">
        <v>231</v>
      </c>
      <c r="B499" s="20" t="s">
        <v>638</v>
      </c>
      <c r="C499" s="17">
        <v>1310000</v>
      </c>
      <c r="D499" s="17"/>
      <c r="E499" s="18"/>
      <c r="F499" s="19"/>
    </row>
    <row r="500" spans="1:6" ht="54" customHeight="1" x14ac:dyDescent="0.2">
      <c r="A500" s="15" t="s">
        <v>232</v>
      </c>
      <c r="B500" s="20" t="s">
        <v>498</v>
      </c>
      <c r="C500" s="17">
        <v>742000</v>
      </c>
      <c r="D500" s="17"/>
      <c r="E500" s="18"/>
      <c r="F500" s="19"/>
    </row>
    <row r="501" spans="1:6" ht="30" customHeight="1" x14ac:dyDescent="0.2">
      <c r="A501" s="42" t="s">
        <v>219</v>
      </c>
      <c r="B501" s="167" t="s">
        <v>233</v>
      </c>
      <c r="C501" s="98">
        <f>SUM(C498:C500)</f>
        <v>2480000</v>
      </c>
      <c r="D501" s="98"/>
      <c r="E501" s="99">
        <f>C501/1000</f>
        <v>2480</v>
      </c>
      <c r="F501" s="45"/>
    </row>
    <row r="502" spans="1:6" ht="30" customHeight="1" thickBot="1" x14ac:dyDescent="0.25">
      <c r="A502" s="146" t="s">
        <v>215</v>
      </c>
      <c r="B502" s="147" t="s">
        <v>216</v>
      </c>
      <c r="C502" s="163">
        <f>C501</f>
        <v>2480000</v>
      </c>
      <c r="D502" s="163"/>
      <c r="E502" s="164"/>
      <c r="F502" s="149">
        <f>C502/1000</f>
        <v>2480</v>
      </c>
    </row>
    <row r="503" spans="1:6" ht="30" customHeight="1" thickBot="1" x14ac:dyDescent="0.25">
      <c r="A503" s="1749" t="s">
        <v>96</v>
      </c>
      <c r="B503" s="1750"/>
      <c r="C503" s="1750"/>
      <c r="D503" s="1750"/>
      <c r="E503" s="1750"/>
      <c r="F503" s="52">
        <f>F502</f>
        <v>2480</v>
      </c>
    </row>
    <row r="504" spans="1:6" ht="24.95" customHeight="1" thickBot="1" x14ac:dyDescent="0.25">
      <c r="A504" s="68"/>
      <c r="B504" s="68"/>
      <c r="C504" s="68"/>
      <c r="D504" s="68"/>
      <c r="E504" s="68"/>
      <c r="F504" s="69"/>
    </row>
    <row r="505" spans="1:6" ht="30" customHeight="1" x14ac:dyDescent="0.2">
      <c r="A505" s="1765" t="s">
        <v>234</v>
      </c>
      <c r="B505" s="1766"/>
      <c r="C505" s="1766"/>
      <c r="D505" s="1766"/>
      <c r="E505" s="1766"/>
      <c r="F505" s="1767"/>
    </row>
    <row r="506" spans="1:6" ht="30" customHeight="1" x14ac:dyDescent="0.2">
      <c r="A506" s="137" t="s">
        <v>235</v>
      </c>
      <c r="B506" s="168" t="s">
        <v>644</v>
      </c>
      <c r="C506" s="106"/>
      <c r="D506" s="106">
        <v>40000</v>
      </c>
      <c r="E506" s="107"/>
      <c r="F506" s="57"/>
    </row>
    <row r="507" spans="1:6" ht="30" customHeight="1" x14ac:dyDescent="0.2">
      <c r="A507" s="53" t="s">
        <v>236</v>
      </c>
      <c r="B507" s="169" t="s">
        <v>237</v>
      </c>
      <c r="C507" s="55"/>
      <c r="D507" s="55">
        <f>D506</f>
        <v>40000</v>
      </c>
      <c r="E507" s="64">
        <f>D507/1000</f>
        <v>40</v>
      </c>
      <c r="F507" s="57"/>
    </row>
    <row r="508" spans="1:6" ht="59.45" customHeight="1" x14ac:dyDescent="0.2">
      <c r="A508" s="137" t="s">
        <v>238</v>
      </c>
      <c r="B508" s="168" t="s">
        <v>639</v>
      </c>
      <c r="C508" s="106"/>
      <c r="D508" s="106">
        <v>7500000</v>
      </c>
      <c r="E508" s="107"/>
      <c r="F508" s="57"/>
    </row>
    <row r="509" spans="1:6" ht="30" customHeight="1" x14ac:dyDescent="0.2">
      <c r="A509" s="53" t="s">
        <v>239</v>
      </c>
      <c r="B509" s="169" t="s">
        <v>240</v>
      </c>
      <c r="C509" s="55"/>
      <c r="D509" s="55">
        <f>D508</f>
        <v>7500000</v>
      </c>
      <c r="E509" s="64">
        <f>D509/1000</f>
        <v>7500</v>
      </c>
      <c r="F509" s="57"/>
    </row>
    <row r="510" spans="1:6" ht="58.9" customHeight="1" x14ac:dyDescent="0.2">
      <c r="A510" s="137" t="s">
        <v>241</v>
      </c>
      <c r="B510" s="168" t="s">
        <v>640</v>
      </c>
      <c r="C510" s="106"/>
      <c r="D510" s="106">
        <v>72000000</v>
      </c>
      <c r="E510" s="107"/>
      <c r="F510" s="57"/>
    </row>
    <row r="511" spans="1:6" ht="58.15" customHeight="1" x14ac:dyDescent="0.2">
      <c r="A511" s="137" t="s">
        <v>242</v>
      </c>
      <c r="B511" s="168" t="s">
        <v>641</v>
      </c>
      <c r="C511" s="106"/>
      <c r="D511" s="106">
        <v>11000000</v>
      </c>
      <c r="E511" s="107"/>
      <c r="F511" s="57"/>
    </row>
    <row r="512" spans="1:6" ht="67.900000000000006" customHeight="1" x14ac:dyDescent="0.2">
      <c r="A512" s="137" t="s">
        <v>243</v>
      </c>
      <c r="B512" s="168" t="s">
        <v>642</v>
      </c>
      <c r="C512" s="106"/>
      <c r="D512" s="106">
        <v>200000</v>
      </c>
      <c r="E512" s="107"/>
      <c r="F512" s="57"/>
    </row>
    <row r="513" spans="1:6" ht="30" customHeight="1" x14ac:dyDescent="0.2">
      <c r="A513" s="53" t="s">
        <v>244</v>
      </c>
      <c r="B513" s="169" t="s">
        <v>245</v>
      </c>
      <c r="C513" s="55"/>
      <c r="D513" s="55">
        <f>SUM(D510:D512)</f>
        <v>83200000</v>
      </c>
      <c r="E513" s="64">
        <f>D513/1000</f>
        <v>83200</v>
      </c>
      <c r="F513" s="57"/>
    </row>
    <row r="514" spans="1:6" ht="84.6" customHeight="1" x14ac:dyDescent="0.2">
      <c r="A514" s="137" t="s">
        <v>246</v>
      </c>
      <c r="B514" s="168" t="s">
        <v>643</v>
      </c>
      <c r="C514" s="106"/>
      <c r="D514" s="106">
        <v>700000</v>
      </c>
      <c r="E514" s="107"/>
      <c r="F514" s="57"/>
    </row>
    <row r="515" spans="1:6" ht="30" customHeight="1" x14ac:dyDescent="0.2">
      <c r="A515" s="53" t="s">
        <v>247</v>
      </c>
      <c r="B515" s="169" t="s">
        <v>248</v>
      </c>
      <c r="C515" s="55"/>
      <c r="D515" s="55">
        <f>D514</f>
        <v>700000</v>
      </c>
      <c r="E515" s="64">
        <f>D515/1000</f>
        <v>700</v>
      </c>
      <c r="F515" s="108"/>
    </row>
    <row r="516" spans="1:6" ht="30" customHeight="1" x14ac:dyDescent="0.2">
      <c r="A516" s="58" t="s">
        <v>249</v>
      </c>
      <c r="B516" s="170" t="s">
        <v>250</v>
      </c>
      <c r="C516" s="76"/>
      <c r="D516" s="76">
        <f>D507+D509+D513+D515</f>
        <v>91440000</v>
      </c>
      <c r="E516" s="111"/>
      <c r="F516" s="66">
        <f>D516/1000</f>
        <v>91440</v>
      </c>
    </row>
    <row r="517" spans="1:6" ht="30" customHeight="1" thickBot="1" x14ac:dyDescent="0.25">
      <c r="A517" s="1744" t="s">
        <v>80</v>
      </c>
      <c r="B517" s="1745"/>
      <c r="C517" s="1745"/>
      <c r="D517" s="1745"/>
      <c r="E517" s="1745"/>
      <c r="F517" s="67">
        <f>F516</f>
        <v>91440</v>
      </c>
    </row>
    <row r="518" spans="1:6" ht="24.95" customHeight="1" thickBot="1" x14ac:dyDescent="0.25">
      <c r="A518" s="68"/>
      <c r="B518" s="68"/>
      <c r="C518" s="68"/>
      <c r="D518" s="68"/>
      <c r="E518" s="68"/>
      <c r="F518" s="69"/>
    </row>
    <row r="519" spans="1:6" ht="24.95" customHeight="1" thickBot="1" x14ac:dyDescent="0.25">
      <c r="A519" s="1770"/>
      <c r="B519" s="1770"/>
      <c r="C519" s="1770"/>
      <c r="D519" s="1770"/>
      <c r="E519" s="1770"/>
      <c r="F519" s="1770"/>
    </row>
    <row r="520" spans="1:6" ht="24.95" customHeight="1" x14ac:dyDescent="0.2">
      <c r="A520" s="911"/>
      <c r="B520" s="912"/>
      <c r="C520" s="913"/>
      <c r="D520" s="913"/>
      <c r="E520" s="914"/>
      <c r="F520" s="915"/>
    </row>
    <row r="521" spans="1:6" ht="24.95" customHeight="1" x14ac:dyDescent="0.2">
      <c r="A521" s="916"/>
      <c r="B521" s="917" t="s">
        <v>251</v>
      </c>
      <c r="C521" s="918">
        <f>F42+F78+F117+F143+F149+F172+F190+F204+F221+F227+F235+F244+F270+F297+F309+F320+F326+F350+F371+F381+F387+F401+F429+F437+F443+F449+F454+F460+F472+F485+F495+F503</f>
        <v>383781.39900000003</v>
      </c>
      <c r="D521" s="918"/>
      <c r="E521" s="919"/>
      <c r="F521" s="920"/>
    </row>
    <row r="522" spans="1:6" ht="24.95" customHeight="1" x14ac:dyDescent="0.2">
      <c r="A522" s="916"/>
      <c r="B522" s="917" t="s">
        <v>252</v>
      </c>
      <c r="C522" s="918">
        <f>F52+F82+F125+F157+F163+F196+F274+F354+F375+F466+F517</f>
        <v>383781.39899999998</v>
      </c>
      <c r="D522" s="918"/>
      <c r="E522" s="919"/>
      <c r="F522" s="920"/>
    </row>
    <row r="523" spans="1:6" ht="24.95" customHeight="1" thickBot="1" x14ac:dyDescent="0.25">
      <c r="A523" s="921"/>
      <c r="B523" s="1237" t="s">
        <v>529</v>
      </c>
      <c r="C523" s="1238">
        <f>C521-C522</f>
        <v>0</v>
      </c>
      <c r="D523" s="922"/>
      <c r="E523" s="923"/>
      <c r="F523" s="924"/>
    </row>
  </sheetData>
  <sheetProtection formatCells="0" formatColumns="0" formatRows="0" insertColumns="0" insertRows="0" insertHyperlinks="0" deleteColumns="0" deleteRows="0" sort="0" autoFilter="0" pivotTables="0"/>
  <mergeCells count="87">
    <mergeCell ref="A445:F445"/>
    <mergeCell ref="A449:E449"/>
    <mergeCell ref="A451:F451"/>
    <mergeCell ref="A472:E472"/>
    <mergeCell ref="A455:F455"/>
    <mergeCell ref="A468:F468"/>
    <mergeCell ref="A454:E454"/>
    <mergeCell ref="A456:F456"/>
    <mergeCell ref="A460:E460"/>
    <mergeCell ref="A461:F461"/>
    <mergeCell ref="A462:F462"/>
    <mergeCell ref="A466:E466"/>
    <mergeCell ref="A505:F505"/>
    <mergeCell ref="A517:E517"/>
    <mergeCell ref="A519:F519"/>
    <mergeCell ref="A474:F474"/>
    <mergeCell ref="A485:E485"/>
    <mergeCell ref="A487:F487"/>
    <mergeCell ref="A495:E495"/>
    <mergeCell ref="A497:F497"/>
    <mergeCell ref="A503:E503"/>
    <mergeCell ref="A439:F439"/>
    <mergeCell ref="A443:E443"/>
    <mergeCell ref="A371:E371"/>
    <mergeCell ref="A375:E375"/>
    <mergeCell ref="A377:F377"/>
    <mergeCell ref="A381:E381"/>
    <mergeCell ref="A383:F383"/>
    <mergeCell ref="A387:E387"/>
    <mergeCell ref="A389:F389"/>
    <mergeCell ref="A401:E401"/>
    <mergeCell ref="A403:F403"/>
    <mergeCell ref="A437:E437"/>
    <mergeCell ref="A431:F431"/>
    <mergeCell ref="A429:E429"/>
    <mergeCell ref="A311:F311"/>
    <mergeCell ref="A320:E320"/>
    <mergeCell ref="A322:F322"/>
    <mergeCell ref="A326:E326"/>
    <mergeCell ref="A328:F328"/>
    <mergeCell ref="A274:E274"/>
    <mergeCell ref="A276:F276"/>
    <mergeCell ref="A297:E297"/>
    <mergeCell ref="A299:F299"/>
    <mergeCell ref="A309:E309"/>
    <mergeCell ref="A354:E354"/>
    <mergeCell ref="A356:F356"/>
    <mergeCell ref="A246:F246"/>
    <mergeCell ref="A196:E196"/>
    <mergeCell ref="A198:F198"/>
    <mergeCell ref="A204:E204"/>
    <mergeCell ref="A206:F206"/>
    <mergeCell ref="A221:E221"/>
    <mergeCell ref="A223:F223"/>
    <mergeCell ref="A227:E227"/>
    <mergeCell ref="A229:F229"/>
    <mergeCell ref="A235:E235"/>
    <mergeCell ref="A237:F237"/>
    <mergeCell ref="A244:E244"/>
    <mergeCell ref="A350:E350"/>
    <mergeCell ref="A270:E270"/>
    <mergeCell ref="A190:E190"/>
    <mergeCell ref="A127:F127"/>
    <mergeCell ref="A143:E143"/>
    <mergeCell ref="A145:F145"/>
    <mergeCell ref="A149:E149"/>
    <mergeCell ref="A157:E157"/>
    <mergeCell ref="A159:F159"/>
    <mergeCell ref="A163:E163"/>
    <mergeCell ref="A167:A168"/>
    <mergeCell ref="A172:E172"/>
    <mergeCell ref="A174:F174"/>
    <mergeCell ref="A82:E82"/>
    <mergeCell ref="A84:F84"/>
    <mergeCell ref="A117:E117"/>
    <mergeCell ref="A125:E125"/>
    <mergeCell ref="A1:F1"/>
    <mergeCell ref="A2:A3"/>
    <mergeCell ref="B2:B3"/>
    <mergeCell ref="C2:D2"/>
    <mergeCell ref="E2:E3"/>
    <mergeCell ref="F2:F3"/>
    <mergeCell ref="A4:F4"/>
    <mergeCell ref="A42:E42"/>
    <mergeCell ref="A52:E52"/>
    <mergeCell ref="A54:F54"/>
    <mergeCell ref="A78:E78"/>
  </mergeCells>
  <printOptions horizontalCentered="1" verticalCentered="1"/>
  <pageMargins left="0.70866141732283472" right="0.70866141732283472" top="0.43307086614173229" bottom="0.35433070866141736" header="0.31496062992125984" footer="0.31496062992125984"/>
  <pageSetup paperSize="9" scale="63" fitToHeight="10" orientation="portrait" r:id="rId1"/>
  <headerFooter>
    <oddFooter>&amp;C&amp;P</oddFooter>
  </headerFooter>
  <rowBreaks count="23" manualBreakCount="23">
    <brk id="23" max="5" man="1"/>
    <brk id="42" max="5" man="1"/>
    <brk id="71" max="5" man="1"/>
    <brk id="105" max="5" man="1"/>
    <brk id="125" max="5" man="1"/>
    <brk id="157" max="5" man="1"/>
    <brk id="172" max="5" man="1"/>
    <brk id="196" max="5" man="1"/>
    <brk id="227" max="5" man="1"/>
    <brk id="245" max="5" man="1"/>
    <brk id="274" max="5" man="1"/>
    <brk id="297" max="5" man="1"/>
    <brk id="320" max="5" man="1"/>
    <brk id="350" max="5" man="1"/>
    <brk id="354" max="5" man="1"/>
    <brk id="381" max="5" man="1"/>
    <brk id="415" max="5" man="1"/>
    <brk id="443" max="5" man="1"/>
    <brk id="454" max="5" man="1"/>
    <brk id="473" max="5" man="1"/>
    <brk id="485" max="5" man="1"/>
    <brk id="503" max="5" man="1"/>
    <brk id="523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499984740745262"/>
  </sheetPr>
  <dimension ref="A1:F25"/>
  <sheetViews>
    <sheetView view="pageBreakPreview" zoomScaleNormal="100" zoomScaleSheetLayoutView="100" workbookViewId="0">
      <selection activeCell="G33" sqref="G33"/>
    </sheetView>
  </sheetViews>
  <sheetFormatPr defaultRowHeight="12.75" x14ac:dyDescent="0.25"/>
  <cols>
    <col min="1" max="1" width="52" style="1320" customWidth="1"/>
    <col min="2" max="2" width="13.42578125" style="1317" customWidth="1"/>
    <col min="3" max="3" width="14" style="1317" customWidth="1"/>
    <col min="4" max="4" width="15.42578125" style="1317" customWidth="1"/>
    <col min="5" max="5" width="14.28515625" style="1317" customWidth="1"/>
    <col min="6" max="6" width="16.140625" style="1317" customWidth="1"/>
    <col min="7" max="8" width="11" style="1245" customWidth="1"/>
    <col min="9" max="9" width="11.85546875" style="1245" customWidth="1"/>
    <col min="10" max="256" width="9.140625" style="1245"/>
    <col min="257" max="257" width="52" style="1245" customWidth="1"/>
    <col min="258" max="258" width="13.42578125" style="1245" customWidth="1"/>
    <col min="259" max="259" width="14" style="1245" customWidth="1"/>
    <col min="260" max="260" width="15.42578125" style="1245" customWidth="1"/>
    <col min="261" max="261" width="14.28515625" style="1245" customWidth="1"/>
    <col min="262" max="262" width="16.140625" style="1245" customWidth="1"/>
    <col min="263" max="264" width="11" style="1245" customWidth="1"/>
    <col min="265" max="265" width="11.85546875" style="1245" customWidth="1"/>
    <col min="266" max="512" width="9.140625" style="1245"/>
    <col min="513" max="513" width="52" style="1245" customWidth="1"/>
    <col min="514" max="514" width="13.42578125" style="1245" customWidth="1"/>
    <col min="515" max="515" width="14" style="1245" customWidth="1"/>
    <col min="516" max="516" width="15.42578125" style="1245" customWidth="1"/>
    <col min="517" max="517" width="14.28515625" style="1245" customWidth="1"/>
    <col min="518" max="518" width="16.140625" style="1245" customWidth="1"/>
    <col min="519" max="520" width="11" style="1245" customWidth="1"/>
    <col min="521" max="521" width="11.85546875" style="1245" customWidth="1"/>
    <col min="522" max="768" width="9.140625" style="1245"/>
    <col min="769" max="769" width="52" style="1245" customWidth="1"/>
    <col min="770" max="770" width="13.42578125" style="1245" customWidth="1"/>
    <col min="771" max="771" width="14" style="1245" customWidth="1"/>
    <col min="772" max="772" width="15.42578125" style="1245" customWidth="1"/>
    <col min="773" max="773" width="14.28515625" style="1245" customWidth="1"/>
    <col min="774" max="774" width="16.140625" style="1245" customWidth="1"/>
    <col min="775" max="776" width="11" style="1245" customWidth="1"/>
    <col min="777" max="777" width="11.85546875" style="1245" customWidth="1"/>
    <col min="778" max="1024" width="9.140625" style="1245"/>
    <col min="1025" max="1025" width="52" style="1245" customWidth="1"/>
    <col min="1026" max="1026" width="13.42578125" style="1245" customWidth="1"/>
    <col min="1027" max="1027" width="14" style="1245" customWidth="1"/>
    <col min="1028" max="1028" width="15.42578125" style="1245" customWidth="1"/>
    <col min="1029" max="1029" width="14.28515625" style="1245" customWidth="1"/>
    <col min="1030" max="1030" width="16.140625" style="1245" customWidth="1"/>
    <col min="1031" max="1032" width="11" style="1245" customWidth="1"/>
    <col min="1033" max="1033" width="11.85546875" style="1245" customWidth="1"/>
    <col min="1034" max="1280" width="9.140625" style="1245"/>
    <col min="1281" max="1281" width="52" style="1245" customWidth="1"/>
    <col min="1282" max="1282" width="13.42578125" style="1245" customWidth="1"/>
    <col min="1283" max="1283" width="14" style="1245" customWidth="1"/>
    <col min="1284" max="1284" width="15.42578125" style="1245" customWidth="1"/>
    <col min="1285" max="1285" width="14.28515625" style="1245" customWidth="1"/>
    <col min="1286" max="1286" width="16.140625" style="1245" customWidth="1"/>
    <col min="1287" max="1288" width="11" style="1245" customWidth="1"/>
    <col min="1289" max="1289" width="11.85546875" style="1245" customWidth="1"/>
    <col min="1290" max="1536" width="9.140625" style="1245"/>
    <col min="1537" max="1537" width="52" style="1245" customWidth="1"/>
    <col min="1538" max="1538" width="13.42578125" style="1245" customWidth="1"/>
    <col min="1539" max="1539" width="14" style="1245" customWidth="1"/>
    <col min="1540" max="1540" width="15.42578125" style="1245" customWidth="1"/>
    <col min="1541" max="1541" width="14.28515625" style="1245" customWidth="1"/>
    <col min="1542" max="1542" width="16.140625" style="1245" customWidth="1"/>
    <col min="1543" max="1544" width="11" style="1245" customWidth="1"/>
    <col min="1545" max="1545" width="11.85546875" style="1245" customWidth="1"/>
    <col min="1546" max="1792" width="9.140625" style="1245"/>
    <col min="1793" max="1793" width="52" style="1245" customWidth="1"/>
    <col min="1794" max="1794" width="13.42578125" style="1245" customWidth="1"/>
    <col min="1795" max="1795" width="14" style="1245" customWidth="1"/>
    <col min="1796" max="1796" width="15.42578125" style="1245" customWidth="1"/>
    <col min="1797" max="1797" width="14.28515625" style="1245" customWidth="1"/>
    <col min="1798" max="1798" width="16.140625" style="1245" customWidth="1"/>
    <col min="1799" max="1800" width="11" style="1245" customWidth="1"/>
    <col min="1801" max="1801" width="11.85546875" style="1245" customWidth="1"/>
    <col min="1802" max="2048" width="9.140625" style="1245"/>
    <col min="2049" max="2049" width="52" style="1245" customWidth="1"/>
    <col min="2050" max="2050" width="13.42578125" style="1245" customWidth="1"/>
    <col min="2051" max="2051" width="14" style="1245" customWidth="1"/>
    <col min="2052" max="2052" width="15.42578125" style="1245" customWidth="1"/>
    <col min="2053" max="2053" width="14.28515625" style="1245" customWidth="1"/>
    <col min="2054" max="2054" width="16.140625" style="1245" customWidth="1"/>
    <col min="2055" max="2056" width="11" style="1245" customWidth="1"/>
    <col min="2057" max="2057" width="11.85546875" style="1245" customWidth="1"/>
    <col min="2058" max="2304" width="9.140625" style="1245"/>
    <col min="2305" max="2305" width="52" style="1245" customWidth="1"/>
    <col min="2306" max="2306" width="13.42578125" style="1245" customWidth="1"/>
    <col min="2307" max="2307" width="14" style="1245" customWidth="1"/>
    <col min="2308" max="2308" width="15.42578125" style="1245" customWidth="1"/>
    <col min="2309" max="2309" width="14.28515625" style="1245" customWidth="1"/>
    <col min="2310" max="2310" width="16.140625" style="1245" customWidth="1"/>
    <col min="2311" max="2312" width="11" style="1245" customWidth="1"/>
    <col min="2313" max="2313" width="11.85546875" style="1245" customWidth="1"/>
    <col min="2314" max="2560" width="9.140625" style="1245"/>
    <col min="2561" max="2561" width="52" style="1245" customWidth="1"/>
    <col min="2562" max="2562" width="13.42578125" style="1245" customWidth="1"/>
    <col min="2563" max="2563" width="14" style="1245" customWidth="1"/>
    <col min="2564" max="2564" width="15.42578125" style="1245" customWidth="1"/>
    <col min="2565" max="2565" width="14.28515625" style="1245" customWidth="1"/>
    <col min="2566" max="2566" width="16.140625" style="1245" customWidth="1"/>
    <col min="2567" max="2568" width="11" style="1245" customWidth="1"/>
    <col min="2569" max="2569" width="11.85546875" style="1245" customWidth="1"/>
    <col min="2570" max="2816" width="9.140625" style="1245"/>
    <col min="2817" max="2817" width="52" style="1245" customWidth="1"/>
    <col min="2818" max="2818" width="13.42578125" style="1245" customWidth="1"/>
    <col min="2819" max="2819" width="14" style="1245" customWidth="1"/>
    <col min="2820" max="2820" width="15.42578125" style="1245" customWidth="1"/>
    <col min="2821" max="2821" width="14.28515625" style="1245" customWidth="1"/>
    <col min="2822" max="2822" width="16.140625" style="1245" customWidth="1"/>
    <col min="2823" max="2824" width="11" style="1245" customWidth="1"/>
    <col min="2825" max="2825" width="11.85546875" style="1245" customWidth="1"/>
    <col min="2826" max="3072" width="9.140625" style="1245"/>
    <col min="3073" max="3073" width="52" style="1245" customWidth="1"/>
    <col min="3074" max="3074" width="13.42578125" style="1245" customWidth="1"/>
    <col min="3075" max="3075" width="14" style="1245" customWidth="1"/>
    <col min="3076" max="3076" width="15.42578125" style="1245" customWidth="1"/>
    <col min="3077" max="3077" width="14.28515625" style="1245" customWidth="1"/>
    <col min="3078" max="3078" width="16.140625" style="1245" customWidth="1"/>
    <col min="3079" max="3080" width="11" style="1245" customWidth="1"/>
    <col min="3081" max="3081" width="11.85546875" style="1245" customWidth="1"/>
    <col min="3082" max="3328" width="9.140625" style="1245"/>
    <col min="3329" max="3329" width="52" style="1245" customWidth="1"/>
    <col min="3330" max="3330" width="13.42578125" style="1245" customWidth="1"/>
    <col min="3331" max="3331" width="14" style="1245" customWidth="1"/>
    <col min="3332" max="3332" width="15.42578125" style="1245" customWidth="1"/>
    <col min="3333" max="3333" width="14.28515625" style="1245" customWidth="1"/>
    <col min="3334" max="3334" width="16.140625" style="1245" customWidth="1"/>
    <col min="3335" max="3336" width="11" style="1245" customWidth="1"/>
    <col min="3337" max="3337" width="11.85546875" style="1245" customWidth="1"/>
    <col min="3338" max="3584" width="9.140625" style="1245"/>
    <col min="3585" max="3585" width="52" style="1245" customWidth="1"/>
    <col min="3586" max="3586" width="13.42578125" style="1245" customWidth="1"/>
    <col min="3587" max="3587" width="14" style="1245" customWidth="1"/>
    <col min="3588" max="3588" width="15.42578125" style="1245" customWidth="1"/>
    <col min="3589" max="3589" width="14.28515625" style="1245" customWidth="1"/>
    <col min="3590" max="3590" width="16.140625" style="1245" customWidth="1"/>
    <col min="3591" max="3592" width="11" style="1245" customWidth="1"/>
    <col min="3593" max="3593" width="11.85546875" style="1245" customWidth="1"/>
    <col min="3594" max="3840" width="9.140625" style="1245"/>
    <col min="3841" max="3841" width="52" style="1245" customWidth="1"/>
    <col min="3842" max="3842" width="13.42578125" style="1245" customWidth="1"/>
    <col min="3843" max="3843" width="14" style="1245" customWidth="1"/>
    <col min="3844" max="3844" width="15.42578125" style="1245" customWidth="1"/>
    <col min="3845" max="3845" width="14.28515625" style="1245" customWidth="1"/>
    <col min="3846" max="3846" width="16.140625" style="1245" customWidth="1"/>
    <col min="3847" max="3848" width="11" style="1245" customWidth="1"/>
    <col min="3849" max="3849" width="11.85546875" style="1245" customWidth="1"/>
    <col min="3850" max="4096" width="9.140625" style="1245"/>
    <col min="4097" max="4097" width="52" style="1245" customWidth="1"/>
    <col min="4098" max="4098" width="13.42578125" style="1245" customWidth="1"/>
    <col min="4099" max="4099" width="14" style="1245" customWidth="1"/>
    <col min="4100" max="4100" width="15.42578125" style="1245" customWidth="1"/>
    <col min="4101" max="4101" width="14.28515625" style="1245" customWidth="1"/>
    <col min="4102" max="4102" width="16.140625" style="1245" customWidth="1"/>
    <col min="4103" max="4104" width="11" style="1245" customWidth="1"/>
    <col min="4105" max="4105" width="11.85546875" style="1245" customWidth="1"/>
    <col min="4106" max="4352" width="9.140625" style="1245"/>
    <col min="4353" max="4353" width="52" style="1245" customWidth="1"/>
    <col min="4354" max="4354" width="13.42578125" style="1245" customWidth="1"/>
    <col min="4355" max="4355" width="14" style="1245" customWidth="1"/>
    <col min="4356" max="4356" width="15.42578125" style="1245" customWidth="1"/>
    <col min="4357" max="4357" width="14.28515625" style="1245" customWidth="1"/>
    <col min="4358" max="4358" width="16.140625" style="1245" customWidth="1"/>
    <col min="4359" max="4360" width="11" style="1245" customWidth="1"/>
    <col min="4361" max="4361" width="11.85546875" style="1245" customWidth="1"/>
    <col min="4362" max="4608" width="9.140625" style="1245"/>
    <col min="4609" max="4609" width="52" style="1245" customWidth="1"/>
    <col min="4610" max="4610" width="13.42578125" style="1245" customWidth="1"/>
    <col min="4611" max="4611" width="14" style="1245" customWidth="1"/>
    <col min="4612" max="4612" width="15.42578125" style="1245" customWidth="1"/>
    <col min="4613" max="4613" width="14.28515625" style="1245" customWidth="1"/>
    <col min="4614" max="4614" width="16.140625" style="1245" customWidth="1"/>
    <col min="4615" max="4616" width="11" style="1245" customWidth="1"/>
    <col min="4617" max="4617" width="11.85546875" style="1245" customWidth="1"/>
    <col min="4618" max="4864" width="9.140625" style="1245"/>
    <col min="4865" max="4865" width="52" style="1245" customWidth="1"/>
    <col min="4866" max="4866" width="13.42578125" style="1245" customWidth="1"/>
    <col min="4867" max="4867" width="14" style="1245" customWidth="1"/>
    <col min="4868" max="4868" width="15.42578125" style="1245" customWidth="1"/>
    <col min="4869" max="4869" width="14.28515625" style="1245" customWidth="1"/>
    <col min="4870" max="4870" width="16.140625" style="1245" customWidth="1"/>
    <col min="4871" max="4872" width="11" style="1245" customWidth="1"/>
    <col min="4873" max="4873" width="11.85546875" style="1245" customWidth="1"/>
    <col min="4874" max="5120" width="9.140625" style="1245"/>
    <col min="5121" max="5121" width="52" style="1245" customWidth="1"/>
    <col min="5122" max="5122" width="13.42578125" style="1245" customWidth="1"/>
    <col min="5123" max="5123" width="14" style="1245" customWidth="1"/>
    <col min="5124" max="5124" width="15.42578125" style="1245" customWidth="1"/>
    <col min="5125" max="5125" width="14.28515625" style="1245" customWidth="1"/>
    <col min="5126" max="5126" width="16.140625" style="1245" customWidth="1"/>
    <col min="5127" max="5128" width="11" style="1245" customWidth="1"/>
    <col min="5129" max="5129" width="11.85546875" style="1245" customWidth="1"/>
    <col min="5130" max="5376" width="9.140625" style="1245"/>
    <col min="5377" max="5377" width="52" style="1245" customWidth="1"/>
    <col min="5378" max="5378" width="13.42578125" style="1245" customWidth="1"/>
    <col min="5379" max="5379" width="14" style="1245" customWidth="1"/>
    <col min="5380" max="5380" width="15.42578125" style="1245" customWidth="1"/>
    <col min="5381" max="5381" width="14.28515625" style="1245" customWidth="1"/>
    <col min="5382" max="5382" width="16.140625" style="1245" customWidth="1"/>
    <col min="5383" max="5384" width="11" style="1245" customWidth="1"/>
    <col min="5385" max="5385" width="11.85546875" style="1245" customWidth="1"/>
    <col min="5386" max="5632" width="9.140625" style="1245"/>
    <col min="5633" max="5633" width="52" style="1245" customWidth="1"/>
    <col min="5634" max="5634" width="13.42578125" style="1245" customWidth="1"/>
    <col min="5635" max="5635" width="14" style="1245" customWidth="1"/>
    <col min="5636" max="5636" width="15.42578125" style="1245" customWidth="1"/>
    <col min="5637" max="5637" width="14.28515625" style="1245" customWidth="1"/>
    <col min="5638" max="5638" width="16.140625" style="1245" customWidth="1"/>
    <col min="5639" max="5640" width="11" style="1245" customWidth="1"/>
    <col min="5641" max="5641" width="11.85546875" style="1245" customWidth="1"/>
    <col min="5642" max="5888" width="9.140625" style="1245"/>
    <col min="5889" max="5889" width="52" style="1245" customWidth="1"/>
    <col min="5890" max="5890" width="13.42578125" style="1245" customWidth="1"/>
    <col min="5891" max="5891" width="14" style="1245" customWidth="1"/>
    <col min="5892" max="5892" width="15.42578125" style="1245" customWidth="1"/>
    <col min="5893" max="5893" width="14.28515625" style="1245" customWidth="1"/>
    <col min="5894" max="5894" width="16.140625" style="1245" customWidth="1"/>
    <col min="5895" max="5896" width="11" style="1245" customWidth="1"/>
    <col min="5897" max="5897" width="11.85546875" style="1245" customWidth="1"/>
    <col min="5898" max="6144" width="9.140625" style="1245"/>
    <col min="6145" max="6145" width="52" style="1245" customWidth="1"/>
    <col min="6146" max="6146" width="13.42578125" style="1245" customWidth="1"/>
    <col min="6147" max="6147" width="14" style="1245" customWidth="1"/>
    <col min="6148" max="6148" width="15.42578125" style="1245" customWidth="1"/>
    <col min="6149" max="6149" width="14.28515625" style="1245" customWidth="1"/>
    <col min="6150" max="6150" width="16.140625" style="1245" customWidth="1"/>
    <col min="6151" max="6152" width="11" style="1245" customWidth="1"/>
    <col min="6153" max="6153" width="11.85546875" style="1245" customWidth="1"/>
    <col min="6154" max="6400" width="9.140625" style="1245"/>
    <col min="6401" max="6401" width="52" style="1245" customWidth="1"/>
    <col min="6402" max="6402" width="13.42578125" style="1245" customWidth="1"/>
    <col min="6403" max="6403" width="14" style="1245" customWidth="1"/>
    <col min="6404" max="6404" width="15.42578125" style="1245" customWidth="1"/>
    <col min="6405" max="6405" width="14.28515625" style="1245" customWidth="1"/>
    <col min="6406" max="6406" width="16.140625" style="1245" customWidth="1"/>
    <col min="6407" max="6408" width="11" style="1245" customWidth="1"/>
    <col min="6409" max="6409" width="11.85546875" style="1245" customWidth="1"/>
    <col min="6410" max="6656" width="9.140625" style="1245"/>
    <col min="6657" max="6657" width="52" style="1245" customWidth="1"/>
    <col min="6658" max="6658" width="13.42578125" style="1245" customWidth="1"/>
    <col min="6659" max="6659" width="14" style="1245" customWidth="1"/>
    <col min="6660" max="6660" width="15.42578125" style="1245" customWidth="1"/>
    <col min="6661" max="6661" width="14.28515625" style="1245" customWidth="1"/>
    <col min="6662" max="6662" width="16.140625" style="1245" customWidth="1"/>
    <col min="6663" max="6664" width="11" style="1245" customWidth="1"/>
    <col min="6665" max="6665" width="11.85546875" style="1245" customWidth="1"/>
    <col min="6666" max="6912" width="9.140625" style="1245"/>
    <col min="6913" max="6913" width="52" style="1245" customWidth="1"/>
    <col min="6914" max="6914" width="13.42578125" style="1245" customWidth="1"/>
    <col min="6915" max="6915" width="14" style="1245" customWidth="1"/>
    <col min="6916" max="6916" width="15.42578125" style="1245" customWidth="1"/>
    <col min="6917" max="6917" width="14.28515625" style="1245" customWidth="1"/>
    <col min="6918" max="6918" width="16.140625" style="1245" customWidth="1"/>
    <col min="6919" max="6920" width="11" style="1245" customWidth="1"/>
    <col min="6921" max="6921" width="11.85546875" style="1245" customWidth="1"/>
    <col min="6922" max="7168" width="9.140625" style="1245"/>
    <col min="7169" max="7169" width="52" style="1245" customWidth="1"/>
    <col min="7170" max="7170" width="13.42578125" style="1245" customWidth="1"/>
    <col min="7171" max="7171" width="14" style="1245" customWidth="1"/>
    <col min="7172" max="7172" width="15.42578125" style="1245" customWidth="1"/>
    <col min="7173" max="7173" width="14.28515625" style="1245" customWidth="1"/>
    <col min="7174" max="7174" width="16.140625" style="1245" customWidth="1"/>
    <col min="7175" max="7176" width="11" style="1245" customWidth="1"/>
    <col min="7177" max="7177" width="11.85546875" style="1245" customWidth="1"/>
    <col min="7178" max="7424" width="9.140625" style="1245"/>
    <col min="7425" max="7425" width="52" style="1245" customWidth="1"/>
    <col min="7426" max="7426" width="13.42578125" style="1245" customWidth="1"/>
    <col min="7427" max="7427" width="14" style="1245" customWidth="1"/>
    <col min="7428" max="7428" width="15.42578125" style="1245" customWidth="1"/>
    <col min="7429" max="7429" width="14.28515625" style="1245" customWidth="1"/>
    <col min="7430" max="7430" width="16.140625" style="1245" customWidth="1"/>
    <col min="7431" max="7432" width="11" style="1245" customWidth="1"/>
    <col min="7433" max="7433" width="11.85546875" style="1245" customWidth="1"/>
    <col min="7434" max="7680" width="9.140625" style="1245"/>
    <col min="7681" max="7681" width="52" style="1245" customWidth="1"/>
    <col min="7682" max="7682" width="13.42578125" style="1245" customWidth="1"/>
    <col min="7683" max="7683" width="14" style="1245" customWidth="1"/>
    <col min="7684" max="7684" width="15.42578125" style="1245" customWidth="1"/>
    <col min="7685" max="7685" width="14.28515625" style="1245" customWidth="1"/>
    <col min="7686" max="7686" width="16.140625" style="1245" customWidth="1"/>
    <col min="7687" max="7688" width="11" style="1245" customWidth="1"/>
    <col min="7689" max="7689" width="11.85546875" style="1245" customWidth="1"/>
    <col min="7690" max="7936" width="9.140625" style="1245"/>
    <col min="7937" max="7937" width="52" style="1245" customWidth="1"/>
    <col min="7938" max="7938" width="13.42578125" style="1245" customWidth="1"/>
    <col min="7939" max="7939" width="14" style="1245" customWidth="1"/>
    <col min="7940" max="7940" width="15.42578125" style="1245" customWidth="1"/>
    <col min="7941" max="7941" width="14.28515625" style="1245" customWidth="1"/>
    <col min="7942" max="7942" width="16.140625" style="1245" customWidth="1"/>
    <col min="7943" max="7944" width="11" style="1245" customWidth="1"/>
    <col min="7945" max="7945" width="11.85546875" style="1245" customWidth="1"/>
    <col min="7946" max="8192" width="9.140625" style="1245"/>
    <col min="8193" max="8193" width="52" style="1245" customWidth="1"/>
    <col min="8194" max="8194" width="13.42578125" style="1245" customWidth="1"/>
    <col min="8195" max="8195" width="14" style="1245" customWidth="1"/>
    <col min="8196" max="8196" width="15.42578125" style="1245" customWidth="1"/>
    <col min="8197" max="8197" width="14.28515625" style="1245" customWidth="1"/>
    <col min="8198" max="8198" width="16.140625" style="1245" customWidth="1"/>
    <col min="8199" max="8200" width="11" style="1245" customWidth="1"/>
    <col min="8201" max="8201" width="11.85546875" style="1245" customWidth="1"/>
    <col min="8202" max="8448" width="9.140625" style="1245"/>
    <col min="8449" max="8449" width="52" style="1245" customWidth="1"/>
    <col min="8450" max="8450" width="13.42578125" style="1245" customWidth="1"/>
    <col min="8451" max="8451" width="14" style="1245" customWidth="1"/>
    <col min="8452" max="8452" width="15.42578125" style="1245" customWidth="1"/>
    <col min="8453" max="8453" width="14.28515625" style="1245" customWidth="1"/>
    <col min="8454" max="8454" width="16.140625" style="1245" customWidth="1"/>
    <col min="8455" max="8456" width="11" style="1245" customWidth="1"/>
    <col min="8457" max="8457" width="11.85546875" style="1245" customWidth="1"/>
    <col min="8458" max="8704" width="9.140625" style="1245"/>
    <col min="8705" max="8705" width="52" style="1245" customWidth="1"/>
    <col min="8706" max="8706" width="13.42578125" style="1245" customWidth="1"/>
    <col min="8707" max="8707" width="14" style="1245" customWidth="1"/>
    <col min="8708" max="8708" width="15.42578125" style="1245" customWidth="1"/>
    <col min="8709" max="8709" width="14.28515625" style="1245" customWidth="1"/>
    <col min="8710" max="8710" width="16.140625" style="1245" customWidth="1"/>
    <col min="8711" max="8712" width="11" style="1245" customWidth="1"/>
    <col min="8713" max="8713" width="11.85546875" style="1245" customWidth="1"/>
    <col min="8714" max="8960" width="9.140625" style="1245"/>
    <col min="8961" max="8961" width="52" style="1245" customWidth="1"/>
    <col min="8962" max="8962" width="13.42578125" style="1245" customWidth="1"/>
    <col min="8963" max="8963" width="14" style="1245" customWidth="1"/>
    <col min="8964" max="8964" width="15.42578125" style="1245" customWidth="1"/>
    <col min="8965" max="8965" width="14.28515625" style="1245" customWidth="1"/>
    <col min="8966" max="8966" width="16.140625" style="1245" customWidth="1"/>
    <col min="8967" max="8968" width="11" style="1245" customWidth="1"/>
    <col min="8969" max="8969" width="11.85546875" style="1245" customWidth="1"/>
    <col min="8970" max="9216" width="9.140625" style="1245"/>
    <col min="9217" max="9217" width="52" style="1245" customWidth="1"/>
    <col min="9218" max="9218" width="13.42578125" style="1245" customWidth="1"/>
    <col min="9219" max="9219" width="14" style="1245" customWidth="1"/>
    <col min="9220" max="9220" width="15.42578125" style="1245" customWidth="1"/>
    <col min="9221" max="9221" width="14.28515625" style="1245" customWidth="1"/>
    <col min="9222" max="9222" width="16.140625" style="1245" customWidth="1"/>
    <col min="9223" max="9224" width="11" style="1245" customWidth="1"/>
    <col min="9225" max="9225" width="11.85546875" style="1245" customWidth="1"/>
    <col min="9226" max="9472" width="9.140625" style="1245"/>
    <col min="9473" max="9473" width="52" style="1245" customWidth="1"/>
    <col min="9474" max="9474" width="13.42578125" style="1245" customWidth="1"/>
    <col min="9475" max="9475" width="14" style="1245" customWidth="1"/>
    <col min="9476" max="9476" width="15.42578125" style="1245" customWidth="1"/>
    <col min="9477" max="9477" width="14.28515625" style="1245" customWidth="1"/>
    <col min="9478" max="9478" width="16.140625" style="1245" customWidth="1"/>
    <col min="9479" max="9480" width="11" style="1245" customWidth="1"/>
    <col min="9481" max="9481" width="11.85546875" style="1245" customWidth="1"/>
    <col min="9482" max="9728" width="9.140625" style="1245"/>
    <col min="9729" max="9729" width="52" style="1245" customWidth="1"/>
    <col min="9730" max="9730" width="13.42578125" style="1245" customWidth="1"/>
    <col min="9731" max="9731" width="14" style="1245" customWidth="1"/>
    <col min="9732" max="9732" width="15.42578125" style="1245" customWidth="1"/>
    <col min="9733" max="9733" width="14.28515625" style="1245" customWidth="1"/>
    <col min="9734" max="9734" width="16.140625" style="1245" customWidth="1"/>
    <col min="9735" max="9736" width="11" style="1245" customWidth="1"/>
    <col min="9737" max="9737" width="11.85546875" style="1245" customWidth="1"/>
    <col min="9738" max="9984" width="9.140625" style="1245"/>
    <col min="9985" max="9985" width="52" style="1245" customWidth="1"/>
    <col min="9986" max="9986" width="13.42578125" style="1245" customWidth="1"/>
    <col min="9987" max="9987" width="14" style="1245" customWidth="1"/>
    <col min="9988" max="9988" width="15.42578125" style="1245" customWidth="1"/>
    <col min="9989" max="9989" width="14.28515625" style="1245" customWidth="1"/>
    <col min="9990" max="9990" width="16.140625" style="1245" customWidth="1"/>
    <col min="9991" max="9992" width="11" style="1245" customWidth="1"/>
    <col min="9993" max="9993" width="11.85546875" style="1245" customWidth="1"/>
    <col min="9994" max="10240" width="9.140625" style="1245"/>
    <col min="10241" max="10241" width="52" style="1245" customWidth="1"/>
    <col min="10242" max="10242" width="13.42578125" style="1245" customWidth="1"/>
    <col min="10243" max="10243" width="14" style="1245" customWidth="1"/>
    <col min="10244" max="10244" width="15.42578125" style="1245" customWidth="1"/>
    <col min="10245" max="10245" width="14.28515625" style="1245" customWidth="1"/>
    <col min="10246" max="10246" width="16.140625" style="1245" customWidth="1"/>
    <col min="10247" max="10248" width="11" style="1245" customWidth="1"/>
    <col min="10249" max="10249" width="11.85546875" style="1245" customWidth="1"/>
    <col min="10250" max="10496" width="9.140625" style="1245"/>
    <col min="10497" max="10497" width="52" style="1245" customWidth="1"/>
    <col min="10498" max="10498" width="13.42578125" style="1245" customWidth="1"/>
    <col min="10499" max="10499" width="14" style="1245" customWidth="1"/>
    <col min="10500" max="10500" width="15.42578125" style="1245" customWidth="1"/>
    <col min="10501" max="10501" width="14.28515625" style="1245" customWidth="1"/>
    <col min="10502" max="10502" width="16.140625" style="1245" customWidth="1"/>
    <col min="10503" max="10504" width="11" style="1245" customWidth="1"/>
    <col min="10505" max="10505" width="11.85546875" style="1245" customWidth="1"/>
    <col min="10506" max="10752" width="9.140625" style="1245"/>
    <col min="10753" max="10753" width="52" style="1245" customWidth="1"/>
    <col min="10754" max="10754" width="13.42578125" style="1245" customWidth="1"/>
    <col min="10755" max="10755" width="14" style="1245" customWidth="1"/>
    <col min="10756" max="10756" width="15.42578125" style="1245" customWidth="1"/>
    <col min="10757" max="10757" width="14.28515625" style="1245" customWidth="1"/>
    <col min="10758" max="10758" width="16.140625" style="1245" customWidth="1"/>
    <col min="10759" max="10760" width="11" style="1245" customWidth="1"/>
    <col min="10761" max="10761" width="11.85546875" style="1245" customWidth="1"/>
    <col min="10762" max="11008" width="9.140625" style="1245"/>
    <col min="11009" max="11009" width="52" style="1245" customWidth="1"/>
    <col min="11010" max="11010" width="13.42578125" style="1245" customWidth="1"/>
    <col min="11011" max="11011" width="14" style="1245" customWidth="1"/>
    <col min="11012" max="11012" width="15.42578125" style="1245" customWidth="1"/>
    <col min="11013" max="11013" width="14.28515625" style="1245" customWidth="1"/>
    <col min="11014" max="11014" width="16.140625" style="1245" customWidth="1"/>
    <col min="11015" max="11016" width="11" style="1245" customWidth="1"/>
    <col min="11017" max="11017" width="11.85546875" style="1245" customWidth="1"/>
    <col min="11018" max="11264" width="9.140625" style="1245"/>
    <col min="11265" max="11265" width="52" style="1245" customWidth="1"/>
    <col min="11266" max="11266" width="13.42578125" style="1245" customWidth="1"/>
    <col min="11267" max="11267" width="14" style="1245" customWidth="1"/>
    <col min="11268" max="11268" width="15.42578125" style="1245" customWidth="1"/>
    <col min="11269" max="11269" width="14.28515625" style="1245" customWidth="1"/>
    <col min="11270" max="11270" width="16.140625" style="1245" customWidth="1"/>
    <col min="11271" max="11272" width="11" style="1245" customWidth="1"/>
    <col min="11273" max="11273" width="11.85546875" style="1245" customWidth="1"/>
    <col min="11274" max="11520" width="9.140625" style="1245"/>
    <col min="11521" max="11521" width="52" style="1245" customWidth="1"/>
    <col min="11522" max="11522" width="13.42578125" style="1245" customWidth="1"/>
    <col min="11523" max="11523" width="14" style="1245" customWidth="1"/>
    <col min="11524" max="11524" width="15.42578125" style="1245" customWidth="1"/>
    <col min="11525" max="11525" width="14.28515625" style="1245" customWidth="1"/>
    <col min="11526" max="11526" width="16.140625" style="1245" customWidth="1"/>
    <col min="11527" max="11528" width="11" style="1245" customWidth="1"/>
    <col min="11529" max="11529" width="11.85546875" style="1245" customWidth="1"/>
    <col min="11530" max="11776" width="9.140625" style="1245"/>
    <col min="11777" max="11777" width="52" style="1245" customWidth="1"/>
    <col min="11778" max="11778" width="13.42578125" style="1245" customWidth="1"/>
    <col min="11779" max="11779" width="14" style="1245" customWidth="1"/>
    <col min="11780" max="11780" width="15.42578125" style="1245" customWidth="1"/>
    <col min="11781" max="11781" width="14.28515625" style="1245" customWidth="1"/>
    <col min="11782" max="11782" width="16.140625" style="1245" customWidth="1"/>
    <col min="11783" max="11784" width="11" style="1245" customWidth="1"/>
    <col min="11785" max="11785" width="11.85546875" style="1245" customWidth="1"/>
    <col min="11786" max="12032" width="9.140625" style="1245"/>
    <col min="12033" max="12033" width="52" style="1245" customWidth="1"/>
    <col min="12034" max="12034" width="13.42578125" style="1245" customWidth="1"/>
    <col min="12035" max="12035" width="14" style="1245" customWidth="1"/>
    <col min="12036" max="12036" width="15.42578125" style="1245" customWidth="1"/>
    <col min="12037" max="12037" width="14.28515625" style="1245" customWidth="1"/>
    <col min="12038" max="12038" width="16.140625" style="1245" customWidth="1"/>
    <col min="12039" max="12040" width="11" style="1245" customWidth="1"/>
    <col min="12041" max="12041" width="11.85546875" style="1245" customWidth="1"/>
    <col min="12042" max="12288" width="9.140625" style="1245"/>
    <col min="12289" max="12289" width="52" style="1245" customWidth="1"/>
    <col min="12290" max="12290" width="13.42578125" style="1245" customWidth="1"/>
    <col min="12291" max="12291" width="14" style="1245" customWidth="1"/>
    <col min="12292" max="12292" width="15.42578125" style="1245" customWidth="1"/>
    <col min="12293" max="12293" width="14.28515625" style="1245" customWidth="1"/>
    <col min="12294" max="12294" width="16.140625" style="1245" customWidth="1"/>
    <col min="12295" max="12296" width="11" style="1245" customWidth="1"/>
    <col min="12297" max="12297" width="11.85546875" style="1245" customWidth="1"/>
    <col min="12298" max="12544" width="9.140625" style="1245"/>
    <col min="12545" max="12545" width="52" style="1245" customWidth="1"/>
    <col min="12546" max="12546" width="13.42578125" style="1245" customWidth="1"/>
    <col min="12547" max="12547" width="14" style="1245" customWidth="1"/>
    <col min="12548" max="12548" width="15.42578125" style="1245" customWidth="1"/>
    <col min="12549" max="12549" width="14.28515625" style="1245" customWidth="1"/>
    <col min="12550" max="12550" width="16.140625" style="1245" customWidth="1"/>
    <col min="12551" max="12552" width="11" style="1245" customWidth="1"/>
    <col min="12553" max="12553" width="11.85546875" style="1245" customWidth="1"/>
    <col min="12554" max="12800" width="9.140625" style="1245"/>
    <col min="12801" max="12801" width="52" style="1245" customWidth="1"/>
    <col min="12802" max="12802" width="13.42578125" style="1245" customWidth="1"/>
    <col min="12803" max="12803" width="14" style="1245" customWidth="1"/>
    <col min="12804" max="12804" width="15.42578125" style="1245" customWidth="1"/>
    <col min="12805" max="12805" width="14.28515625" style="1245" customWidth="1"/>
    <col min="12806" max="12806" width="16.140625" style="1245" customWidth="1"/>
    <col min="12807" max="12808" width="11" style="1245" customWidth="1"/>
    <col min="12809" max="12809" width="11.85546875" style="1245" customWidth="1"/>
    <col min="12810" max="13056" width="9.140625" style="1245"/>
    <col min="13057" max="13057" width="52" style="1245" customWidth="1"/>
    <col min="13058" max="13058" width="13.42578125" style="1245" customWidth="1"/>
    <col min="13059" max="13059" width="14" style="1245" customWidth="1"/>
    <col min="13060" max="13060" width="15.42578125" style="1245" customWidth="1"/>
    <col min="13061" max="13061" width="14.28515625" style="1245" customWidth="1"/>
    <col min="13062" max="13062" width="16.140625" style="1245" customWidth="1"/>
    <col min="13063" max="13064" width="11" style="1245" customWidth="1"/>
    <col min="13065" max="13065" width="11.85546875" style="1245" customWidth="1"/>
    <col min="13066" max="13312" width="9.140625" style="1245"/>
    <col min="13313" max="13313" width="52" style="1245" customWidth="1"/>
    <col min="13314" max="13314" width="13.42578125" style="1245" customWidth="1"/>
    <col min="13315" max="13315" width="14" style="1245" customWidth="1"/>
    <col min="13316" max="13316" width="15.42578125" style="1245" customWidth="1"/>
    <col min="13317" max="13317" width="14.28515625" style="1245" customWidth="1"/>
    <col min="13318" max="13318" width="16.140625" style="1245" customWidth="1"/>
    <col min="13319" max="13320" width="11" style="1245" customWidth="1"/>
    <col min="13321" max="13321" width="11.85546875" style="1245" customWidth="1"/>
    <col min="13322" max="13568" width="9.140625" style="1245"/>
    <col min="13569" max="13569" width="52" style="1245" customWidth="1"/>
    <col min="13570" max="13570" width="13.42578125" style="1245" customWidth="1"/>
    <col min="13571" max="13571" width="14" style="1245" customWidth="1"/>
    <col min="13572" max="13572" width="15.42578125" style="1245" customWidth="1"/>
    <col min="13573" max="13573" width="14.28515625" style="1245" customWidth="1"/>
    <col min="13574" max="13574" width="16.140625" style="1245" customWidth="1"/>
    <col min="13575" max="13576" width="11" style="1245" customWidth="1"/>
    <col min="13577" max="13577" width="11.85546875" style="1245" customWidth="1"/>
    <col min="13578" max="13824" width="9.140625" style="1245"/>
    <col min="13825" max="13825" width="52" style="1245" customWidth="1"/>
    <col min="13826" max="13826" width="13.42578125" style="1245" customWidth="1"/>
    <col min="13827" max="13827" width="14" style="1245" customWidth="1"/>
    <col min="13828" max="13828" width="15.42578125" style="1245" customWidth="1"/>
    <col min="13829" max="13829" width="14.28515625" style="1245" customWidth="1"/>
    <col min="13830" max="13830" width="16.140625" style="1245" customWidth="1"/>
    <col min="13831" max="13832" width="11" style="1245" customWidth="1"/>
    <col min="13833" max="13833" width="11.85546875" style="1245" customWidth="1"/>
    <col min="13834" max="14080" width="9.140625" style="1245"/>
    <col min="14081" max="14081" width="52" style="1245" customWidth="1"/>
    <col min="14082" max="14082" width="13.42578125" style="1245" customWidth="1"/>
    <col min="14083" max="14083" width="14" style="1245" customWidth="1"/>
    <col min="14084" max="14084" width="15.42578125" style="1245" customWidth="1"/>
    <col min="14085" max="14085" width="14.28515625" style="1245" customWidth="1"/>
    <col min="14086" max="14086" width="16.140625" style="1245" customWidth="1"/>
    <col min="14087" max="14088" width="11" style="1245" customWidth="1"/>
    <col min="14089" max="14089" width="11.85546875" style="1245" customWidth="1"/>
    <col min="14090" max="14336" width="9.140625" style="1245"/>
    <col min="14337" max="14337" width="52" style="1245" customWidth="1"/>
    <col min="14338" max="14338" width="13.42578125" style="1245" customWidth="1"/>
    <col min="14339" max="14339" width="14" style="1245" customWidth="1"/>
    <col min="14340" max="14340" width="15.42578125" style="1245" customWidth="1"/>
    <col min="14341" max="14341" width="14.28515625" style="1245" customWidth="1"/>
    <col min="14342" max="14342" width="16.140625" style="1245" customWidth="1"/>
    <col min="14343" max="14344" width="11" style="1245" customWidth="1"/>
    <col min="14345" max="14345" width="11.85546875" style="1245" customWidth="1"/>
    <col min="14346" max="14592" width="9.140625" style="1245"/>
    <col min="14593" max="14593" width="52" style="1245" customWidth="1"/>
    <col min="14594" max="14594" width="13.42578125" style="1245" customWidth="1"/>
    <col min="14595" max="14595" width="14" style="1245" customWidth="1"/>
    <col min="14596" max="14596" width="15.42578125" style="1245" customWidth="1"/>
    <col min="14597" max="14597" width="14.28515625" style="1245" customWidth="1"/>
    <col min="14598" max="14598" width="16.140625" style="1245" customWidth="1"/>
    <col min="14599" max="14600" width="11" style="1245" customWidth="1"/>
    <col min="14601" max="14601" width="11.85546875" style="1245" customWidth="1"/>
    <col min="14602" max="14848" width="9.140625" style="1245"/>
    <col min="14849" max="14849" width="52" style="1245" customWidth="1"/>
    <col min="14850" max="14850" width="13.42578125" style="1245" customWidth="1"/>
    <col min="14851" max="14851" width="14" style="1245" customWidth="1"/>
    <col min="14852" max="14852" width="15.42578125" style="1245" customWidth="1"/>
    <col min="14853" max="14853" width="14.28515625" style="1245" customWidth="1"/>
    <col min="14854" max="14854" width="16.140625" style="1245" customWidth="1"/>
    <col min="14855" max="14856" width="11" style="1245" customWidth="1"/>
    <col min="14857" max="14857" width="11.85546875" style="1245" customWidth="1"/>
    <col min="14858" max="15104" width="9.140625" style="1245"/>
    <col min="15105" max="15105" width="52" style="1245" customWidth="1"/>
    <col min="15106" max="15106" width="13.42578125" style="1245" customWidth="1"/>
    <col min="15107" max="15107" width="14" style="1245" customWidth="1"/>
    <col min="15108" max="15108" width="15.42578125" style="1245" customWidth="1"/>
    <col min="15109" max="15109" width="14.28515625" style="1245" customWidth="1"/>
    <col min="15110" max="15110" width="16.140625" style="1245" customWidth="1"/>
    <col min="15111" max="15112" width="11" style="1245" customWidth="1"/>
    <col min="15113" max="15113" width="11.85546875" style="1245" customWidth="1"/>
    <col min="15114" max="15360" width="9.140625" style="1245"/>
    <col min="15361" max="15361" width="52" style="1245" customWidth="1"/>
    <col min="15362" max="15362" width="13.42578125" style="1245" customWidth="1"/>
    <col min="15363" max="15363" width="14" style="1245" customWidth="1"/>
    <col min="15364" max="15364" width="15.42578125" style="1245" customWidth="1"/>
    <col min="15365" max="15365" width="14.28515625" style="1245" customWidth="1"/>
    <col min="15366" max="15366" width="16.140625" style="1245" customWidth="1"/>
    <col min="15367" max="15368" width="11" style="1245" customWidth="1"/>
    <col min="15369" max="15369" width="11.85546875" style="1245" customWidth="1"/>
    <col min="15370" max="15616" width="9.140625" style="1245"/>
    <col min="15617" max="15617" width="52" style="1245" customWidth="1"/>
    <col min="15618" max="15618" width="13.42578125" style="1245" customWidth="1"/>
    <col min="15619" max="15619" width="14" style="1245" customWidth="1"/>
    <col min="15620" max="15620" width="15.42578125" style="1245" customWidth="1"/>
    <col min="15621" max="15621" width="14.28515625" style="1245" customWidth="1"/>
    <col min="15622" max="15622" width="16.140625" style="1245" customWidth="1"/>
    <col min="15623" max="15624" width="11" style="1245" customWidth="1"/>
    <col min="15625" max="15625" width="11.85546875" style="1245" customWidth="1"/>
    <col min="15626" max="15872" width="9.140625" style="1245"/>
    <col min="15873" max="15873" width="52" style="1245" customWidth="1"/>
    <col min="15874" max="15874" width="13.42578125" style="1245" customWidth="1"/>
    <col min="15875" max="15875" width="14" style="1245" customWidth="1"/>
    <col min="15876" max="15876" width="15.42578125" style="1245" customWidth="1"/>
    <col min="15877" max="15877" width="14.28515625" style="1245" customWidth="1"/>
    <col min="15878" max="15878" width="16.140625" style="1245" customWidth="1"/>
    <col min="15879" max="15880" width="11" style="1245" customWidth="1"/>
    <col min="15881" max="15881" width="11.85546875" style="1245" customWidth="1"/>
    <col min="15882" max="16128" width="9.140625" style="1245"/>
    <col min="16129" max="16129" width="52" style="1245" customWidth="1"/>
    <col min="16130" max="16130" width="13.42578125" style="1245" customWidth="1"/>
    <col min="16131" max="16131" width="14" style="1245" customWidth="1"/>
    <col min="16132" max="16132" width="15.42578125" style="1245" customWidth="1"/>
    <col min="16133" max="16133" width="14.28515625" style="1245" customWidth="1"/>
    <col min="16134" max="16134" width="16.140625" style="1245" customWidth="1"/>
    <col min="16135" max="16136" width="11" style="1245" customWidth="1"/>
    <col min="16137" max="16137" width="11.85546875" style="1245" customWidth="1"/>
    <col min="16138" max="16384" width="9.140625" style="1245"/>
  </cols>
  <sheetData>
    <row r="1" spans="1:6" ht="24.75" customHeight="1" x14ac:dyDescent="0.25">
      <c r="A1" s="1844" t="s">
        <v>1101</v>
      </c>
      <c r="B1" s="1844"/>
      <c r="C1" s="1844"/>
      <c r="D1" s="1844"/>
      <c r="E1" s="1844"/>
      <c r="F1" s="1844"/>
    </row>
    <row r="2" spans="1:6" ht="23.25" customHeight="1" thickBot="1" x14ac:dyDescent="0.3">
      <c r="F2" s="1453" t="s">
        <v>654</v>
      </c>
    </row>
    <row r="3" spans="1:6" s="1327" customFormat="1" ht="48.75" customHeight="1" thickBot="1" x14ac:dyDescent="0.3">
      <c r="A3" s="1325" t="s">
        <v>1102</v>
      </c>
      <c r="B3" s="1326" t="s">
        <v>1090</v>
      </c>
      <c r="C3" s="1326" t="s">
        <v>1091</v>
      </c>
      <c r="D3" s="1326" t="s">
        <v>1096</v>
      </c>
      <c r="E3" s="1326" t="s">
        <v>1097</v>
      </c>
      <c r="F3" s="1454" t="s">
        <v>1104</v>
      </c>
    </row>
    <row r="4" spans="1:6" ht="15" customHeight="1" thickBot="1" x14ac:dyDescent="0.3">
      <c r="A4" s="1455">
        <v>1</v>
      </c>
      <c r="B4" s="1456">
        <v>2</v>
      </c>
      <c r="C4" s="1456">
        <v>3</v>
      </c>
      <c r="D4" s="1456">
        <v>4</v>
      </c>
      <c r="E4" s="1456">
        <v>5</v>
      </c>
      <c r="F4" s="1457">
        <v>6</v>
      </c>
    </row>
    <row r="5" spans="1:6" ht="15.95" customHeight="1" x14ac:dyDescent="0.25">
      <c r="A5" s="1470" t="s">
        <v>1103</v>
      </c>
      <c r="B5" s="1458">
        <v>494494</v>
      </c>
      <c r="C5" s="1459" t="s">
        <v>1099</v>
      </c>
      <c r="D5" s="1458"/>
      <c r="E5" s="1458">
        <f>B5</f>
        <v>494494</v>
      </c>
      <c r="F5" s="1460"/>
    </row>
    <row r="6" spans="1:6" ht="15.95" customHeight="1" x14ac:dyDescent="0.25">
      <c r="A6" s="1461" t="s">
        <v>1105</v>
      </c>
      <c r="B6" s="1458">
        <v>401000</v>
      </c>
      <c r="C6" s="1459" t="s">
        <v>1099</v>
      </c>
      <c r="D6" s="1458"/>
      <c r="E6" s="1458">
        <f t="shared" ref="E6:E11" si="0">B6</f>
        <v>401000</v>
      </c>
      <c r="F6" s="1460"/>
    </row>
    <row r="7" spans="1:6" ht="15.95" customHeight="1" x14ac:dyDescent="0.25">
      <c r="A7" s="1461" t="s">
        <v>1106</v>
      </c>
      <c r="B7" s="1458">
        <v>19989292</v>
      </c>
      <c r="C7" s="1459" t="s">
        <v>1099</v>
      </c>
      <c r="D7" s="1458"/>
      <c r="E7" s="1458">
        <f t="shared" si="0"/>
        <v>19989292</v>
      </c>
      <c r="F7" s="1460"/>
    </row>
    <row r="8" spans="1:6" ht="15.95" customHeight="1" x14ac:dyDescent="0.25">
      <c r="A8" s="1461" t="s">
        <v>1107</v>
      </c>
      <c r="B8" s="1458">
        <v>1791158</v>
      </c>
      <c r="C8" s="1459" t="s">
        <v>1099</v>
      </c>
      <c r="D8" s="1458"/>
      <c r="E8" s="1458">
        <f t="shared" si="0"/>
        <v>1791158</v>
      </c>
      <c r="F8" s="1460"/>
    </row>
    <row r="9" spans="1:6" ht="15.95" customHeight="1" x14ac:dyDescent="0.25">
      <c r="A9" s="1461" t="s">
        <v>1118</v>
      </c>
      <c r="B9" s="1458">
        <v>30529412</v>
      </c>
      <c r="C9" s="1459" t="s">
        <v>1099</v>
      </c>
      <c r="D9" s="1458"/>
      <c r="E9" s="1458">
        <f t="shared" si="0"/>
        <v>30529412</v>
      </c>
      <c r="F9" s="1460"/>
    </row>
    <row r="10" spans="1:6" ht="15.95" customHeight="1" x14ac:dyDescent="0.25">
      <c r="A10" s="1470" t="s">
        <v>1236</v>
      </c>
      <c r="B10" s="1458">
        <v>254000</v>
      </c>
      <c r="C10" s="1459" t="s">
        <v>1099</v>
      </c>
      <c r="D10" s="1458"/>
      <c r="E10" s="1458">
        <f t="shared" si="0"/>
        <v>254000</v>
      </c>
      <c r="F10" s="1460"/>
    </row>
    <row r="11" spans="1:6" ht="15.95" customHeight="1" x14ac:dyDescent="0.25">
      <c r="A11" s="1461"/>
      <c r="B11" s="1458"/>
      <c r="C11" s="1459"/>
      <c r="D11" s="1458"/>
      <c r="E11" s="1458">
        <f t="shared" si="0"/>
        <v>0</v>
      </c>
      <c r="F11" s="1460"/>
    </row>
    <row r="12" spans="1:6" ht="15.95" customHeight="1" x14ac:dyDescent="0.25">
      <c r="A12" s="1461"/>
      <c r="B12" s="1458"/>
      <c r="C12" s="1459"/>
      <c r="D12" s="1458"/>
      <c r="E12" s="1458"/>
      <c r="F12" s="1460"/>
    </row>
    <row r="13" spans="1:6" ht="15.95" customHeight="1" x14ac:dyDescent="0.25">
      <c r="A13" s="1461"/>
      <c r="B13" s="1458"/>
      <c r="C13" s="1459"/>
      <c r="D13" s="1458"/>
      <c r="E13" s="1458"/>
      <c r="F13" s="1460"/>
    </row>
    <row r="14" spans="1:6" ht="15.95" customHeight="1" x14ac:dyDescent="0.25">
      <c r="A14" s="1461"/>
      <c r="B14" s="1458"/>
      <c r="C14" s="1459"/>
      <c r="D14" s="1458"/>
      <c r="E14" s="1458"/>
      <c r="F14" s="1460"/>
    </row>
    <row r="15" spans="1:6" ht="15.95" customHeight="1" x14ac:dyDescent="0.25">
      <c r="A15" s="1461"/>
      <c r="B15" s="1458"/>
      <c r="C15" s="1459"/>
      <c r="D15" s="1458"/>
      <c r="E15" s="1458"/>
      <c r="F15" s="1460">
        <f t="shared" ref="F15:F23" si="1">B15-D15-E15</f>
        <v>0</v>
      </c>
    </row>
    <row r="16" spans="1:6" ht="15.95" customHeight="1" x14ac:dyDescent="0.25">
      <c r="A16" s="1461"/>
      <c r="B16" s="1458"/>
      <c r="C16" s="1459"/>
      <c r="D16" s="1458"/>
      <c r="E16" s="1458"/>
      <c r="F16" s="1460">
        <f t="shared" si="1"/>
        <v>0</v>
      </c>
    </row>
    <row r="17" spans="1:6" ht="15.95" customHeight="1" x14ac:dyDescent="0.25">
      <c r="A17" s="1461"/>
      <c r="B17" s="1458"/>
      <c r="C17" s="1459"/>
      <c r="D17" s="1458"/>
      <c r="E17" s="1458"/>
      <c r="F17" s="1460">
        <f t="shared" si="1"/>
        <v>0</v>
      </c>
    </row>
    <row r="18" spans="1:6" ht="15.95" customHeight="1" x14ac:dyDescent="0.25">
      <c r="A18" s="1461"/>
      <c r="B18" s="1458"/>
      <c r="C18" s="1459"/>
      <c r="D18" s="1458"/>
      <c r="E18" s="1458"/>
      <c r="F18" s="1460">
        <f t="shared" si="1"/>
        <v>0</v>
      </c>
    </row>
    <row r="19" spans="1:6" ht="15.95" customHeight="1" x14ac:dyDescent="0.25">
      <c r="A19" s="1461"/>
      <c r="B19" s="1458"/>
      <c r="C19" s="1459"/>
      <c r="D19" s="1458"/>
      <c r="E19" s="1458"/>
      <c r="F19" s="1460">
        <f t="shared" si="1"/>
        <v>0</v>
      </c>
    </row>
    <row r="20" spans="1:6" ht="15.95" customHeight="1" x14ac:dyDescent="0.25">
      <c r="A20" s="1461"/>
      <c r="B20" s="1458"/>
      <c r="C20" s="1459"/>
      <c r="D20" s="1458"/>
      <c r="E20" s="1458"/>
      <c r="F20" s="1460">
        <f t="shared" si="1"/>
        <v>0</v>
      </c>
    </row>
    <row r="21" spans="1:6" ht="15.95" customHeight="1" x14ac:dyDescent="0.25">
      <c r="A21" s="1461"/>
      <c r="B21" s="1458"/>
      <c r="C21" s="1459"/>
      <c r="D21" s="1458"/>
      <c r="E21" s="1458"/>
      <c r="F21" s="1460">
        <f t="shared" si="1"/>
        <v>0</v>
      </c>
    </row>
    <row r="22" spans="1:6" ht="15.95" customHeight="1" x14ac:dyDescent="0.25">
      <c r="A22" s="1461"/>
      <c r="B22" s="1458"/>
      <c r="C22" s="1459"/>
      <c r="D22" s="1458"/>
      <c r="E22" s="1458"/>
      <c r="F22" s="1460">
        <f t="shared" si="1"/>
        <v>0</v>
      </c>
    </row>
    <row r="23" spans="1:6" ht="15.95" customHeight="1" thickBot="1" x14ac:dyDescent="0.3">
      <c r="A23" s="1462"/>
      <c r="B23" s="1463"/>
      <c r="C23" s="1464"/>
      <c r="D23" s="1463"/>
      <c r="E23" s="1463"/>
      <c r="F23" s="1465">
        <f t="shared" si="1"/>
        <v>0</v>
      </c>
    </row>
    <row r="24" spans="1:6" s="1448" customFormat="1" ht="18" customHeight="1" thickBot="1" x14ac:dyDescent="0.3">
      <c r="A24" s="1466" t="s">
        <v>1095</v>
      </c>
      <c r="B24" s="1467">
        <f>SUM(B5:B23)</f>
        <v>53459356</v>
      </c>
      <c r="C24" s="1468"/>
      <c r="D24" s="1467">
        <f>SUM(D5:D23)</f>
        <v>0</v>
      </c>
      <c r="E24" s="1467">
        <f>SUM(E5:E23)</f>
        <v>53459356</v>
      </c>
      <c r="F24" s="1469">
        <f>SUM(F5:F23)</f>
        <v>0</v>
      </c>
    </row>
    <row r="25" spans="1:6" x14ac:dyDescent="0.25">
      <c r="A25" s="1845"/>
      <c r="B25" s="1846"/>
      <c r="C25" s="1846"/>
    </row>
  </sheetData>
  <sheetProtection selectLockedCells="1" selectUnlockedCells="1"/>
  <mergeCells count="2">
    <mergeCell ref="A1:F1"/>
    <mergeCell ref="A25:C25"/>
  </mergeCells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r:id="rId1"/>
  <headerFooter alignWithMargins="0">
    <oddHeader xml:space="preserve">&amp;R&amp;"Times New Roman CE,Félkövér dőlt"&amp;12 &amp;11 6. melléklet a 7/2020 (VII.06.) önkormányzati rendelethez&amp;"Times New Roman CE,Normál"&amp;10
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BA153"/>
  <sheetViews>
    <sheetView view="pageBreakPreview" zoomScaleNormal="100" zoomScaleSheetLayoutView="100" workbookViewId="0">
      <selection activeCell="G33" sqref="G33"/>
    </sheetView>
  </sheetViews>
  <sheetFormatPr defaultRowHeight="12.75" x14ac:dyDescent="0.25"/>
  <cols>
    <col min="1" max="1" width="16.7109375" style="1224" customWidth="1"/>
    <col min="2" max="2" width="52.5703125" style="1225" customWidth="1"/>
    <col min="3" max="3" width="11" style="1226" customWidth="1"/>
    <col min="4" max="4" width="13.42578125" style="1226" customWidth="1"/>
    <col min="5" max="5" width="11.28515625" style="1117" hidden="1" customWidth="1"/>
    <col min="6" max="6" width="10.28515625" style="1117" hidden="1" customWidth="1"/>
    <col min="7" max="7" width="13.85546875" style="1117" hidden="1" customWidth="1"/>
    <col min="8" max="9" width="7.85546875" style="1117" hidden="1" customWidth="1"/>
    <col min="10" max="10" width="10.85546875" style="1117" hidden="1" customWidth="1"/>
    <col min="11" max="11" width="13" style="1117" hidden="1" customWidth="1"/>
    <col min="12" max="12" width="11.42578125" style="1117" hidden="1" customWidth="1"/>
    <col min="13" max="13" width="10" style="1117" hidden="1" customWidth="1"/>
    <col min="14" max="14" width="7.85546875" style="1117" hidden="1" customWidth="1"/>
    <col min="15" max="15" width="10.140625" style="1117" hidden="1" customWidth="1"/>
    <col min="16" max="16" width="10.5703125" style="1117" hidden="1" customWidth="1"/>
    <col min="17" max="17" width="7.85546875" style="1117" hidden="1" customWidth="1"/>
    <col min="18" max="18" width="10.85546875" style="1117" hidden="1" customWidth="1"/>
    <col min="19" max="19" width="10.7109375" style="1117" hidden="1" customWidth="1"/>
    <col min="20" max="20" width="11" style="1117" hidden="1" customWidth="1"/>
    <col min="21" max="23" width="7.85546875" style="1117" hidden="1" customWidth="1"/>
    <col min="24" max="24" width="11.28515625" style="1117" hidden="1" customWidth="1"/>
    <col min="25" max="25" width="12.42578125" style="1117" hidden="1" customWidth="1"/>
    <col min="26" max="26" width="11" style="1117" hidden="1" customWidth="1"/>
    <col min="27" max="28" width="7.85546875" style="1117" hidden="1" customWidth="1"/>
    <col min="29" max="29" width="11" style="1117" hidden="1" customWidth="1"/>
    <col min="30" max="30" width="10.5703125" style="1117" hidden="1" customWidth="1"/>
    <col min="31" max="32" width="11" style="1117" hidden="1" customWidth="1"/>
    <col min="33" max="37" width="7.85546875" style="1117" hidden="1" customWidth="1"/>
    <col min="38" max="38" width="8.42578125" style="1117" hidden="1" customWidth="1"/>
    <col min="39" max="39" width="11.42578125" style="1117" hidden="1" customWidth="1"/>
    <col min="40" max="40" width="7.85546875" style="1117" hidden="1" customWidth="1"/>
    <col min="41" max="41" width="9.5703125" style="1117" hidden="1" customWidth="1"/>
    <col min="42" max="42" width="7.85546875" style="1117" hidden="1" customWidth="1"/>
    <col min="43" max="43" width="12" style="1117" hidden="1" customWidth="1"/>
    <col min="44" max="44" width="13.42578125" style="1117" hidden="1" customWidth="1"/>
    <col min="45" max="45" width="9.5703125" style="1117" hidden="1" customWidth="1"/>
    <col min="46" max="46" width="9.140625" style="1118" hidden="1" customWidth="1"/>
    <col min="47" max="65" width="9.140625" style="1118" customWidth="1"/>
    <col min="66" max="256" width="9.140625" style="1118"/>
    <col min="257" max="257" width="16.7109375" style="1118" customWidth="1"/>
    <col min="258" max="258" width="52.5703125" style="1118" customWidth="1"/>
    <col min="259" max="259" width="11" style="1118" customWidth="1"/>
    <col min="260" max="260" width="13.42578125" style="1118" customWidth="1"/>
    <col min="261" max="261" width="11.28515625" style="1118" customWidth="1"/>
    <col min="262" max="262" width="10.28515625" style="1118" customWidth="1"/>
    <col min="263" max="263" width="13.85546875" style="1118" customWidth="1"/>
    <col min="264" max="265" width="7.85546875" style="1118" customWidth="1"/>
    <col min="266" max="266" width="10.85546875" style="1118" customWidth="1"/>
    <col min="267" max="267" width="13" style="1118" customWidth="1"/>
    <col min="268" max="268" width="11.42578125" style="1118" customWidth="1"/>
    <col min="269" max="269" width="10" style="1118" customWidth="1"/>
    <col min="270" max="270" width="7.85546875" style="1118" customWidth="1"/>
    <col min="271" max="271" width="10.140625" style="1118" customWidth="1"/>
    <col min="272" max="273" width="7.85546875" style="1118" customWidth="1"/>
    <col min="274" max="274" width="10.85546875" style="1118" customWidth="1"/>
    <col min="275" max="275" width="10.7109375" style="1118" customWidth="1"/>
    <col min="276" max="276" width="11" style="1118" customWidth="1"/>
    <col min="277" max="279" width="7.85546875" style="1118" customWidth="1"/>
    <col min="280" max="280" width="11.28515625" style="1118" customWidth="1"/>
    <col min="281" max="281" width="12.42578125" style="1118" customWidth="1"/>
    <col min="282" max="282" width="11" style="1118" customWidth="1"/>
    <col min="283" max="284" width="7.85546875" style="1118" customWidth="1"/>
    <col min="285" max="285" width="11" style="1118" customWidth="1"/>
    <col min="286" max="286" width="10.5703125" style="1118" customWidth="1"/>
    <col min="287" max="288" width="11" style="1118" customWidth="1"/>
    <col min="289" max="293" width="7.85546875" style="1118" bestFit="1" customWidth="1"/>
    <col min="294" max="294" width="8.42578125" style="1118" bestFit="1" customWidth="1"/>
    <col min="295" max="295" width="11.42578125" style="1118" customWidth="1"/>
    <col min="296" max="296" width="7.85546875" style="1118" bestFit="1" customWidth="1"/>
    <col min="297" max="297" width="9.5703125" style="1118" customWidth="1"/>
    <col min="298" max="298" width="7.85546875" style="1118" bestFit="1" customWidth="1"/>
    <col min="299" max="299" width="12" style="1118" customWidth="1"/>
    <col min="300" max="300" width="13.42578125" style="1118" customWidth="1"/>
    <col min="301" max="301" width="9.5703125" style="1118" bestFit="1" customWidth="1"/>
    <col min="302" max="308" width="9.140625" style="1118" customWidth="1"/>
    <col min="309" max="512" width="9.140625" style="1118"/>
    <col min="513" max="513" width="16.7109375" style="1118" customWidth="1"/>
    <col min="514" max="514" width="52.5703125" style="1118" customWidth="1"/>
    <col min="515" max="515" width="11" style="1118" customWidth="1"/>
    <col min="516" max="516" width="13.42578125" style="1118" customWidth="1"/>
    <col min="517" max="517" width="11.28515625" style="1118" customWidth="1"/>
    <col min="518" max="518" width="10.28515625" style="1118" customWidth="1"/>
    <col min="519" max="519" width="13.85546875" style="1118" customWidth="1"/>
    <col min="520" max="521" width="7.85546875" style="1118" customWidth="1"/>
    <col min="522" max="522" width="10.85546875" style="1118" customWidth="1"/>
    <col min="523" max="523" width="13" style="1118" customWidth="1"/>
    <col min="524" max="524" width="11.42578125" style="1118" customWidth="1"/>
    <col min="525" max="525" width="10" style="1118" customWidth="1"/>
    <col min="526" max="526" width="7.85546875" style="1118" customWidth="1"/>
    <col min="527" max="527" width="10.140625" style="1118" customWidth="1"/>
    <col min="528" max="529" width="7.85546875" style="1118" customWidth="1"/>
    <col min="530" max="530" width="10.85546875" style="1118" customWidth="1"/>
    <col min="531" max="531" width="10.7109375" style="1118" customWidth="1"/>
    <col min="532" max="532" width="11" style="1118" customWidth="1"/>
    <col min="533" max="535" width="7.85546875" style="1118" customWidth="1"/>
    <col min="536" max="536" width="11.28515625" style="1118" customWidth="1"/>
    <col min="537" max="537" width="12.42578125" style="1118" customWidth="1"/>
    <col min="538" max="538" width="11" style="1118" customWidth="1"/>
    <col min="539" max="540" width="7.85546875" style="1118" customWidth="1"/>
    <col min="541" max="541" width="11" style="1118" customWidth="1"/>
    <col min="542" max="542" width="10.5703125" style="1118" customWidth="1"/>
    <col min="543" max="544" width="11" style="1118" customWidth="1"/>
    <col min="545" max="549" width="7.85546875" style="1118" bestFit="1" customWidth="1"/>
    <col min="550" max="550" width="8.42578125" style="1118" bestFit="1" customWidth="1"/>
    <col min="551" max="551" width="11.42578125" style="1118" customWidth="1"/>
    <col min="552" max="552" width="7.85546875" style="1118" bestFit="1" customWidth="1"/>
    <col min="553" max="553" width="9.5703125" style="1118" customWidth="1"/>
    <col min="554" max="554" width="7.85546875" style="1118" bestFit="1" customWidth="1"/>
    <col min="555" max="555" width="12" style="1118" customWidth="1"/>
    <col min="556" max="556" width="13.42578125" style="1118" customWidth="1"/>
    <col min="557" max="557" width="9.5703125" style="1118" bestFit="1" customWidth="1"/>
    <col min="558" max="564" width="9.140625" style="1118" customWidth="1"/>
    <col min="565" max="768" width="9.140625" style="1118"/>
    <col min="769" max="769" width="16.7109375" style="1118" customWidth="1"/>
    <col min="770" max="770" width="52.5703125" style="1118" customWidth="1"/>
    <col min="771" max="771" width="11" style="1118" customWidth="1"/>
    <col min="772" max="772" width="13.42578125" style="1118" customWidth="1"/>
    <col min="773" max="773" width="11.28515625" style="1118" customWidth="1"/>
    <col min="774" max="774" width="10.28515625" style="1118" customWidth="1"/>
    <col min="775" max="775" width="13.85546875" style="1118" customWidth="1"/>
    <col min="776" max="777" width="7.85546875" style="1118" customWidth="1"/>
    <col min="778" max="778" width="10.85546875" style="1118" customWidth="1"/>
    <col min="779" max="779" width="13" style="1118" customWidth="1"/>
    <col min="780" max="780" width="11.42578125" style="1118" customWidth="1"/>
    <col min="781" max="781" width="10" style="1118" customWidth="1"/>
    <col min="782" max="782" width="7.85546875" style="1118" customWidth="1"/>
    <col min="783" max="783" width="10.140625" style="1118" customWidth="1"/>
    <col min="784" max="785" width="7.85546875" style="1118" customWidth="1"/>
    <col min="786" max="786" width="10.85546875" style="1118" customWidth="1"/>
    <col min="787" max="787" width="10.7109375" style="1118" customWidth="1"/>
    <col min="788" max="788" width="11" style="1118" customWidth="1"/>
    <col min="789" max="791" width="7.85546875" style="1118" customWidth="1"/>
    <col min="792" max="792" width="11.28515625" style="1118" customWidth="1"/>
    <col min="793" max="793" width="12.42578125" style="1118" customWidth="1"/>
    <col min="794" max="794" width="11" style="1118" customWidth="1"/>
    <col min="795" max="796" width="7.85546875" style="1118" customWidth="1"/>
    <col min="797" max="797" width="11" style="1118" customWidth="1"/>
    <col min="798" max="798" width="10.5703125" style="1118" customWidth="1"/>
    <col min="799" max="800" width="11" style="1118" customWidth="1"/>
    <col min="801" max="805" width="7.85546875" style="1118" bestFit="1" customWidth="1"/>
    <col min="806" max="806" width="8.42578125" style="1118" bestFit="1" customWidth="1"/>
    <col min="807" max="807" width="11.42578125" style="1118" customWidth="1"/>
    <col min="808" max="808" width="7.85546875" style="1118" bestFit="1" customWidth="1"/>
    <col min="809" max="809" width="9.5703125" style="1118" customWidth="1"/>
    <col min="810" max="810" width="7.85546875" style="1118" bestFit="1" customWidth="1"/>
    <col min="811" max="811" width="12" style="1118" customWidth="1"/>
    <col min="812" max="812" width="13.42578125" style="1118" customWidth="1"/>
    <col min="813" max="813" width="9.5703125" style="1118" bestFit="1" customWidth="1"/>
    <col min="814" max="820" width="9.140625" style="1118" customWidth="1"/>
    <col min="821" max="1024" width="9.140625" style="1118"/>
    <col min="1025" max="1025" width="16.7109375" style="1118" customWidth="1"/>
    <col min="1026" max="1026" width="52.5703125" style="1118" customWidth="1"/>
    <col min="1027" max="1027" width="11" style="1118" customWidth="1"/>
    <col min="1028" max="1028" width="13.42578125" style="1118" customWidth="1"/>
    <col min="1029" max="1029" width="11.28515625" style="1118" customWidth="1"/>
    <col min="1030" max="1030" width="10.28515625" style="1118" customWidth="1"/>
    <col min="1031" max="1031" width="13.85546875" style="1118" customWidth="1"/>
    <col min="1032" max="1033" width="7.85546875" style="1118" customWidth="1"/>
    <col min="1034" max="1034" width="10.85546875" style="1118" customWidth="1"/>
    <col min="1035" max="1035" width="13" style="1118" customWidth="1"/>
    <col min="1036" max="1036" width="11.42578125" style="1118" customWidth="1"/>
    <col min="1037" max="1037" width="10" style="1118" customWidth="1"/>
    <col min="1038" max="1038" width="7.85546875" style="1118" customWidth="1"/>
    <col min="1039" max="1039" width="10.140625" style="1118" customWidth="1"/>
    <col min="1040" max="1041" width="7.85546875" style="1118" customWidth="1"/>
    <col min="1042" max="1042" width="10.85546875" style="1118" customWidth="1"/>
    <col min="1043" max="1043" width="10.7109375" style="1118" customWidth="1"/>
    <col min="1044" max="1044" width="11" style="1118" customWidth="1"/>
    <col min="1045" max="1047" width="7.85546875" style="1118" customWidth="1"/>
    <col min="1048" max="1048" width="11.28515625" style="1118" customWidth="1"/>
    <col min="1049" max="1049" width="12.42578125" style="1118" customWidth="1"/>
    <col min="1050" max="1050" width="11" style="1118" customWidth="1"/>
    <col min="1051" max="1052" width="7.85546875" style="1118" customWidth="1"/>
    <col min="1053" max="1053" width="11" style="1118" customWidth="1"/>
    <col min="1054" max="1054" width="10.5703125" style="1118" customWidth="1"/>
    <col min="1055" max="1056" width="11" style="1118" customWidth="1"/>
    <col min="1057" max="1061" width="7.85546875" style="1118" bestFit="1" customWidth="1"/>
    <col min="1062" max="1062" width="8.42578125" style="1118" bestFit="1" customWidth="1"/>
    <col min="1063" max="1063" width="11.42578125" style="1118" customWidth="1"/>
    <col min="1064" max="1064" width="7.85546875" style="1118" bestFit="1" customWidth="1"/>
    <col min="1065" max="1065" width="9.5703125" style="1118" customWidth="1"/>
    <col min="1066" max="1066" width="7.85546875" style="1118" bestFit="1" customWidth="1"/>
    <col min="1067" max="1067" width="12" style="1118" customWidth="1"/>
    <col min="1068" max="1068" width="13.42578125" style="1118" customWidth="1"/>
    <col min="1069" max="1069" width="9.5703125" style="1118" bestFit="1" customWidth="1"/>
    <col min="1070" max="1076" width="9.140625" style="1118" customWidth="1"/>
    <col min="1077" max="1280" width="9.140625" style="1118"/>
    <col min="1281" max="1281" width="16.7109375" style="1118" customWidth="1"/>
    <col min="1282" max="1282" width="52.5703125" style="1118" customWidth="1"/>
    <col min="1283" max="1283" width="11" style="1118" customWidth="1"/>
    <col min="1284" max="1284" width="13.42578125" style="1118" customWidth="1"/>
    <col min="1285" max="1285" width="11.28515625" style="1118" customWidth="1"/>
    <col min="1286" max="1286" width="10.28515625" style="1118" customWidth="1"/>
    <col min="1287" max="1287" width="13.85546875" style="1118" customWidth="1"/>
    <col min="1288" max="1289" width="7.85546875" style="1118" customWidth="1"/>
    <col min="1290" max="1290" width="10.85546875" style="1118" customWidth="1"/>
    <col min="1291" max="1291" width="13" style="1118" customWidth="1"/>
    <col min="1292" max="1292" width="11.42578125" style="1118" customWidth="1"/>
    <col min="1293" max="1293" width="10" style="1118" customWidth="1"/>
    <col min="1294" max="1294" width="7.85546875" style="1118" customWidth="1"/>
    <col min="1295" max="1295" width="10.140625" style="1118" customWidth="1"/>
    <col min="1296" max="1297" width="7.85546875" style="1118" customWidth="1"/>
    <col min="1298" max="1298" width="10.85546875" style="1118" customWidth="1"/>
    <col min="1299" max="1299" width="10.7109375" style="1118" customWidth="1"/>
    <col min="1300" max="1300" width="11" style="1118" customWidth="1"/>
    <col min="1301" max="1303" width="7.85546875" style="1118" customWidth="1"/>
    <col min="1304" max="1304" width="11.28515625" style="1118" customWidth="1"/>
    <col min="1305" max="1305" width="12.42578125" style="1118" customWidth="1"/>
    <col min="1306" max="1306" width="11" style="1118" customWidth="1"/>
    <col min="1307" max="1308" width="7.85546875" style="1118" customWidth="1"/>
    <col min="1309" max="1309" width="11" style="1118" customWidth="1"/>
    <col min="1310" max="1310" width="10.5703125" style="1118" customWidth="1"/>
    <col min="1311" max="1312" width="11" style="1118" customWidth="1"/>
    <col min="1313" max="1317" width="7.85546875" style="1118" bestFit="1" customWidth="1"/>
    <col min="1318" max="1318" width="8.42578125" style="1118" bestFit="1" customWidth="1"/>
    <col min="1319" max="1319" width="11.42578125" style="1118" customWidth="1"/>
    <col min="1320" max="1320" width="7.85546875" style="1118" bestFit="1" customWidth="1"/>
    <col min="1321" max="1321" width="9.5703125" style="1118" customWidth="1"/>
    <col min="1322" max="1322" width="7.85546875" style="1118" bestFit="1" customWidth="1"/>
    <col min="1323" max="1323" width="12" style="1118" customWidth="1"/>
    <col min="1324" max="1324" width="13.42578125" style="1118" customWidth="1"/>
    <col min="1325" max="1325" width="9.5703125" style="1118" bestFit="1" customWidth="1"/>
    <col min="1326" max="1332" width="9.140625" style="1118" customWidth="1"/>
    <col min="1333" max="1536" width="9.140625" style="1118"/>
    <col min="1537" max="1537" width="16.7109375" style="1118" customWidth="1"/>
    <col min="1538" max="1538" width="52.5703125" style="1118" customWidth="1"/>
    <col min="1539" max="1539" width="11" style="1118" customWidth="1"/>
    <col min="1540" max="1540" width="13.42578125" style="1118" customWidth="1"/>
    <col min="1541" max="1541" width="11.28515625" style="1118" customWidth="1"/>
    <col min="1542" max="1542" width="10.28515625" style="1118" customWidth="1"/>
    <col min="1543" max="1543" width="13.85546875" style="1118" customWidth="1"/>
    <col min="1544" max="1545" width="7.85546875" style="1118" customWidth="1"/>
    <col min="1546" max="1546" width="10.85546875" style="1118" customWidth="1"/>
    <col min="1547" max="1547" width="13" style="1118" customWidth="1"/>
    <col min="1548" max="1548" width="11.42578125" style="1118" customWidth="1"/>
    <col min="1549" max="1549" width="10" style="1118" customWidth="1"/>
    <col min="1550" max="1550" width="7.85546875" style="1118" customWidth="1"/>
    <col min="1551" max="1551" width="10.140625" style="1118" customWidth="1"/>
    <col min="1552" max="1553" width="7.85546875" style="1118" customWidth="1"/>
    <col min="1554" max="1554" width="10.85546875" style="1118" customWidth="1"/>
    <col min="1555" max="1555" width="10.7109375" style="1118" customWidth="1"/>
    <col min="1556" max="1556" width="11" style="1118" customWidth="1"/>
    <col min="1557" max="1559" width="7.85546875" style="1118" customWidth="1"/>
    <col min="1560" max="1560" width="11.28515625" style="1118" customWidth="1"/>
    <col min="1561" max="1561" width="12.42578125" style="1118" customWidth="1"/>
    <col min="1562" max="1562" width="11" style="1118" customWidth="1"/>
    <col min="1563" max="1564" width="7.85546875" style="1118" customWidth="1"/>
    <col min="1565" max="1565" width="11" style="1118" customWidth="1"/>
    <col min="1566" max="1566" width="10.5703125" style="1118" customWidth="1"/>
    <col min="1567" max="1568" width="11" style="1118" customWidth="1"/>
    <col min="1569" max="1573" width="7.85546875" style="1118" bestFit="1" customWidth="1"/>
    <col min="1574" max="1574" width="8.42578125" style="1118" bestFit="1" customWidth="1"/>
    <col min="1575" max="1575" width="11.42578125" style="1118" customWidth="1"/>
    <col min="1576" max="1576" width="7.85546875" style="1118" bestFit="1" customWidth="1"/>
    <col min="1577" max="1577" width="9.5703125" style="1118" customWidth="1"/>
    <col min="1578" max="1578" width="7.85546875" style="1118" bestFit="1" customWidth="1"/>
    <col min="1579" max="1579" width="12" style="1118" customWidth="1"/>
    <col min="1580" max="1580" width="13.42578125" style="1118" customWidth="1"/>
    <col min="1581" max="1581" width="9.5703125" style="1118" bestFit="1" customWidth="1"/>
    <col min="1582" max="1588" width="9.140625" style="1118" customWidth="1"/>
    <col min="1589" max="1792" width="9.140625" style="1118"/>
    <col min="1793" max="1793" width="16.7109375" style="1118" customWidth="1"/>
    <col min="1794" max="1794" width="52.5703125" style="1118" customWidth="1"/>
    <col min="1795" max="1795" width="11" style="1118" customWidth="1"/>
    <col min="1796" max="1796" width="13.42578125" style="1118" customWidth="1"/>
    <col min="1797" max="1797" width="11.28515625" style="1118" customWidth="1"/>
    <col min="1798" max="1798" width="10.28515625" style="1118" customWidth="1"/>
    <col min="1799" max="1799" width="13.85546875" style="1118" customWidth="1"/>
    <col min="1800" max="1801" width="7.85546875" style="1118" customWidth="1"/>
    <col min="1802" max="1802" width="10.85546875" style="1118" customWidth="1"/>
    <col min="1803" max="1803" width="13" style="1118" customWidth="1"/>
    <col min="1804" max="1804" width="11.42578125" style="1118" customWidth="1"/>
    <col min="1805" max="1805" width="10" style="1118" customWidth="1"/>
    <col min="1806" max="1806" width="7.85546875" style="1118" customWidth="1"/>
    <col min="1807" max="1807" width="10.140625" style="1118" customWidth="1"/>
    <col min="1808" max="1809" width="7.85546875" style="1118" customWidth="1"/>
    <col min="1810" max="1810" width="10.85546875" style="1118" customWidth="1"/>
    <col min="1811" max="1811" width="10.7109375" style="1118" customWidth="1"/>
    <col min="1812" max="1812" width="11" style="1118" customWidth="1"/>
    <col min="1813" max="1815" width="7.85546875" style="1118" customWidth="1"/>
    <col min="1816" max="1816" width="11.28515625" style="1118" customWidth="1"/>
    <col min="1817" max="1817" width="12.42578125" style="1118" customWidth="1"/>
    <col min="1818" max="1818" width="11" style="1118" customWidth="1"/>
    <col min="1819" max="1820" width="7.85546875" style="1118" customWidth="1"/>
    <col min="1821" max="1821" width="11" style="1118" customWidth="1"/>
    <col min="1822" max="1822" width="10.5703125" style="1118" customWidth="1"/>
    <col min="1823" max="1824" width="11" style="1118" customWidth="1"/>
    <col min="1825" max="1829" width="7.85546875" style="1118" bestFit="1" customWidth="1"/>
    <col min="1830" max="1830" width="8.42578125" style="1118" bestFit="1" customWidth="1"/>
    <col min="1831" max="1831" width="11.42578125" style="1118" customWidth="1"/>
    <col min="1832" max="1832" width="7.85546875" style="1118" bestFit="1" customWidth="1"/>
    <col min="1833" max="1833" width="9.5703125" style="1118" customWidth="1"/>
    <col min="1834" max="1834" width="7.85546875" style="1118" bestFit="1" customWidth="1"/>
    <col min="1835" max="1835" width="12" style="1118" customWidth="1"/>
    <col min="1836" max="1836" width="13.42578125" style="1118" customWidth="1"/>
    <col min="1837" max="1837" width="9.5703125" style="1118" bestFit="1" customWidth="1"/>
    <col min="1838" max="1844" width="9.140625" style="1118" customWidth="1"/>
    <col min="1845" max="2048" width="9.140625" style="1118"/>
    <col min="2049" max="2049" width="16.7109375" style="1118" customWidth="1"/>
    <col min="2050" max="2050" width="52.5703125" style="1118" customWidth="1"/>
    <col min="2051" max="2051" width="11" style="1118" customWidth="1"/>
    <col min="2052" max="2052" width="13.42578125" style="1118" customWidth="1"/>
    <col min="2053" max="2053" width="11.28515625" style="1118" customWidth="1"/>
    <col min="2054" max="2054" width="10.28515625" style="1118" customWidth="1"/>
    <col min="2055" max="2055" width="13.85546875" style="1118" customWidth="1"/>
    <col min="2056" max="2057" width="7.85546875" style="1118" customWidth="1"/>
    <col min="2058" max="2058" width="10.85546875" style="1118" customWidth="1"/>
    <col min="2059" max="2059" width="13" style="1118" customWidth="1"/>
    <col min="2060" max="2060" width="11.42578125" style="1118" customWidth="1"/>
    <col min="2061" max="2061" width="10" style="1118" customWidth="1"/>
    <col min="2062" max="2062" width="7.85546875" style="1118" customWidth="1"/>
    <col min="2063" max="2063" width="10.140625" style="1118" customWidth="1"/>
    <col min="2064" max="2065" width="7.85546875" style="1118" customWidth="1"/>
    <col min="2066" max="2066" width="10.85546875" style="1118" customWidth="1"/>
    <col min="2067" max="2067" width="10.7109375" style="1118" customWidth="1"/>
    <col min="2068" max="2068" width="11" style="1118" customWidth="1"/>
    <col min="2069" max="2071" width="7.85546875" style="1118" customWidth="1"/>
    <col min="2072" max="2072" width="11.28515625" style="1118" customWidth="1"/>
    <col min="2073" max="2073" width="12.42578125" style="1118" customWidth="1"/>
    <col min="2074" max="2074" width="11" style="1118" customWidth="1"/>
    <col min="2075" max="2076" width="7.85546875" style="1118" customWidth="1"/>
    <col min="2077" max="2077" width="11" style="1118" customWidth="1"/>
    <col min="2078" max="2078" width="10.5703125" style="1118" customWidth="1"/>
    <col min="2079" max="2080" width="11" style="1118" customWidth="1"/>
    <col min="2081" max="2085" width="7.85546875" style="1118" bestFit="1" customWidth="1"/>
    <col min="2086" max="2086" width="8.42578125" style="1118" bestFit="1" customWidth="1"/>
    <col min="2087" max="2087" width="11.42578125" style="1118" customWidth="1"/>
    <col min="2088" max="2088" width="7.85546875" style="1118" bestFit="1" customWidth="1"/>
    <col min="2089" max="2089" width="9.5703125" style="1118" customWidth="1"/>
    <col min="2090" max="2090" width="7.85546875" style="1118" bestFit="1" customWidth="1"/>
    <col min="2091" max="2091" width="12" style="1118" customWidth="1"/>
    <col min="2092" max="2092" width="13.42578125" style="1118" customWidth="1"/>
    <col min="2093" max="2093" width="9.5703125" style="1118" bestFit="1" customWidth="1"/>
    <col min="2094" max="2100" width="9.140625" style="1118" customWidth="1"/>
    <col min="2101" max="2304" width="9.140625" style="1118"/>
    <col min="2305" max="2305" width="16.7109375" style="1118" customWidth="1"/>
    <col min="2306" max="2306" width="52.5703125" style="1118" customWidth="1"/>
    <col min="2307" max="2307" width="11" style="1118" customWidth="1"/>
    <col min="2308" max="2308" width="13.42578125" style="1118" customWidth="1"/>
    <col min="2309" max="2309" width="11.28515625" style="1118" customWidth="1"/>
    <col min="2310" max="2310" width="10.28515625" style="1118" customWidth="1"/>
    <col min="2311" max="2311" width="13.85546875" style="1118" customWidth="1"/>
    <col min="2312" max="2313" width="7.85546875" style="1118" customWidth="1"/>
    <col min="2314" max="2314" width="10.85546875" style="1118" customWidth="1"/>
    <col min="2315" max="2315" width="13" style="1118" customWidth="1"/>
    <col min="2316" max="2316" width="11.42578125" style="1118" customWidth="1"/>
    <col min="2317" max="2317" width="10" style="1118" customWidth="1"/>
    <col min="2318" max="2318" width="7.85546875" style="1118" customWidth="1"/>
    <col min="2319" max="2319" width="10.140625" style="1118" customWidth="1"/>
    <col min="2320" max="2321" width="7.85546875" style="1118" customWidth="1"/>
    <col min="2322" max="2322" width="10.85546875" style="1118" customWidth="1"/>
    <col min="2323" max="2323" width="10.7109375" style="1118" customWidth="1"/>
    <col min="2324" max="2324" width="11" style="1118" customWidth="1"/>
    <col min="2325" max="2327" width="7.85546875" style="1118" customWidth="1"/>
    <col min="2328" max="2328" width="11.28515625" style="1118" customWidth="1"/>
    <col min="2329" max="2329" width="12.42578125" style="1118" customWidth="1"/>
    <col min="2330" max="2330" width="11" style="1118" customWidth="1"/>
    <col min="2331" max="2332" width="7.85546875" style="1118" customWidth="1"/>
    <col min="2333" max="2333" width="11" style="1118" customWidth="1"/>
    <col min="2334" max="2334" width="10.5703125" style="1118" customWidth="1"/>
    <col min="2335" max="2336" width="11" style="1118" customWidth="1"/>
    <col min="2337" max="2341" width="7.85546875" style="1118" bestFit="1" customWidth="1"/>
    <col min="2342" max="2342" width="8.42578125" style="1118" bestFit="1" customWidth="1"/>
    <col min="2343" max="2343" width="11.42578125" style="1118" customWidth="1"/>
    <col min="2344" max="2344" width="7.85546875" style="1118" bestFit="1" customWidth="1"/>
    <col min="2345" max="2345" width="9.5703125" style="1118" customWidth="1"/>
    <col min="2346" max="2346" width="7.85546875" style="1118" bestFit="1" customWidth="1"/>
    <col min="2347" max="2347" width="12" style="1118" customWidth="1"/>
    <col min="2348" max="2348" width="13.42578125" style="1118" customWidth="1"/>
    <col min="2349" max="2349" width="9.5703125" style="1118" bestFit="1" customWidth="1"/>
    <col min="2350" max="2356" width="9.140625" style="1118" customWidth="1"/>
    <col min="2357" max="2560" width="9.140625" style="1118"/>
    <col min="2561" max="2561" width="16.7109375" style="1118" customWidth="1"/>
    <col min="2562" max="2562" width="52.5703125" style="1118" customWidth="1"/>
    <col min="2563" max="2563" width="11" style="1118" customWidth="1"/>
    <col min="2564" max="2564" width="13.42578125" style="1118" customWidth="1"/>
    <col min="2565" max="2565" width="11.28515625" style="1118" customWidth="1"/>
    <col min="2566" max="2566" width="10.28515625" style="1118" customWidth="1"/>
    <col min="2567" max="2567" width="13.85546875" style="1118" customWidth="1"/>
    <col min="2568" max="2569" width="7.85546875" style="1118" customWidth="1"/>
    <col min="2570" max="2570" width="10.85546875" style="1118" customWidth="1"/>
    <col min="2571" max="2571" width="13" style="1118" customWidth="1"/>
    <col min="2572" max="2572" width="11.42578125" style="1118" customWidth="1"/>
    <col min="2573" max="2573" width="10" style="1118" customWidth="1"/>
    <col min="2574" max="2574" width="7.85546875" style="1118" customWidth="1"/>
    <col min="2575" max="2575" width="10.140625" style="1118" customWidth="1"/>
    <col min="2576" max="2577" width="7.85546875" style="1118" customWidth="1"/>
    <col min="2578" max="2578" width="10.85546875" style="1118" customWidth="1"/>
    <col min="2579" max="2579" width="10.7109375" style="1118" customWidth="1"/>
    <col min="2580" max="2580" width="11" style="1118" customWidth="1"/>
    <col min="2581" max="2583" width="7.85546875" style="1118" customWidth="1"/>
    <col min="2584" max="2584" width="11.28515625" style="1118" customWidth="1"/>
    <col min="2585" max="2585" width="12.42578125" style="1118" customWidth="1"/>
    <col min="2586" max="2586" width="11" style="1118" customWidth="1"/>
    <col min="2587" max="2588" width="7.85546875" style="1118" customWidth="1"/>
    <col min="2589" max="2589" width="11" style="1118" customWidth="1"/>
    <col min="2590" max="2590" width="10.5703125" style="1118" customWidth="1"/>
    <col min="2591" max="2592" width="11" style="1118" customWidth="1"/>
    <col min="2593" max="2597" width="7.85546875" style="1118" bestFit="1" customWidth="1"/>
    <col min="2598" max="2598" width="8.42578125" style="1118" bestFit="1" customWidth="1"/>
    <col min="2599" max="2599" width="11.42578125" style="1118" customWidth="1"/>
    <col min="2600" max="2600" width="7.85546875" style="1118" bestFit="1" customWidth="1"/>
    <col min="2601" max="2601" width="9.5703125" style="1118" customWidth="1"/>
    <col min="2602" max="2602" width="7.85546875" style="1118" bestFit="1" customWidth="1"/>
    <col min="2603" max="2603" width="12" style="1118" customWidth="1"/>
    <col min="2604" max="2604" width="13.42578125" style="1118" customWidth="1"/>
    <col min="2605" max="2605" width="9.5703125" style="1118" bestFit="1" customWidth="1"/>
    <col min="2606" max="2612" width="9.140625" style="1118" customWidth="1"/>
    <col min="2613" max="2816" width="9.140625" style="1118"/>
    <col min="2817" max="2817" width="16.7109375" style="1118" customWidth="1"/>
    <col min="2818" max="2818" width="52.5703125" style="1118" customWidth="1"/>
    <col min="2819" max="2819" width="11" style="1118" customWidth="1"/>
    <col min="2820" max="2820" width="13.42578125" style="1118" customWidth="1"/>
    <col min="2821" max="2821" width="11.28515625" style="1118" customWidth="1"/>
    <col min="2822" max="2822" width="10.28515625" style="1118" customWidth="1"/>
    <col min="2823" max="2823" width="13.85546875" style="1118" customWidth="1"/>
    <col min="2824" max="2825" width="7.85546875" style="1118" customWidth="1"/>
    <col min="2826" max="2826" width="10.85546875" style="1118" customWidth="1"/>
    <col min="2827" max="2827" width="13" style="1118" customWidth="1"/>
    <col min="2828" max="2828" width="11.42578125" style="1118" customWidth="1"/>
    <col min="2829" max="2829" width="10" style="1118" customWidth="1"/>
    <col min="2830" max="2830" width="7.85546875" style="1118" customWidth="1"/>
    <col min="2831" max="2831" width="10.140625" style="1118" customWidth="1"/>
    <col min="2832" max="2833" width="7.85546875" style="1118" customWidth="1"/>
    <col min="2834" max="2834" width="10.85546875" style="1118" customWidth="1"/>
    <col min="2835" max="2835" width="10.7109375" style="1118" customWidth="1"/>
    <col min="2836" max="2836" width="11" style="1118" customWidth="1"/>
    <col min="2837" max="2839" width="7.85546875" style="1118" customWidth="1"/>
    <col min="2840" max="2840" width="11.28515625" style="1118" customWidth="1"/>
    <col min="2841" max="2841" width="12.42578125" style="1118" customWidth="1"/>
    <col min="2842" max="2842" width="11" style="1118" customWidth="1"/>
    <col min="2843" max="2844" width="7.85546875" style="1118" customWidth="1"/>
    <col min="2845" max="2845" width="11" style="1118" customWidth="1"/>
    <col min="2846" max="2846" width="10.5703125" style="1118" customWidth="1"/>
    <col min="2847" max="2848" width="11" style="1118" customWidth="1"/>
    <col min="2849" max="2853" width="7.85546875" style="1118" bestFit="1" customWidth="1"/>
    <col min="2854" max="2854" width="8.42578125" style="1118" bestFit="1" customWidth="1"/>
    <col min="2855" max="2855" width="11.42578125" style="1118" customWidth="1"/>
    <col min="2856" max="2856" width="7.85546875" style="1118" bestFit="1" customWidth="1"/>
    <col min="2857" max="2857" width="9.5703125" style="1118" customWidth="1"/>
    <col min="2858" max="2858" width="7.85546875" style="1118" bestFit="1" customWidth="1"/>
    <col min="2859" max="2859" width="12" style="1118" customWidth="1"/>
    <col min="2860" max="2860" width="13.42578125" style="1118" customWidth="1"/>
    <col min="2861" max="2861" width="9.5703125" style="1118" bestFit="1" customWidth="1"/>
    <col min="2862" max="2868" width="9.140625" style="1118" customWidth="1"/>
    <col min="2869" max="3072" width="9.140625" style="1118"/>
    <col min="3073" max="3073" width="16.7109375" style="1118" customWidth="1"/>
    <col min="3074" max="3074" width="52.5703125" style="1118" customWidth="1"/>
    <col min="3075" max="3075" width="11" style="1118" customWidth="1"/>
    <col min="3076" max="3076" width="13.42578125" style="1118" customWidth="1"/>
    <col min="3077" max="3077" width="11.28515625" style="1118" customWidth="1"/>
    <col min="3078" max="3078" width="10.28515625" style="1118" customWidth="1"/>
    <col min="3079" max="3079" width="13.85546875" style="1118" customWidth="1"/>
    <col min="3080" max="3081" width="7.85546875" style="1118" customWidth="1"/>
    <col min="3082" max="3082" width="10.85546875" style="1118" customWidth="1"/>
    <col min="3083" max="3083" width="13" style="1118" customWidth="1"/>
    <col min="3084" max="3084" width="11.42578125" style="1118" customWidth="1"/>
    <col min="3085" max="3085" width="10" style="1118" customWidth="1"/>
    <col min="3086" max="3086" width="7.85546875" style="1118" customWidth="1"/>
    <col min="3087" max="3087" width="10.140625" style="1118" customWidth="1"/>
    <col min="3088" max="3089" width="7.85546875" style="1118" customWidth="1"/>
    <col min="3090" max="3090" width="10.85546875" style="1118" customWidth="1"/>
    <col min="3091" max="3091" width="10.7109375" style="1118" customWidth="1"/>
    <col min="3092" max="3092" width="11" style="1118" customWidth="1"/>
    <col min="3093" max="3095" width="7.85546875" style="1118" customWidth="1"/>
    <col min="3096" max="3096" width="11.28515625" style="1118" customWidth="1"/>
    <col min="3097" max="3097" width="12.42578125" style="1118" customWidth="1"/>
    <col min="3098" max="3098" width="11" style="1118" customWidth="1"/>
    <col min="3099" max="3100" width="7.85546875" style="1118" customWidth="1"/>
    <col min="3101" max="3101" width="11" style="1118" customWidth="1"/>
    <col min="3102" max="3102" width="10.5703125" style="1118" customWidth="1"/>
    <col min="3103" max="3104" width="11" style="1118" customWidth="1"/>
    <col min="3105" max="3109" width="7.85546875" style="1118" bestFit="1" customWidth="1"/>
    <col min="3110" max="3110" width="8.42578125" style="1118" bestFit="1" customWidth="1"/>
    <col min="3111" max="3111" width="11.42578125" style="1118" customWidth="1"/>
    <col min="3112" max="3112" width="7.85546875" style="1118" bestFit="1" customWidth="1"/>
    <col min="3113" max="3113" width="9.5703125" style="1118" customWidth="1"/>
    <col min="3114" max="3114" width="7.85546875" style="1118" bestFit="1" customWidth="1"/>
    <col min="3115" max="3115" width="12" style="1118" customWidth="1"/>
    <col min="3116" max="3116" width="13.42578125" style="1118" customWidth="1"/>
    <col min="3117" max="3117" width="9.5703125" style="1118" bestFit="1" customWidth="1"/>
    <col min="3118" max="3124" width="9.140625" style="1118" customWidth="1"/>
    <col min="3125" max="3328" width="9.140625" style="1118"/>
    <col min="3329" max="3329" width="16.7109375" style="1118" customWidth="1"/>
    <col min="3330" max="3330" width="52.5703125" style="1118" customWidth="1"/>
    <col min="3331" max="3331" width="11" style="1118" customWidth="1"/>
    <col min="3332" max="3332" width="13.42578125" style="1118" customWidth="1"/>
    <col min="3333" max="3333" width="11.28515625" style="1118" customWidth="1"/>
    <col min="3334" max="3334" width="10.28515625" style="1118" customWidth="1"/>
    <col min="3335" max="3335" width="13.85546875" style="1118" customWidth="1"/>
    <col min="3336" max="3337" width="7.85546875" style="1118" customWidth="1"/>
    <col min="3338" max="3338" width="10.85546875" style="1118" customWidth="1"/>
    <col min="3339" max="3339" width="13" style="1118" customWidth="1"/>
    <col min="3340" max="3340" width="11.42578125" style="1118" customWidth="1"/>
    <col min="3341" max="3341" width="10" style="1118" customWidth="1"/>
    <col min="3342" max="3342" width="7.85546875" style="1118" customWidth="1"/>
    <col min="3343" max="3343" width="10.140625" style="1118" customWidth="1"/>
    <col min="3344" max="3345" width="7.85546875" style="1118" customWidth="1"/>
    <col min="3346" max="3346" width="10.85546875" style="1118" customWidth="1"/>
    <col min="3347" max="3347" width="10.7109375" style="1118" customWidth="1"/>
    <col min="3348" max="3348" width="11" style="1118" customWidth="1"/>
    <col min="3349" max="3351" width="7.85546875" style="1118" customWidth="1"/>
    <col min="3352" max="3352" width="11.28515625" style="1118" customWidth="1"/>
    <col min="3353" max="3353" width="12.42578125" style="1118" customWidth="1"/>
    <col min="3354" max="3354" width="11" style="1118" customWidth="1"/>
    <col min="3355" max="3356" width="7.85546875" style="1118" customWidth="1"/>
    <col min="3357" max="3357" width="11" style="1118" customWidth="1"/>
    <col min="3358" max="3358" width="10.5703125" style="1118" customWidth="1"/>
    <col min="3359" max="3360" width="11" style="1118" customWidth="1"/>
    <col min="3361" max="3365" width="7.85546875" style="1118" bestFit="1" customWidth="1"/>
    <col min="3366" max="3366" width="8.42578125" style="1118" bestFit="1" customWidth="1"/>
    <col min="3367" max="3367" width="11.42578125" style="1118" customWidth="1"/>
    <col min="3368" max="3368" width="7.85546875" style="1118" bestFit="1" customWidth="1"/>
    <col min="3369" max="3369" width="9.5703125" style="1118" customWidth="1"/>
    <col min="3370" max="3370" width="7.85546875" style="1118" bestFit="1" customWidth="1"/>
    <col min="3371" max="3371" width="12" style="1118" customWidth="1"/>
    <col min="3372" max="3372" width="13.42578125" style="1118" customWidth="1"/>
    <col min="3373" max="3373" width="9.5703125" style="1118" bestFit="1" customWidth="1"/>
    <col min="3374" max="3380" width="9.140625" style="1118" customWidth="1"/>
    <col min="3381" max="3584" width="9.140625" style="1118"/>
    <col min="3585" max="3585" width="16.7109375" style="1118" customWidth="1"/>
    <col min="3586" max="3586" width="52.5703125" style="1118" customWidth="1"/>
    <col min="3587" max="3587" width="11" style="1118" customWidth="1"/>
    <col min="3588" max="3588" width="13.42578125" style="1118" customWidth="1"/>
    <col min="3589" max="3589" width="11.28515625" style="1118" customWidth="1"/>
    <col min="3590" max="3590" width="10.28515625" style="1118" customWidth="1"/>
    <col min="3591" max="3591" width="13.85546875" style="1118" customWidth="1"/>
    <col min="3592" max="3593" width="7.85546875" style="1118" customWidth="1"/>
    <col min="3594" max="3594" width="10.85546875" style="1118" customWidth="1"/>
    <col min="3595" max="3595" width="13" style="1118" customWidth="1"/>
    <col min="3596" max="3596" width="11.42578125" style="1118" customWidth="1"/>
    <col min="3597" max="3597" width="10" style="1118" customWidth="1"/>
    <col min="3598" max="3598" width="7.85546875" style="1118" customWidth="1"/>
    <col min="3599" max="3599" width="10.140625" style="1118" customWidth="1"/>
    <col min="3600" max="3601" width="7.85546875" style="1118" customWidth="1"/>
    <col min="3602" max="3602" width="10.85546875" style="1118" customWidth="1"/>
    <col min="3603" max="3603" width="10.7109375" style="1118" customWidth="1"/>
    <col min="3604" max="3604" width="11" style="1118" customWidth="1"/>
    <col min="3605" max="3607" width="7.85546875" style="1118" customWidth="1"/>
    <col min="3608" max="3608" width="11.28515625" style="1118" customWidth="1"/>
    <col min="3609" max="3609" width="12.42578125" style="1118" customWidth="1"/>
    <col min="3610" max="3610" width="11" style="1118" customWidth="1"/>
    <col min="3611" max="3612" width="7.85546875" style="1118" customWidth="1"/>
    <col min="3613" max="3613" width="11" style="1118" customWidth="1"/>
    <col min="3614" max="3614" width="10.5703125" style="1118" customWidth="1"/>
    <col min="3615" max="3616" width="11" style="1118" customWidth="1"/>
    <col min="3617" max="3621" width="7.85546875" style="1118" bestFit="1" customWidth="1"/>
    <col min="3622" max="3622" width="8.42578125" style="1118" bestFit="1" customWidth="1"/>
    <col min="3623" max="3623" width="11.42578125" style="1118" customWidth="1"/>
    <col min="3624" max="3624" width="7.85546875" style="1118" bestFit="1" customWidth="1"/>
    <col min="3625" max="3625" width="9.5703125" style="1118" customWidth="1"/>
    <col min="3626" max="3626" width="7.85546875" style="1118" bestFit="1" customWidth="1"/>
    <col min="3627" max="3627" width="12" style="1118" customWidth="1"/>
    <col min="3628" max="3628" width="13.42578125" style="1118" customWidth="1"/>
    <col min="3629" max="3629" width="9.5703125" style="1118" bestFit="1" customWidth="1"/>
    <col min="3630" max="3636" width="9.140625" style="1118" customWidth="1"/>
    <col min="3637" max="3840" width="9.140625" style="1118"/>
    <col min="3841" max="3841" width="16.7109375" style="1118" customWidth="1"/>
    <col min="3842" max="3842" width="52.5703125" style="1118" customWidth="1"/>
    <col min="3843" max="3843" width="11" style="1118" customWidth="1"/>
    <col min="3844" max="3844" width="13.42578125" style="1118" customWidth="1"/>
    <col min="3845" max="3845" width="11.28515625" style="1118" customWidth="1"/>
    <col min="3846" max="3846" width="10.28515625" style="1118" customWidth="1"/>
    <col min="3847" max="3847" width="13.85546875" style="1118" customWidth="1"/>
    <col min="3848" max="3849" width="7.85546875" style="1118" customWidth="1"/>
    <col min="3850" max="3850" width="10.85546875" style="1118" customWidth="1"/>
    <col min="3851" max="3851" width="13" style="1118" customWidth="1"/>
    <col min="3852" max="3852" width="11.42578125" style="1118" customWidth="1"/>
    <col min="3853" max="3853" width="10" style="1118" customWidth="1"/>
    <col min="3854" max="3854" width="7.85546875" style="1118" customWidth="1"/>
    <col min="3855" max="3855" width="10.140625" style="1118" customWidth="1"/>
    <col min="3856" max="3857" width="7.85546875" style="1118" customWidth="1"/>
    <col min="3858" max="3858" width="10.85546875" style="1118" customWidth="1"/>
    <col min="3859" max="3859" width="10.7109375" style="1118" customWidth="1"/>
    <col min="3860" max="3860" width="11" style="1118" customWidth="1"/>
    <col min="3861" max="3863" width="7.85546875" style="1118" customWidth="1"/>
    <col min="3864" max="3864" width="11.28515625" style="1118" customWidth="1"/>
    <col min="3865" max="3865" width="12.42578125" style="1118" customWidth="1"/>
    <col min="3866" max="3866" width="11" style="1118" customWidth="1"/>
    <col min="3867" max="3868" width="7.85546875" style="1118" customWidth="1"/>
    <col min="3869" max="3869" width="11" style="1118" customWidth="1"/>
    <col min="3870" max="3870" width="10.5703125" style="1118" customWidth="1"/>
    <col min="3871" max="3872" width="11" style="1118" customWidth="1"/>
    <col min="3873" max="3877" width="7.85546875" style="1118" bestFit="1" customWidth="1"/>
    <col min="3878" max="3878" width="8.42578125" style="1118" bestFit="1" customWidth="1"/>
    <col min="3879" max="3879" width="11.42578125" style="1118" customWidth="1"/>
    <col min="3880" max="3880" width="7.85546875" style="1118" bestFit="1" customWidth="1"/>
    <col min="3881" max="3881" width="9.5703125" style="1118" customWidth="1"/>
    <col min="3882" max="3882" width="7.85546875" style="1118" bestFit="1" customWidth="1"/>
    <col min="3883" max="3883" width="12" style="1118" customWidth="1"/>
    <col min="3884" max="3884" width="13.42578125" style="1118" customWidth="1"/>
    <col min="3885" max="3885" width="9.5703125" style="1118" bestFit="1" customWidth="1"/>
    <col min="3886" max="3892" width="9.140625" style="1118" customWidth="1"/>
    <col min="3893" max="4096" width="9.140625" style="1118"/>
    <col min="4097" max="4097" width="16.7109375" style="1118" customWidth="1"/>
    <col min="4098" max="4098" width="52.5703125" style="1118" customWidth="1"/>
    <col min="4099" max="4099" width="11" style="1118" customWidth="1"/>
    <col min="4100" max="4100" width="13.42578125" style="1118" customWidth="1"/>
    <col min="4101" max="4101" width="11.28515625" style="1118" customWidth="1"/>
    <col min="4102" max="4102" width="10.28515625" style="1118" customWidth="1"/>
    <col min="4103" max="4103" width="13.85546875" style="1118" customWidth="1"/>
    <col min="4104" max="4105" width="7.85546875" style="1118" customWidth="1"/>
    <col min="4106" max="4106" width="10.85546875" style="1118" customWidth="1"/>
    <col min="4107" max="4107" width="13" style="1118" customWidth="1"/>
    <col min="4108" max="4108" width="11.42578125" style="1118" customWidth="1"/>
    <col min="4109" max="4109" width="10" style="1118" customWidth="1"/>
    <col min="4110" max="4110" width="7.85546875" style="1118" customWidth="1"/>
    <col min="4111" max="4111" width="10.140625" style="1118" customWidth="1"/>
    <col min="4112" max="4113" width="7.85546875" style="1118" customWidth="1"/>
    <col min="4114" max="4114" width="10.85546875" style="1118" customWidth="1"/>
    <col min="4115" max="4115" width="10.7109375" style="1118" customWidth="1"/>
    <col min="4116" max="4116" width="11" style="1118" customWidth="1"/>
    <col min="4117" max="4119" width="7.85546875" style="1118" customWidth="1"/>
    <col min="4120" max="4120" width="11.28515625" style="1118" customWidth="1"/>
    <col min="4121" max="4121" width="12.42578125" style="1118" customWidth="1"/>
    <col min="4122" max="4122" width="11" style="1118" customWidth="1"/>
    <col min="4123" max="4124" width="7.85546875" style="1118" customWidth="1"/>
    <col min="4125" max="4125" width="11" style="1118" customWidth="1"/>
    <col min="4126" max="4126" width="10.5703125" style="1118" customWidth="1"/>
    <col min="4127" max="4128" width="11" style="1118" customWidth="1"/>
    <col min="4129" max="4133" width="7.85546875" style="1118" bestFit="1" customWidth="1"/>
    <col min="4134" max="4134" width="8.42578125" style="1118" bestFit="1" customWidth="1"/>
    <col min="4135" max="4135" width="11.42578125" style="1118" customWidth="1"/>
    <col min="4136" max="4136" width="7.85546875" style="1118" bestFit="1" customWidth="1"/>
    <col min="4137" max="4137" width="9.5703125" style="1118" customWidth="1"/>
    <col min="4138" max="4138" width="7.85546875" style="1118" bestFit="1" customWidth="1"/>
    <col min="4139" max="4139" width="12" style="1118" customWidth="1"/>
    <col min="4140" max="4140" width="13.42578125" style="1118" customWidth="1"/>
    <col min="4141" max="4141" width="9.5703125" style="1118" bestFit="1" customWidth="1"/>
    <col min="4142" max="4148" width="9.140625" style="1118" customWidth="1"/>
    <col min="4149" max="4352" width="9.140625" style="1118"/>
    <col min="4353" max="4353" width="16.7109375" style="1118" customWidth="1"/>
    <col min="4354" max="4354" width="52.5703125" style="1118" customWidth="1"/>
    <col min="4355" max="4355" width="11" style="1118" customWidth="1"/>
    <col min="4356" max="4356" width="13.42578125" style="1118" customWidth="1"/>
    <col min="4357" max="4357" width="11.28515625" style="1118" customWidth="1"/>
    <col min="4358" max="4358" width="10.28515625" style="1118" customWidth="1"/>
    <col min="4359" max="4359" width="13.85546875" style="1118" customWidth="1"/>
    <col min="4360" max="4361" width="7.85546875" style="1118" customWidth="1"/>
    <col min="4362" max="4362" width="10.85546875" style="1118" customWidth="1"/>
    <col min="4363" max="4363" width="13" style="1118" customWidth="1"/>
    <col min="4364" max="4364" width="11.42578125" style="1118" customWidth="1"/>
    <col min="4365" max="4365" width="10" style="1118" customWidth="1"/>
    <col min="4366" max="4366" width="7.85546875" style="1118" customWidth="1"/>
    <col min="4367" max="4367" width="10.140625" style="1118" customWidth="1"/>
    <col min="4368" max="4369" width="7.85546875" style="1118" customWidth="1"/>
    <col min="4370" max="4370" width="10.85546875" style="1118" customWidth="1"/>
    <col min="4371" max="4371" width="10.7109375" style="1118" customWidth="1"/>
    <col min="4372" max="4372" width="11" style="1118" customWidth="1"/>
    <col min="4373" max="4375" width="7.85546875" style="1118" customWidth="1"/>
    <col min="4376" max="4376" width="11.28515625" style="1118" customWidth="1"/>
    <col min="4377" max="4377" width="12.42578125" style="1118" customWidth="1"/>
    <col min="4378" max="4378" width="11" style="1118" customWidth="1"/>
    <col min="4379" max="4380" width="7.85546875" style="1118" customWidth="1"/>
    <col min="4381" max="4381" width="11" style="1118" customWidth="1"/>
    <col min="4382" max="4382" width="10.5703125" style="1118" customWidth="1"/>
    <col min="4383" max="4384" width="11" style="1118" customWidth="1"/>
    <col min="4385" max="4389" width="7.85546875" style="1118" bestFit="1" customWidth="1"/>
    <col min="4390" max="4390" width="8.42578125" style="1118" bestFit="1" customWidth="1"/>
    <col min="4391" max="4391" width="11.42578125" style="1118" customWidth="1"/>
    <col min="4392" max="4392" width="7.85546875" style="1118" bestFit="1" customWidth="1"/>
    <col min="4393" max="4393" width="9.5703125" style="1118" customWidth="1"/>
    <col min="4394" max="4394" width="7.85546875" style="1118" bestFit="1" customWidth="1"/>
    <col min="4395" max="4395" width="12" style="1118" customWidth="1"/>
    <col min="4396" max="4396" width="13.42578125" style="1118" customWidth="1"/>
    <col min="4397" max="4397" width="9.5703125" style="1118" bestFit="1" customWidth="1"/>
    <col min="4398" max="4404" width="9.140625" style="1118" customWidth="1"/>
    <col min="4405" max="4608" width="9.140625" style="1118"/>
    <col min="4609" max="4609" width="16.7109375" style="1118" customWidth="1"/>
    <col min="4610" max="4610" width="52.5703125" style="1118" customWidth="1"/>
    <col min="4611" max="4611" width="11" style="1118" customWidth="1"/>
    <col min="4612" max="4612" width="13.42578125" style="1118" customWidth="1"/>
    <col min="4613" max="4613" width="11.28515625" style="1118" customWidth="1"/>
    <col min="4614" max="4614" width="10.28515625" style="1118" customWidth="1"/>
    <col min="4615" max="4615" width="13.85546875" style="1118" customWidth="1"/>
    <col min="4616" max="4617" width="7.85546875" style="1118" customWidth="1"/>
    <col min="4618" max="4618" width="10.85546875" style="1118" customWidth="1"/>
    <col min="4619" max="4619" width="13" style="1118" customWidth="1"/>
    <col min="4620" max="4620" width="11.42578125" style="1118" customWidth="1"/>
    <col min="4621" max="4621" width="10" style="1118" customWidth="1"/>
    <col min="4622" max="4622" width="7.85546875" style="1118" customWidth="1"/>
    <col min="4623" max="4623" width="10.140625" style="1118" customWidth="1"/>
    <col min="4624" max="4625" width="7.85546875" style="1118" customWidth="1"/>
    <col min="4626" max="4626" width="10.85546875" style="1118" customWidth="1"/>
    <col min="4627" max="4627" width="10.7109375" style="1118" customWidth="1"/>
    <col min="4628" max="4628" width="11" style="1118" customWidth="1"/>
    <col min="4629" max="4631" width="7.85546875" style="1118" customWidth="1"/>
    <col min="4632" max="4632" width="11.28515625" style="1118" customWidth="1"/>
    <col min="4633" max="4633" width="12.42578125" style="1118" customWidth="1"/>
    <col min="4634" max="4634" width="11" style="1118" customWidth="1"/>
    <col min="4635" max="4636" width="7.85546875" style="1118" customWidth="1"/>
    <col min="4637" max="4637" width="11" style="1118" customWidth="1"/>
    <col min="4638" max="4638" width="10.5703125" style="1118" customWidth="1"/>
    <col min="4639" max="4640" width="11" style="1118" customWidth="1"/>
    <col min="4641" max="4645" width="7.85546875" style="1118" bestFit="1" customWidth="1"/>
    <col min="4646" max="4646" width="8.42578125" style="1118" bestFit="1" customWidth="1"/>
    <col min="4647" max="4647" width="11.42578125" style="1118" customWidth="1"/>
    <col min="4648" max="4648" width="7.85546875" style="1118" bestFit="1" customWidth="1"/>
    <col min="4649" max="4649" width="9.5703125" style="1118" customWidth="1"/>
    <col min="4650" max="4650" width="7.85546875" style="1118" bestFit="1" customWidth="1"/>
    <col min="4651" max="4651" width="12" style="1118" customWidth="1"/>
    <col min="4652" max="4652" width="13.42578125" style="1118" customWidth="1"/>
    <col min="4653" max="4653" width="9.5703125" style="1118" bestFit="1" customWidth="1"/>
    <col min="4654" max="4660" width="9.140625" style="1118" customWidth="1"/>
    <col min="4661" max="4864" width="9.140625" style="1118"/>
    <col min="4865" max="4865" width="16.7109375" style="1118" customWidth="1"/>
    <col min="4866" max="4866" width="52.5703125" style="1118" customWidth="1"/>
    <col min="4867" max="4867" width="11" style="1118" customWidth="1"/>
    <col min="4868" max="4868" width="13.42578125" style="1118" customWidth="1"/>
    <col min="4869" max="4869" width="11.28515625" style="1118" customWidth="1"/>
    <col min="4870" max="4870" width="10.28515625" style="1118" customWidth="1"/>
    <col min="4871" max="4871" width="13.85546875" style="1118" customWidth="1"/>
    <col min="4872" max="4873" width="7.85546875" style="1118" customWidth="1"/>
    <col min="4874" max="4874" width="10.85546875" style="1118" customWidth="1"/>
    <col min="4875" max="4875" width="13" style="1118" customWidth="1"/>
    <col min="4876" max="4876" width="11.42578125" style="1118" customWidth="1"/>
    <col min="4877" max="4877" width="10" style="1118" customWidth="1"/>
    <col min="4878" max="4878" width="7.85546875" style="1118" customWidth="1"/>
    <col min="4879" max="4879" width="10.140625" style="1118" customWidth="1"/>
    <col min="4880" max="4881" width="7.85546875" style="1118" customWidth="1"/>
    <col min="4882" max="4882" width="10.85546875" style="1118" customWidth="1"/>
    <col min="4883" max="4883" width="10.7109375" style="1118" customWidth="1"/>
    <col min="4884" max="4884" width="11" style="1118" customWidth="1"/>
    <col min="4885" max="4887" width="7.85546875" style="1118" customWidth="1"/>
    <col min="4888" max="4888" width="11.28515625" style="1118" customWidth="1"/>
    <col min="4889" max="4889" width="12.42578125" style="1118" customWidth="1"/>
    <col min="4890" max="4890" width="11" style="1118" customWidth="1"/>
    <col min="4891" max="4892" width="7.85546875" style="1118" customWidth="1"/>
    <col min="4893" max="4893" width="11" style="1118" customWidth="1"/>
    <col min="4894" max="4894" width="10.5703125" style="1118" customWidth="1"/>
    <col min="4895" max="4896" width="11" style="1118" customWidth="1"/>
    <col min="4897" max="4901" width="7.85546875" style="1118" bestFit="1" customWidth="1"/>
    <col min="4902" max="4902" width="8.42578125" style="1118" bestFit="1" customWidth="1"/>
    <col min="4903" max="4903" width="11.42578125" style="1118" customWidth="1"/>
    <col min="4904" max="4904" width="7.85546875" style="1118" bestFit="1" customWidth="1"/>
    <col min="4905" max="4905" width="9.5703125" style="1118" customWidth="1"/>
    <col min="4906" max="4906" width="7.85546875" style="1118" bestFit="1" customWidth="1"/>
    <col min="4907" max="4907" width="12" style="1118" customWidth="1"/>
    <col min="4908" max="4908" width="13.42578125" style="1118" customWidth="1"/>
    <col min="4909" max="4909" width="9.5703125" style="1118" bestFit="1" customWidth="1"/>
    <col min="4910" max="4916" width="9.140625" style="1118" customWidth="1"/>
    <col min="4917" max="5120" width="9.140625" style="1118"/>
    <col min="5121" max="5121" width="16.7109375" style="1118" customWidth="1"/>
    <col min="5122" max="5122" width="52.5703125" style="1118" customWidth="1"/>
    <col min="5123" max="5123" width="11" style="1118" customWidth="1"/>
    <col min="5124" max="5124" width="13.42578125" style="1118" customWidth="1"/>
    <col min="5125" max="5125" width="11.28515625" style="1118" customWidth="1"/>
    <col min="5126" max="5126" width="10.28515625" style="1118" customWidth="1"/>
    <col min="5127" max="5127" width="13.85546875" style="1118" customWidth="1"/>
    <col min="5128" max="5129" width="7.85546875" style="1118" customWidth="1"/>
    <col min="5130" max="5130" width="10.85546875" style="1118" customWidth="1"/>
    <col min="5131" max="5131" width="13" style="1118" customWidth="1"/>
    <col min="5132" max="5132" width="11.42578125" style="1118" customWidth="1"/>
    <col min="5133" max="5133" width="10" style="1118" customWidth="1"/>
    <col min="5134" max="5134" width="7.85546875" style="1118" customWidth="1"/>
    <col min="5135" max="5135" width="10.140625" style="1118" customWidth="1"/>
    <col min="5136" max="5137" width="7.85546875" style="1118" customWidth="1"/>
    <col min="5138" max="5138" width="10.85546875" style="1118" customWidth="1"/>
    <col min="5139" max="5139" width="10.7109375" style="1118" customWidth="1"/>
    <col min="5140" max="5140" width="11" style="1118" customWidth="1"/>
    <col min="5141" max="5143" width="7.85546875" style="1118" customWidth="1"/>
    <col min="5144" max="5144" width="11.28515625" style="1118" customWidth="1"/>
    <col min="5145" max="5145" width="12.42578125" style="1118" customWidth="1"/>
    <col min="5146" max="5146" width="11" style="1118" customWidth="1"/>
    <col min="5147" max="5148" width="7.85546875" style="1118" customWidth="1"/>
    <col min="5149" max="5149" width="11" style="1118" customWidth="1"/>
    <col min="5150" max="5150" width="10.5703125" style="1118" customWidth="1"/>
    <col min="5151" max="5152" width="11" style="1118" customWidth="1"/>
    <col min="5153" max="5157" width="7.85546875" style="1118" bestFit="1" customWidth="1"/>
    <col min="5158" max="5158" width="8.42578125" style="1118" bestFit="1" customWidth="1"/>
    <col min="5159" max="5159" width="11.42578125" style="1118" customWidth="1"/>
    <col min="5160" max="5160" width="7.85546875" style="1118" bestFit="1" customWidth="1"/>
    <col min="5161" max="5161" width="9.5703125" style="1118" customWidth="1"/>
    <col min="5162" max="5162" width="7.85546875" style="1118" bestFit="1" customWidth="1"/>
    <col min="5163" max="5163" width="12" style="1118" customWidth="1"/>
    <col min="5164" max="5164" width="13.42578125" style="1118" customWidth="1"/>
    <col min="5165" max="5165" width="9.5703125" style="1118" bestFit="1" customWidth="1"/>
    <col min="5166" max="5172" width="9.140625" style="1118" customWidth="1"/>
    <col min="5173" max="5376" width="9.140625" style="1118"/>
    <col min="5377" max="5377" width="16.7109375" style="1118" customWidth="1"/>
    <col min="5378" max="5378" width="52.5703125" style="1118" customWidth="1"/>
    <col min="5379" max="5379" width="11" style="1118" customWidth="1"/>
    <col min="5380" max="5380" width="13.42578125" style="1118" customWidth="1"/>
    <col min="5381" max="5381" width="11.28515625" style="1118" customWidth="1"/>
    <col min="5382" max="5382" width="10.28515625" style="1118" customWidth="1"/>
    <col min="5383" max="5383" width="13.85546875" style="1118" customWidth="1"/>
    <col min="5384" max="5385" width="7.85546875" style="1118" customWidth="1"/>
    <col min="5386" max="5386" width="10.85546875" style="1118" customWidth="1"/>
    <col min="5387" max="5387" width="13" style="1118" customWidth="1"/>
    <col min="5388" max="5388" width="11.42578125" style="1118" customWidth="1"/>
    <col min="5389" max="5389" width="10" style="1118" customWidth="1"/>
    <col min="5390" max="5390" width="7.85546875" style="1118" customWidth="1"/>
    <col min="5391" max="5391" width="10.140625" style="1118" customWidth="1"/>
    <col min="5392" max="5393" width="7.85546875" style="1118" customWidth="1"/>
    <col min="5394" max="5394" width="10.85546875" style="1118" customWidth="1"/>
    <col min="5395" max="5395" width="10.7109375" style="1118" customWidth="1"/>
    <col min="5396" max="5396" width="11" style="1118" customWidth="1"/>
    <col min="5397" max="5399" width="7.85546875" style="1118" customWidth="1"/>
    <col min="5400" max="5400" width="11.28515625" style="1118" customWidth="1"/>
    <col min="5401" max="5401" width="12.42578125" style="1118" customWidth="1"/>
    <col min="5402" max="5402" width="11" style="1118" customWidth="1"/>
    <col min="5403" max="5404" width="7.85546875" style="1118" customWidth="1"/>
    <col min="5405" max="5405" width="11" style="1118" customWidth="1"/>
    <col min="5406" max="5406" width="10.5703125" style="1118" customWidth="1"/>
    <col min="5407" max="5408" width="11" style="1118" customWidth="1"/>
    <col min="5409" max="5413" width="7.85546875" style="1118" bestFit="1" customWidth="1"/>
    <col min="5414" max="5414" width="8.42578125" style="1118" bestFit="1" customWidth="1"/>
    <col min="5415" max="5415" width="11.42578125" style="1118" customWidth="1"/>
    <col min="5416" max="5416" width="7.85546875" style="1118" bestFit="1" customWidth="1"/>
    <col min="5417" max="5417" width="9.5703125" style="1118" customWidth="1"/>
    <col min="5418" max="5418" width="7.85546875" style="1118" bestFit="1" customWidth="1"/>
    <col min="5419" max="5419" width="12" style="1118" customWidth="1"/>
    <col min="5420" max="5420" width="13.42578125" style="1118" customWidth="1"/>
    <col min="5421" max="5421" width="9.5703125" style="1118" bestFit="1" customWidth="1"/>
    <col min="5422" max="5428" width="9.140625" style="1118" customWidth="1"/>
    <col min="5429" max="5632" width="9.140625" style="1118"/>
    <col min="5633" max="5633" width="16.7109375" style="1118" customWidth="1"/>
    <col min="5634" max="5634" width="52.5703125" style="1118" customWidth="1"/>
    <col min="5635" max="5635" width="11" style="1118" customWidth="1"/>
    <col min="5636" max="5636" width="13.42578125" style="1118" customWidth="1"/>
    <col min="5637" max="5637" width="11.28515625" style="1118" customWidth="1"/>
    <col min="5638" max="5638" width="10.28515625" style="1118" customWidth="1"/>
    <col min="5639" max="5639" width="13.85546875" style="1118" customWidth="1"/>
    <col min="5640" max="5641" width="7.85546875" style="1118" customWidth="1"/>
    <col min="5642" max="5642" width="10.85546875" style="1118" customWidth="1"/>
    <col min="5643" max="5643" width="13" style="1118" customWidth="1"/>
    <col min="5644" max="5644" width="11.42578125" style="1118" customWidth="1"/>
    <col min="5645" max="5645" width="10" style="1118" customWidth="1"/>
    <col min="5646" max="5646" width="7.85546875" style="1118" customWidth="1"/>
    <col min="5647" max="5647" width="10.140625" style="1118" customWidth="1"/>
    <col min="5648" max="5649" width="7.85546875" style="1118" customWidth="1"/>
    <col min="5650" max="5650" width="10.85546875" style="1118" customWidth="1"/>
    <col min="5651" max="5651" width="10.7109375" style="1118" customWidth="1"/>
    <col min="5652" max="5652" width="11" style="1118" customWidth="1"/>
    <col min="5653" max="5655" width="7.85546875" style="1118" customWidth="1"/>
    <col min="5656" max="5656" width="11.28515625" style="1118" customWidth="1"/>
    <col min="5657" max="5657" width="12.42578125" style="1118" customWidth="1"/>
    <col min="5658" max="5658" width="11" style="1118" customWidth="1"/>
    <col min="5659" max="5660" width="7.85546875" style="1118" customWidth="1"/>
    <col min="5661" max="5661" width="11" style="1118" customWidth="1"/>
    <col min="5662" max="5662" width="10.5703125" style="1118" customWidth="1"/>
    <col min="5663" max="5664" width="11" style="1118" customWidth="1"/>
    <col min="5665" max="5669" width="7.85546875" style="1118" bestFit="1" customWidth="1"/>
    <col min="5670" max="5670" width="8.42578125" style="1118" bestFit="1" customWidth="1"/>
    <col min="5671" max="5671" width="11.42578125" style="1118" customWidth="1"/>
    <col min="5672" max="5672" width="7.85546875" style="1118" bestFit="1" customWidth="1"/>
    <col min="5673" max="5673" width="9.5703125" style="1118" customWidth="1"/>
    <col min="5674" max="5674" width="7.85546875" style="1118" bestFit="1" customWidth="1"/>
    <col min="5675" max="5675" width="12" style="1118" customWidth="1"/>
    <col min="5676" max="5676" width="13.42578125" style="1118" customWidth="1"/>
    <col min="5677" max="5677" width="9.5703125" style="1118" bestFit="1" customWidth="1"/>
    <col min="5678" max="5684" width="9.140625" style="1118" customWidth="1"/>
    <col min="5685" max="5888" width="9.140625" style="1118"/>
    <col min="5889" max="5889" width="16.7109375" style="1118" customWidth="1"/>
    <col min="5890" max="5890" width="52.5703125" style="1118" customWidth="1"/>
    <col min="5891" max="5891" width="11" style="1118" customWidth="1"/>
    <col min="5892" max="5892" width="13.42578125" style="1118" customWidth="1"/>
    <col min="5893" max="5893" width="11.28515625" style="1118" customWidth="1"/>
    <col min="5894" max="5894" width="10.28515625" style="1118" customWidth="1"/>
    <col min="5895" max="5895" width="13.85546875" style="1118" customWidth="1"/>
    <col min="5896" max="5897" width="7.85546875" style="1118" customWidth="1"/>
    <col min="5898" max="5898" width="10.85546875" style="1118" customWidth="1"/>
    <col min="5899" max="5899" width="13" style="1118" customWidth="1"/>
    <col min="5900" max="5900" width="11.42578125" style="1118" customWidth="1"/>
    <col min="5901" max="5901" width="10" style="1118" customWidth="1"/>
    <col min="5902" max="5902" width="7.85546875" style="1118" customWidth="1"/>
    <col min="5903" max="5903" width="10.140625" style="1118" customWidth="1"/>
    <col min="5904" max="5905" width="7.85546875" style="1118" customWidth="1"/>
    <col min="5906" max="5906" width="10.85546875" style="1118" customWidth="1"/>
    <col min="5907" max="5907" width="10.7109375" style="1118" customWidth="1"/>
    <col min="5908" max="5908" width="11" style="1118" customWidth="1"/>
    <col min="5909" max="5911" width="7.85546875" style="1118" customWidth="1"/>
    <col min="5912" max="5912" width="11.28515625" style="1118" customWidth="1"/>
    <col min="5913" max="5913" width="12.42578125" style="1118" customWidth="1"/>
    <col min="5914" max="5914" width="11" style="1118" customWidth="1"/>
    <col min="5915" max="5916" width="7.85546875" style="1118" customWidth="1"/>
    <col min="5917" max="5917" width="11" style="1118" customWidth="1"/>
    <col min="5918" max="5918" width="10.5703125" style="1118" customWidth="1"/>
    <col min="5919" max="5920" width="11" style="1118" customWidth="1"/>
    <col min="5921" max="5925" width="7.85546875" style="1118" bestFit="1" customWidth="1"/>
    <col min="5926" max="5926" width="8.42578125" style="1118" bestFit="1" customWidth="1"/>
    <col min="5927" max="5927" width="11.42578125" style="1118" customWidth="1"/>
    <col min="5928" max="5928" width="7.85546875" style="1118" bestFit="1" customWidth="1"/>
    <col min="5929" max="5929" width="9.5703125" style="1118" customWidth="1"/>
    <col min="5930" max="5930" width="7.85546875" style="1118" bestFit="1" customWidth="1"/>
    <col min="5931" max="5931" width="12" style="1118" customWidth="1"/>
    <col min="5932" max="5932" width="13.42578125" style="1118" customWidth="1"/>
    <col min="5933" max="5933" width="9.5703125" style="1118" bestFit="1" customWidth="1"/>
    <col min="5934" max="5940" width="9.140625" style="1118" customWidth="1"/>
    <col min="5941" max="6144" width="9.140625" style="1118"/>
    <col min="6145" max="6145" width="16.7109375" style="1118" customWidth="1"/>
    <col min="6146" max="6146" width="52.5703125" style="1118" customWidth="1"/>
    <col min="6147" max="6147" width="11" style="1118" customWidth="1"/>
    <col min="6148" max="6148" width="13.42578125" style="1118" customWidth="1"/>
    <col min="6149" max="6149" width="11.28515625" style="1118" customWidth="1"/>
    <col min="6150" max="6150" width="10.28515625" style="1118" customWidth="1"/>
    <col min="6151" max="6151" width="13.85546875" style="1118" customWidth="1"/>
    <col min="6152" max="6153" width="7.85546875" style="1118" customWidth="1"/>
    <col min="6154" max="6154" width="10.85546875" style="1118" customWidth="1"/>
    <col min="6155" max="6155" width="13" style="1118" customWidth="1"/>
    <col min="6156" max="6156" width="11.42578125" style="1118" customWidth="1"/>
    <col min="6157" max="6157" width="10" style="1118" customWidth="1"/>
    <col min="6158" max="6158" width="7.85546875" style="1118" customWidth="1"/>
    <col min="6159" max="6159" width="10.140625" style="1118" customWidth="1"/>
    <col min="6160" max="6161" width="7.85546875" style="1118" customWidth="1"/>
    <col min="6162" max="6162" width="10.85546875" style="1118" customWidth="1"/>
    <col min="6163" max="6163" width="10.7109375" style="1118" customWidth="1"/>
    <col min="6164" max="6164" width="11" style="1118" customWidth="1"/>
    <col min="6165" max="6167" width="7.85546875" style="1118" customWidth="1"/>
    <col min="6168" max="6168" width="11.28515625" style="1118" customWidth="1"/>
    <col min="6169" max="6169" width="12.42578125" style="1118" customWidth="1"/>
    <col min="6170" max="6170" width="11" style="1118" customWidth="1"/>
    <col min="6171" max="6172" width="7.85546875" style="1118" customWidth="1"/>
    <col min="6173" max="6173" width="11" style="1118" customWidth="1"/>
    <col min="6174" max="6174" width="10.5703125" style="1118" customWidth="1"/>
    <col min="6175" max="6176" width="11" style="1118" customWidth="1"/>
    <col min="6177" max="6181" width="7.85546875" style="1118" bestFit="1" customWidth="1"/>
    <col min="6182" max="6182" width="8.42578125" style="1118" bestFit="1" customWidth="1"/>
    <col min="6183" max="6183" width="11.42578125" style="1118" customWidth="1"/>
    <col min="6184" max="6184" width="7.85546875" style="1118" bestFit="1" customWidth="1"/>
    <col min="6185" max="6185" width="9.5703125" style="1118" customWidth="1"/>
    <col min="6186" max="6186" width="7.85546875" style="1118" bestFit="1" customWidth="1"/>
    <col min="6187" max="6187" width="12" style="1118" customWidth="1"/>
    <col min="6188" max="6188" width="13.42578125" style="1118" customWidth="1"/>
    <col min="6189" max="6189" width="9.5703125" style="1118" bestFit="1" customWidth="1"/>
    <col min="6190" max="6196" width="9.140625" style="1118" customWidth="1"/>
    <col min="6197" max="6400" width="9.140625" style="1118"/>
    <col min="6401" max="6401" width="16.7109375" style="1118" customWidth="1"/>
    <col min="6402" max="6402" width="52.5703125" style="1118" customWidth="1"/>
    <col min="6403" max="6403" width="11" style="1118" customWidth="1"/>
    <col min="6404" max="6404" width="13.42578125" style="1118" customWidth="1"/>
    <col min="6405" max="6405" width="11.28515625" style="1118" customWidth="1"/>
    <col min="6406" max="6406" width="10.28515625" style="1118" customWidth="1"/>
    <col min="6407" max="6407" width="13.85546875" style="1118" customWidth="1"/>
    <col min="6408" max="6409" width="7.85546875" style="1118" customWidth="1"/>
    <col min="6410" max="6410" width="10.85546875" style="1118" customWidth="1"/>
    <col min="6411" max="6411" width="13" style="1118" customWidth="1"/>
    <col min="6412" max="6412" width="11.42578125" style="1118" customWidth="1"/>
    <col min="6413" max="6413" width="10" style="1118" customWidth="1"/>
    <col min="6414" max="6414" width="7.85546875" style="1118" customWidth="1"/>
    <col min="6415" max="6415" width="10.140625" style="1118" customWidth="1"/>
    <col min="6416" max="6417" width="7.85546875" style="1118" customWidth="1"/>
    <col min="6418" max="6418" width="10.85546875" style="1118" customWidth="1"/>
    <col min="6419" max="6419" width="10.7109375" style="1118" customWidth="1"/>
    <col min="6420" max="6420" width="11" style="1118" customWidth="1"/>
    <col min="6421" max="6423" width="7.85546875" style="1118" customWidth="1"/>
    <col min="6424" max="6424" width="11.28515625" style="1118" customWidth="1"/>
    <col min="6425" max="6425" width="12.42578125" style="1118" customWidth="1"/>
    <col min="6426" max="6426" width="11" style="1118" customWidth="1"/>
    <col min="6427" max="6428" width="7.85546875" style="1118" customWidth="1"/>
    <col min="6429" max="6429" width="11" style="1118" customWidth="1"/>
    <col min="6430" max="6430" width="10.5703125" style="1118" customWidth="1"/>
    <col min="6431" max="6432" width="11" style="1118" customWidth="1"/>
    <col min="6433" max="6437" width="7.85546875" style="1118" bestFit="1" customWidth="1"/>
    <col min="6438" max="6438" width="8.42578125" style="1118" bestFit="1" customWidth="1"/>
    <col min="6439" max="6439" width="11.42578125" style="1118" customWidth="1"/>
    <col min="6440" max="6440" width="7.85546875" style="1118" bestFit="1" customWidth="1"/>
    <col min="6441" max="6441" width="9.5703125" style="1118" customWidth="1"/>
    <col min="6442" max="6442" width="7.85546875" style="1118" bestFit="1" customWidth="1"/>
    <col min="6443" max="6443" width="12" style="1118" customWidth="1"/>
    <col min="6444" max="6444" width="13.42578125" style="1118" customWidth="1"/>
    <col min="6445" max="6445" width="9.5703125" style="1118" bestFit="1" customWidth="1"/>
    <col min="6446" max="6452" width="9.140625" style="1118" customWidth="1"/>
    <col min="6453" max="6656" width="9.140625" style="1118"/>
    <col min="6657" max="6657" width="16.7109375" style="1118" customWidth="1"/>
    <col min="6658" max="6658" width="52.5703125" style="1118" customWidth="1"/>
    <col min="6659" max="6659" width="11" style="1118" customWidth="1"/>
    <col min="6660" max="6660" width="13.42578125" style="1118" customWidth="1"/>
    <col min="6661" max="6661" width="11.28515625" style="1118" customWidth="1"/>
    <col min="6662" max="6662" width="10.28515625" style="1118" customWidth="1"/>
    <col min="6663" max="6663" width="13.85546875" style="1118" customWidth="1"/>
    <col min="6664" max="6665" width="7.85546875" style="1118" customWidth="1"/>
    <col min="6666" max="6666" width="10.85546875" style="1118" customWidth="1"/>
    <col min="6667" max="6667" width="13" style="1118" customWidth="1"/>
    <col min="6668" max="6668" width="11.42578125" style="1118" customWidth="1"/>
    <col min="6669" max="6669" width="10" style="1118" customWidth="1"/>
    <col min="6670" max="6670" width="7.85546875" style="1118" customWidth="1"/>
    <col min="6671" max="6671" width="10.140625" style="1118" customWidth="1"/>
    <col min="6672" max="6673" width="7.85546875" style="1118" customWidth="1"/>
    <col min="6674" max="6674" width="10.85546875" style="1118" customWidth="1"/>
    <col min="6675" max="6675" width="10.7109375" style="1118" customWidth="1"/>
    <col min="6676" max="6676" width="11" style="1118" customWidth="1"/>
    <col min="6677" max="6679" width="7.85546875" style="1118" customWidth="1"/>
    <col min="6680" max="6680" width="11.28515625" style="1118" customWidth="1"/>
    <col min="6681" max="6681" width="12.42578125" style="1118" customWidth="1"/>
    <col min="6682" max="6682" width="11" style="1118" customWidth="1"/>
    <col min="6683" max="6684" width="7.85546875" style="1118" customWidth="1"/>
    <col min="6685" max="6685" width="11" style="1118" customWidth="1"/>
    <col min="6686" max="6686" width="10.5703125" style="1118" customWidth="1"/>
    <col min="6687" max="6688" width="11" style="1118" customWidth="1"/>
    <col min="6689" max="6693" width="7.85546875" style="1118" bestFit="1" customWidth="1"/>
    <col min="6694" max="6694" width="8.42578125" style="1118" bestFit="1" customWidth="1"/>
    <col min="6695" max="6695" width="11.42578125" style="1118" customWidth="1"/>
    <col min="6696" max="6696" width="7.85546875" style="1118" bestFit="1" customWidth="1"/>
    <col min="6697" max="6697" width="9.5703125" style="1118" customWidth="1"/>
    <col min="6698" max="6698" width="7.85546875" style="1118" bestFit="1" customWidth="1"/>
    <col min="6699" max="6699" width="12" style="1118" customWidth="1"/>
    <col min="6700" max="6700" width="13.42578125" style="1118" customWidth="1"/>
    <col min="6701" max="6701" width="9.5703125" style="1118" bestFit="1" customWidth="1"/>
    <col min="6702" max="6708" width="9.140625" style="1118" customWidth="1"/>
    <col min="6709" max="6912" width="9.140625" style="1118"/>
    <col min="6913" max="6913" width="16.7109375" style="1118" customWidth="1"/>
    <col min="6914" max="6914" width="52.5703125" style="1118" customWidth="1"/>
    <col min="6915" max="6915" width="11" style="1118" customWidth="1"/>
    <col min="6916" max="6916" width="13.42578125" style="1118" customWidth="1"/>
    <col min="6917" max="6917" width="11.28515625" style="1118" customWidth="1"/>
    <col min="6918" max="6918" width="10.28515625" style="1118" customWidth="1"/>
    <col min="6919" max="6919" width="13.85546875" style="1118" customWidth="1"/>
    <col min="6920" max="6921" width="7.85546875" style="1118" customWidth="1"/>
    <col min="6922" max="6922" width="10.85546875" style="1118" customWidth="1"/>
    <col min="6923" max="6923" width="13" style="1118" customWidth="1"/>
    <col min="6924" max="6924" width="11.42578125" style="1118" customWidth="1"/>
    <col min="6925" max="6925" width="10" style="1118" customWidth="1"/>
    <col min="6926" max="6926" width="7.85546875" style="1118" customWidth="1"/>
    <col min="6927" max="6927" width="10.140625" style="1118" customWidth="1"/>
    <col min="6928" max="6929" width="7.85546875" style="1118" customWidth="1"/>
    <col min="6930" max="6930" width="10.85546875" style="1118" customWidth="1"/>
    <col min="6931" max="6931" width="10.7109375" style="1118" customWidth="1"/>
    <col min="6932" max="6932" width="11" style="1118" customWidth="1"/>
    <col min="6933" max="6935" width="7.85546875" style="1118" customWidth="1"/>
    <col min="6936" max="6936" width="11.28515625" style="1118" customWidth="1"/>
    <col min="6937" max="6937" width="12.42578125" style="1118" customWidth="1"/>
    <col min="6938" max="6938" width="11" style="1118" customWidth="1"/>
    <col min="6939" max="6940" width="7.85546875" style="1118" customWidth="1"/>
    <col min="6941" max="6941" width="11" style="1118" customWidth="1"/>
    <col min="6942" max="6942" width="10.5703125" style="1118" customWidth="1"/>
    <col min="6943" max="6944" width="11" style="1118" customWidth="1"/>
    <col min="6945" max="6949" width="7.85546875" style="1118" bestFit="1" customWidth="1"/>
    <col min="6950" max="6950" width="8.42578125" style="1118" bestFit="1" customWidth="1"/>
    <col min="6951" max="6951" width="11.42578125" style="1118" customWidth="1"/>
    <col min="6952" max="6952" width="7.85546875" style="1118" bestFit="1" customWidth="1"/>
    <col min="6953" max="6953" width="9.5703125" style="1118" customWidth="1"/>
    <col min="6954" max="6954" width="7.85546875" style="1118" bestFit="1" customWidth="1"/>
    <col min="6955" max="6955" width="12" style="1118" customWidth="1"/>
    <col min="6956" max="6956" width="13.42578125" style="1118" customWidth="1"/>
    <col min="6957" max="6957" width="9.5703125" style="1118" bestFit="1" customWidth="1"/>
    <col min="6958" max="6964" width="9.140625" style="1118" customWidth="1"/>
    <col min="6965" max="7168" width="9.140625" style="1118"/>
    <col min="7169" max="7169" width="16.7109375" style="1118" customWidth="1"/>
    <col min="7170" max="7170" width="52.5703125" style="1118" customWidth="1"/>
    <col min="7171" max="7171" width="11" style="1118" customWidth="1"/>
    <col min="7172" max="7172" width="13.42578125" style="1118" customWidth="1"/>
    <col min="7173" max="7173" width="11.28515625" style="1118" customWidth="1"/>
    <col min="7174" max="7174" width="10.28515625" style="1118" customWidth="1"/>
    <col min="7175" max="7175" width="13.85546875" style="1118" customWidth="1"/>
    <col min="7176" max="7177" width="7.85546875" style="1118" customWidth="1"/>
    <col min="7178" max="7178" width="10.85546875" style="1118" customWidth="1"/>
    <col min="7179" max="7179" width="13" style="1118" customWidth="1"/>
    <col min="7180" max="7180" width="11.42578125" style="1118" customWidth="1"/>
    <col min="7181" max="7181" width="10" style="1118" customWidth="1"/>
    <col min="7182" max="7182" width="7.85546875" style="1118" customWidth="1"/>
    <col min="7183" max="7183" width="10.140625" style="1118" customWidth="1"/>
    <col min="7184" max="7185" width="7.85546875" style="1118" customWidth="1"/>
    <col min="7186" max="7186" width="10.85546875" style="1118" customWidth="1"/>
    <col min="7187" max="7187" width="10.7109375" style="1118" customWidth="1"/>
    <col min="7188" max="7188" width="11" style="1118" customWidth="1"/>
    <col min="7189" max="7191" width="7.85546875" style="1118" customWidth="1"/>
    <col min="7192" max="7192" width="11.28515625" style="1118" customWidth="1"/>
    <col min="7193" max="7193" width="12.42578125" style="1118" customWidth="1"/>
    <col min="7194" max="7194" width="11" style="1118" customWidth="1"/>
    <col min="7195" max="7196" width="7.85546875" style="1118" customWidth="1"/>
    <col min="7197" max="7197" width="11" style="1118" customWidth="1"/>
    <col min="7198" max="7198" width="10.5703125" style="1118" customWidth="1"/>
    <col min="7199" max="7200" width="11" style="1118" customWidth="1"/>
    <col min="7201" max="7205" width="7.85546875" style="1118" bestFit="1" customWidth="1"/>
    <col min="7206" max="7206" width="8.42578125" style="1118" bestFit="1" customWidth="1"/>
    <col min="7207" max="7207" width="11.42578125" style="1118" customWidth="1"/>
    <col min="7208" max="7208" width="7.85546875" style="1118" bestFit="1" customWidth="1"/>
    <col min="7209" max="7209" width="9.5703125" style="1118" customWidth="1"/>
    <col min="7210" max="7210" width="7.85546875" style="1118" bestFit="1" customWidth="1"/>
    <col min="7211" max="7211" width="12" style="1118" customWidth="1"/>
    <col min="7212" max="7212" width="13.42578125" style="1118" customWidth="1"/>
    <col min="7213" max="7213" width="9.5703125" style="1118" bestFit="1" customWidth="1"/>
    <col min="7214" max="7220" width="9.140625" style="1118" customWidth="1"/>
    <col min="7221" max="7424" width="9.140625" style="1118"/>
    <col min="7425" max="7425" width="16.7109375" style="1118" customWidth="1"/>
    <col min="7426" max="7426" width="52.5703125" style="1118" customWidth="1"/>
    <col min="7427" max="7427" width="11" style="1118" customWidth="1"/>
    <col min="7428" max="7428" width="13.42578125" style="1118" customWidth="1"/>
    <col min="7429" max="7429" width="11.28515625" style="1118" customWidth="1"/>
    <col min="7430" max="7430" width="10.28515625" style="1118" customWidth="1"/>
    <col min="7431" max="7431" width="13.85546875" style="1118" customWidth="1"/>
    <col min="7432" max="7433" width="7.85546875" style="1118" customWidth="1"/>
    <col min="7434" max="7434" width="10.85546875" style="1118" customWidth="1"/>
    <col min="7435" max="7435" width="13" style="1118" customWidth="1"/>
    <col min="7436" max="7436" width="11.42578125" style="1118" customWidth="1"/>
    <col min="7437" max="7437" width="10" style="1118" customWidth="1"/>
    <col min="7438" max="7438" width="7.85546875" style="1118" customWidth="1"/>
    <col min="7439" max="7439" width="10.140625" style="1118" customWidth="1"/>
    <col min="7440" max="7441" width="7.85546875" style="1118" customWidth="1"/>
    <col min="7442" max="7442" width="10.85546875" style="1118" customWidth="1"/>
    <col min="7443" max="7443" width="10.7109375" style="1118" customWidth="1"/>
    <col min="7444" max="7444" width="11" style="1118" customWidth="1"/>
    <col min="7445" max="7447" width="7.85546875" style="1118" customWidth="1"/>
    <col min="7448" max="7448" width="11.28515625" style="1118" customWidth="1"/>
    <col min="7449" max="7449" width="12.42578125" style="1118" customWidth="1"/>
    <col min="7450" max="7450" width="11" style="1118" customWidth="1"/>
    <col min="7451" max="7452" width="7.85546875" style="1118" customWidth="1"/>
    <col min="7453" max="7453" width="11" style="1118" customWidth="1"/>
    <col min="7454" max="7454" width="10.5703125" style="1118" customWidth="1"/>
    <col min="7455" max="7456" width="11" style="1118" customWidth="1"/>
    <col min="7457" max="7461" width="7.85546875" style="1118" bestFit="1" customWidth="1"/>
    <col min="7462" max="7462" width="8.42578125" style="1118" bestFit="1" customWidth="1"/>
    <col min="7463" max="7463" width="11.42578125" style="1118" customWidth="1"/>
    <col min="7464" max="7464" width="7.85546875" style="1118" bestFit="1" customWidth="1"/>
    <col min="7465" max="7465" width="9.5703125" style="1118" customWidth="1"/>
    <col min="7466" max="7466" width="7.85546875" style="1118" bestFit="1" customWidth="1"/>
    <col min="7467" max="7467" width="12" style="1118" customWidth="1"/>
    <col min="7468" max="7468" width="13.42578125" style="1118" customWidth="1"/>
    <col min="7469" max="7469" width="9.5703125" style="1118" bestFit="1" customWidth="1"/>
    <col min="7470" max="7476" width="9.140625" style="1118" customWidth="1"/>
    <col min="7477" max="7680" width="9.140625" style="1118"/>
    <col min="7681" max="7681" width="16.7109375" style="1118" customWidth="1"/>
    <col min="7682" max="7682" width="52.5703125" style="1118" customWidth="1"/>
    <col min="7683" max="7683" width="11" style="1118" customWidth="1"/>
    <col min="7684" max="7684" width="13.42578125" style="1118" customWidth="1"/>
    <col min="7685" max="7685" width="11.28515625" style="1118" customWidth="1"/>
    <col min="7686" max="7686" width="10.28515625" style="1118" customWidth="1"/>
    <col min="7687" max="7687" width="13.85546875" style="1118" customWidth="1"/>
    <col min="7688" max="7689" width="7.85546875" style="1118" customWidth="1"/>
    <col min="7690" max="7690" width="10.85546875" style="1118" customWidth="1"/>
    <col min="7691" max="7691" width="13" style="1118" customWidth="1"/>
    <col min="7692" max="7692" width="11.42578125" style="1118" customWidth="1"/>
    <col min="7693" max="7693" width="10" style="1118" customWidth="1"/>
    <col min="7694" max="7694" width="7.85546875" style="1118" customWidth="1"/>
    <col min="7695" max="7695" width="10.140625" style="1118" customWidth="1"/>
    <col min="7696" max="7697" width="7.85546875" style="1118" customWidth="1"/>
    <col min="7698" max="7698" width="10.85546875" style="1118" customWidth="1"/>
    <col min="7699" max="7699" width="10.7109375" style="1118" customWidth="1"/>
    <col min="7700" max="7700" width="11" style="1118" customWidth="1"/>
    <col min="7701" max="7703" width="7.85546875" style="1118" customWidth="1"/>
    <col min="7704" max="7704" width="11.28515625" style="1118" customWidth="1"/>
    <col min="7705" max="7705" width="12.42578125" style="1118" customWidth="1"/>
    <col min="7706" max="7706" width="11" style="1118" customWidth="1"/>
    <col min="7707" max="7708" width="7.85546875" style="1118" customWidth="1"/>
    <col min="7709" max="7709" width="11" style="1118" customWidth="1"/>
    <col min="7710" max="7710" width="10.5703125" style="1118" customWidth="1"/>
    <col min="7711" max="7712" width="11" style="1118" customWidth="1"/>
    <col min="7713" max="7717" width="7.85546875" style="1118" bestFit="1" customWidth="1"/>
    <col min="7718" max="7718" width="8.42578125" style="1118" bestFit="1" customWidth="1"/>
    <col min="7719" max="7719" width="11.42578125" style="1118" customWidth="1"/>
    <col min="7720" max="7720" width="7.85546875" style="1118" bestFit="1" customWidth="1"/>
    <col min="7721" max="7721" width="9.5703125" style="1118" customWidth="1"/>
    <col min="7722" max="7722" width="7.85546875" style="1118" bestFit="1" customWidth="1"/>
    <col min="7723" max="7723" width="12" style="1118" customWidth="1"/>
    <col min="7724" max="7724" width="13.42578125" style="1118" customWidth="1"/>
    <col min="7725" max="7725" width="9.5703125" style="1118" bestFit="1" customWidth="1"/>
    <col min="7726" max="7732" width="9.140625" style="1118" customWidth="1"/>
    <col min="7733" max="7936" width="9.140625" style="1118"/>
    <col min="7937" max="7937" width="16.7109375" style="1118" customWidth="1"/>
    <col min="7938" max="7938" width="52.5703125" style="1118" customWidth="1"/>
    <col min="7939" max="7939" width="11" style="1118" customWidth="1"/>
    <col min="7940" max="7940" width="13.42578125" style="1118" customWidth="1"/>
    <col min="7941" max="7941" width="11.28515625" style="1118" customWidth="1"/>
    <col min="7942" max="7942" width="10.28515625" style="1118" customWidth="1"/>
    <col min="7943" max="7943" width="13.85546875" style="1118" customWidth="1"/>
    <col min="7944" max="7945" width="7.85546875" style="1118" customWidth="1"/>
    <col min="7946" max="7946" width="10.85546875" style="1118" customWidth="1"/>
    <col min="7947" max="7947" width="13" style="1118" customWidth="1"/>
    <col min="7948" max="7948" width="11.42578125" style="1118" customWidth="1"/>
    <col min="7949" max="7949" width="10" style="1118" customWidth="1"/>
    <col min="7950" max="7950" width="7.85546875" style="1118" customWidth="1"/>
    <col min="7951" max="7951" width="10.140625" style="1118" customWidth="1"/>
    <col min="7952" max="7953" width="7.85546875" style="1118" customWidth="1"/>
    <col min="7954" max="7954" width="10.85546875" style="1118" customWidth="1"/>
    <col min="7955" max="7955" width="10.7109375" style="1118" customWidth="1"/>
    <col min="7956" max="7956" width="11" style="1118" customWidth="1"/>
    <col min="7957" max="7959" width="7.85546875" style="1118" customWidth="1"/>
    <col min="7960" max="7960" width="11.28515625" style="1118" customWidth="1"/>
    <col min="7961" max="7961" width="12.42578125" style="1118" customWidth="1"/>
    <col min="7962" max="7962" width="11" style="1118" customWidth="1"/>
    <col min="7963" max="7964" width="7.85546875" style="1118" customWidth="1"/>
    <col min="7965" max="7965" width="11" style="1118" customWidth="1"/>
    <col min="7966" max="7966" width="10.5703125" style="1118" customWidth="1"/>
    <col min="7967" max="7968" width="11" style="1118" customWidth="1"/>
    <col min="7969" max="7973" width="7.85546875" style="1118" bestFit="1" customWidth="1"/>
    <col min="7974" max="7974" width="8.42578125" style="1118" bestFit="1" customWidth="1"/>
    <col min="7975" max="7975" width="11.42578125" style="1118" customWidth="1"/>
    <col min="7976" max="7976" width="7.85546875" style="1118" bestFit="1" customWidth="1"/>
    <col min="7977" max="7977" width="9.5703125" style="1118" customWidth="1"/>
    <col min="7978" max="7978" width="7.85546875" style="1118" bestFit="1" customWidth="1"/>
    <col min="7979" max="7979" width="12" style="1118" customWidth="1"/>
    <col min="7980" max="7980" width="13.42578125" style="1118" customWidth="1"/>
    <col min="7981" max="7981" width="9.5703125" style="1118" bestFit="1" customWidth="1"/>
    <col min="7982" max="7988" width="9.140625" style="1118" customWidth="1"/>
    <col min="7989" max="8192" width="9.140625" style="1118"/>
    <col min="8193" max="8193" width="16.7109375" style="1118" customWidth="1"/>
    <col min="8194" max="8194" width="52.5703125" style="1118" customWidth="1"/>
    <col min="8195" max="8195" width="11" style="1118" customWidth="1"/>
    <col min="8196" max="8196" width="13.42578125" style="1118" customWidth="1"/>
    <col min="8197" max="8197" width="11.28515625" style="1118" customWidth="1"/>
    <col min="8198" max="8198" width="10.28515625" style="1118" customWidth="1"/>
    <col min="8199" max="8199" width="13.85546875" style="1118" customWidth="1"/>
    <col min="8200" max="8201" width="7.85546875" style="1118" customWidth="1"/>
    <col min="8202" max="8202" width="10.85546875" style="1118" customWidth="1"/>
    <col min="8203" max="8203" width="13" style="1118" customWidth="1"/>
    <col min="8204" max="8204" width="11.42578125" style="1118" customWidth="1"/>
    <col min="8205" max="8205" width="10" style="1118" customWidth="1"/>
    <col min="8206" max="8206" width="7.85546875" style="1118" customWidth="1"/>
    <col min="8207" max="8207" width="10.140625" style="1118" customWidth="1"/>
    <col min="8208" max="8209" width="7.85546875" style="1118" customWidth="1"/>
    <col min="8210" max="8210" width="10.85546875" style="1118" customWidth="1"/>
    <col min="8211" max="8211" width="10.7109375" style="1118" customWidth="1"/>
    <col min="8212" max="8212" width="11" style="1118" customWidth="1"/>
    <col min="8213" max="8215" width="7.85546875" style="1118" customWidth="1"/>
    <col min="8216" max="8216" width="11.28515625" style="1118" customWidth="1"/>
    <col min="8217" max="8217" width="12.42578125" style="1118" customWidth="1"/>
    <col min="8218" max="8218" width="11" style="1118" customWidth="1"/>
    <col min="8219" max="8220" width="7.85546875" style="1118" customWidth="1"/>
    <col min="8221" max="8221" width="11" style="1118" customWidth="1"/>
    <col min="8222" max="8222" width="10.5703125" style="1118" customWidth="1"/>
    <col min="8223" max="8224" width="11" style="1118" customWidth="1"/>
    <col min="8225" max="8229" width="7.85546875" style="1118" bestFit="1" customWidth="1"/>
    <col min="8230" max="8230" width="8.42578125" style="1118" bestFit="1" customWidth="1"/>
    <col min="8231" max="8231" width="11.42578125" style="1118" customWidth="1"/>
    <col min="8232" max="8232" width="7.85546875" style="1118" bestFit="1" customWidth="1"/>
    <col min="8233" max="8233" width="9.5703125" style="1118" customWidth="1"/>
    <col min="8234" max="8234" width="7.85546875" style="1118" bestFit="1" customWidth="1"/>
    <col min="8235" max="8235" width="12" style="1118" customWidth="1"/>
    <col min="8236" max="8236" width="13.42578125" style="1118" customWidth="1"/>
    <col min="8237" max="8237" width="9.5703125" style="1118" bestFit="1" customWidth="1"/>
    <col min="8238" max="8244" width="9.140625" style="1118" customWidth="1"/>
    <col min="8245" max="8448" width="9.140625" style="1118"/>
    <col min="8449" max="8449" width="16.7109375" style="1118" customWidth="1"/>
    <col min="8450" max="8450" width="52.5703125" style="1118" customWidth="1"/>
    <col min="8451" max="8451" width="11" style="1118" customWidth="1"/>
    <col min="8452" max="8452" width="13.42578125" style="1118" customWidth="1"/>
    <col min="8453" max="8453" width="11.28515625" style="1118" customWidth="1"/>
    <col min="8454" max="8454" width="10.28515625" style="1118" customWidth="1"/>
    <col min="8455" max="8455" width="13.85546875" style="1118" customWidth="1"/>
    <col min="8456" max="8457" width="7.85546875" style="1118" customWidth="1"/>
    <col min="8458" max="8458" width="10.85546875" style="1118" customWidth="1"/>
    <col min="8459" max="8459" width="13" style="1118" customWidth="1"/>
    <col min="8460" max="8460" width="11.42578125" style="1118" customWidth="1"/>
    <col min="8461" max="8461" width="10" style="1118" customWidth="1"/>
    <col min="8462" max="8462" width="7.85546875" style="1118" customWidth="1"/>
    <col min="8463" max="8463" width="10.140625" style="1118" customWidth="1"/>
    <col min="8464" max="8465" width="7.85546875" style="1118" customWidth="1"/>
    <col min="8466" max="8466" width="10.85546875" style="1118" customWidth="1"/>
    <col min="8467" max="8467" width="10.7109375" style="1118" customWidth="1"/>
    <col min="8468" max="8468" width="11" style="1118" customWidth="1"/>
    <col min="8469" max="8471" width="7.85546875" style="1118" customWidth="1"/>
    <col min="8472" max="8472" width="11.28515625" style="1118" customWidth="1"/>
    <col min="8473" max="8473" width="12.42578125" style="1118" customWidth="1"/>
    <col min="8474" max="8474" width="11" style="1118" customWidth="1"/>
    <col min="8475" max="8476" width="7.85546875" style="1118" customWidth="1"/>
    <col min="8477" max="8477" width="11" style="1118" customWidth="1"/>
    <col min="8478" max="8478" width="10.5703125" style="1118" customWidth="1"/>
    <col min="8479" max="8480" width="11" style="1118" customWidth="1"/>
    <col min="8481" max="8485" width="7.85546875" style="1118" bestFit="1" customWidth="1"/>
    <col min="8486" max="8486" width="8.42578125" style="1118" bestFit="1" customWidth="1"/>
    <col min="8487" max="8487" width="11.42578125" style="1118" customWidth="1"/>
    <col min="8488" max="8488" width="7.85546875" style="1118" bestFit="1" customWidth="1"/>
    <col min="8489" max="8489" width="9.5703125" style="1118" customWidth="1"/>
    <col min="8490" max="8490" width="7.85546875" style="1118" bestFit="1" customWidth="1"/>
    <col min="8491" max="8491" width="12" style="1118" customWidth="1"/>
    <col min="8492" max="8492" width="13.42578125" style="1118" customWidth="1"/>
    <col min="8493" max="8493" width="9.5703125" style="1118" bestFit="1" customWidth="1"/>
    <col min="8494" max="8500" width="9.140625" style="1118" customWidth="1"/>
    <col min="8501" max="8704" width="9.140625" style="1118"/>
    <col min="8705" max="8705" width="16.7109375" style="1118" customWidth="1"/>
    <col min="8706" max="8706" width="52.5703125" style="1118" customWidth="1"/>
    <col min="8707" max="8707" width="11" style="1118" customWidth="1"/>
    <col min="8708" max="8708" width="13.42578125" style="1118" customWidth="1"/>
    <col min="8709" max="8709" width="11.28515625" style="1118" customWidth="1"/>
    <col min="8710" max="8710" width="10.28515625" style="1118" customWidth="1"/>
    <col min="8711" max="8711" width="13.85546875" style="1118" customWidth="1"/>
    <col min="8712" max="8713" width="7.85546875" style="1118" customWidth="1"/>
    <col min="8714" max="8714" width="10.85546875" style="1118" customWidth="1"/>
    <col min="8715" max="8715" width="13" style="1118" customWidth="1"/>
    <col min="8716" max="8716" width="11.42578125" style="1118" customWidth="1"/>
    <col min="8717" max="8717" width="10" style="1118" customWidth="1"/>
    <col min="8718" max="8718" width="7.85546875" style="1118" customWidth="1"/>
    <col min="8719" max="8719" width="10.140625" style="1118" customWidth="1"/>
    <col min="8720" max="8721" width="7.85546875" style="1118" customWidth="1"/>
    <col min="8722" max="8722" width="10.85546875" style="1118" customWidth="1"/>
    <col min="8723" max="8723" width="10.7109375" style="1118" customWidth="1"/>
    <col min="8724" max="8724" width="11" style="1118" customWidth="1"/>
    <col min="8725" max="8727" width="7.85546875" style="1118" customWidth="1"/>
    <col min="8728" max="8728" width="11.28515625" style="1118" customWidth="1"/>
    <col min="8729" max="8729" width="12.42578125" style="1118" customWidth="1"/>
    <col min="8730" max="8730" width="11" style="1118" customWidth="1"/>
    <col min="8731" max="8732" width="7.85546875" style="1118" customWidth="1"/>
    <col min="8733" max="8733" width="11" style="1118" customWidth="1"/>
    <col min="8734" max="8734" width="10.5703125" style="1118" customWidth="1"/>
    <col min="8735" max="8736" width="11" style="1118" customWidth="1"/>
    <col min="8737" max="8741" width="7.85546875" style="1118" bestFit="1" customWidth="1"/>
    <col min="8742" max="8742" width="8.42578125" style="1118" bestFit="1" customWidth="1"/>
    <col min="8743" max="8743" width="11.42578125" style="1118" customWidth="1"/>
    <col min="8744" max="8744" width="7.85546875" style="1118" bestFit="1" customWidth="1"/>
    <col min="8745" max="8745" width="9.5703125" style="1118" customWidth="1"/>
    <col min="8746" max="8746" width="7.85546875" style="1118" bestFit="1" customWidth="1"/>
    <col min="8747" max="8747" width="12" style="1118" customWidth="1"/>
    <col min="8748" max="8748" width="13.42578125" style="1118" customWidth="1"/>
    <col min="8749" max="8749" width="9.5703125" style="1118" bestFit="1" customWidth="1"/>
    <col min="8750" max="8756" width="9.140625" style="1118" customWidth="1"/>
    <col min="8757" max="8960" width="9.140625" style="1118"/>
    <col min="8961" max="8961" width="16.7109375" style="1118" customWidth="1"/>
    <col min="8962" max="8962" width="52.5703125" style="1118" customWidth="1"/>
    <col min="8963" max="8963" width="11" style="1118" customWidth="1"/>
    <col min="8964" max="8964" width="13.42578125" style="1118" customWidth="1"/>
    <col min="8965" max="8965" width="11.28515625" style="1118" customWidth="1"/>
    <col min="8966" max="8966" width="10.28515625" style="1118" customWidth="1"/>
    <col min="8967" max="8967" width="13.85546875" style="1118" customWidth="1"/>
    <col min="8968" max="8969" width="7.85546875" style="1118" customWidth="1"/>
    <col min="8970" max="8970" width="10.85546875" style="1118" customWidth="1"/>
    <col min="8971" max="8971" width="13" style="1118" customWidth="1"/>
    <col min="8972" max="8972" width="11.42578125" style="1118" customWidth="1"/>
    <col min="8973" max="8973" width="10" style="1118" customWidth="1"/>
    <col min="8974" max="8974" width="7.85546875" style="1118" customWidth="1"/>
    <col min="8975" max="8975" width="10.140625" style="1118" customWidth="1"/>
    <col min="8976" max="8977" width="7.85546875" style="1118" customWidth="1"/>
    <col min="8978" max="8978" width="10.85546875" style="1118" customWidth="1"/>
    <col min="8979" max="8979" width="10.7109375" style="1118" customWidth="1"/>
    <col min="8980" max="8980" width="11" style="1118" customWidth="1"/>
    <col min="8981" max="8983" width="7.85546875" style="1118" customWidth="1"/>
    <col min="8984" max="8984" width="11.28515625" style="1118" customWidth="1"/>
    <col min="8985" max="8985" width="12.42578125" style="1118" customWidth="1"/>
    <col min="8986" max="8986" width="11" style="1118" customWidth="1"/>
    <col min="8987" max="8988" width="7.85546875" style="1118" customWidth="1"/>
    <col min="8989" max="8989" width="11" style="1118" customWidth="1"/>
    <col min="8990" max="8990" width="10.5703125" style="1118" customWidth="1"/>
    <col min="8991" max="8992" width="11" style="1118" customWidth="1"/>
    <col min="8993" max="8997" width="7.85546875" style="1118" bestFit="1" customWidth="1"/>
    <col min="8998" max="8998" width="8.42578125" style="1118" bestFit="1" customWidth="1"/>
    <col min="8999" max="8999" width="11.42578125" style="1118" customWidth="1"/>
    <col min="9000" max="9000" width="7.85546875" style="1118" bestFit="1" customWidth="1"/>
    <col min="9001" max="9001" width="9.5703125" style="1118" customWidth="1"/>
    <col min="9002" max="9002" width="7.85546875" style="1118" bestFit="1" customWidth="1"/>
    <col min="9003" max="9003" width="12" style="1118" customWidth="1"/>
    <col min="9004" max="9004" width="13.42578125" style="1118" customWidth="1"/>
    <col min="9005" max="9005" width="9.5703125" style="1118" bestFit="1" customWidth="1"/>
    <col min="9006" max="9012" width="9.140625" style="1118" customWidth="1"/>
    <col min="9013" max="9216" width="9.140625" style="1118"/>
    <col min="9217" max="9217" width="16.7109375" style="1118" customWidth="1"/>
    <col min="9218" max="9218" width="52.5703125" style="1118" customWidth="1"/>
    <col min="9219" max="9219" width="11" style="1118" customWidth="1"/>
    <col min="9220" max="9220" width="13.42578125" style="1118" customWidth="1"/>
    <col min="9221" max="9221" width="11.28515625" style="1118" customWidth="1"/>
    <col min="9222" max="9222" width="10.28515625" style="1118" customWidth="1"/>
    <col min="9223" max="9223" width="13.85546875" style="1118" customWidth="1"/>
    <col min="9224" max="9225" width="7.85546875" style="1118" customWidth="1"/>
    <col min="9226" max="9226" width="10.85546875" style="1118" customWidth="1"/>
    <col min="9227" max="9227" width="13" style="1118" customWidth="1"/>
    <col min="9228" max="9228" width="11.42578125" style="1118" customWidth="1"/>
    <col min="9229" max="9229" width="10" style="1118" customWidth="1"/>
    <col min="9230" max="9230" width="7.85546875" style="1118" customWidth="1"/>
    <col min="9231" max="9231" width="10.140625" style="1118" customWidth="1"/>
    <col min="9232" max="9233" width="7.85546875" style="1118" customWidth="1"/>
    <col min="9234" max="9234" width="10.85546875" style="1118" customWidth="1"/>
    <col min="9235" max="9235" width="10.7109375" style="1118" customWidth="1"/>
    <col min="9236" max="9236" width="11" style="1118" customWidth="1"/>
    <col min="9237" max="9239" width="7.85546875" style="1118" customWidth="1"/>
    <col min="9240" max="9240" width="11.28515625" style="1118" customWidth="1"/>
    <col min="9241" max="9241" width="12.42578125" style="1118" customWidth="1"/>
    <col min="9242" max="9242" width="11" style="1118" customWidth="1"/>
    <col min="9243" max="9244" width="7.85546875" style="1118" customWidth="1"/>
    <col min="9245" max="9245" width="11" style="1118" customWidth="1"/>
    <col min="9246" max="9246" width="10.5703125" style="1118" customWidth="1"/>
    <col min="9247" max="9248" width="11" style="1118" customWidth="1"/>
    <col min="9249" max="9253" width="7.85546875" style="1118" bestFit="1" customWidth="1"/>
    <col min="9254" max="9254" width="8.42578125" style="1118" bestFit="1" customWidth="1"/>
    <col min="9255" max="9255" width="11.42578125" style="1118" customWidth="1"/>
    <col min="9256" max="9256" width="7.85546875" style="1118" bestFit="1" customWidth="1"/>
    <col min="9257" max="9257" width="9.5703125" style="1118" customWidth="1"/>
    <col min="9258" max="9258" width="7.85546875" style="1118" bestFit="1" customWidth="1"/>
    <col min="9259" max="9259" width="12" style="1118" customWidth="1"/>
    <col min="9260" max="9260" width="13.42578125" style="1118" customWidth="1"/>
    <col min="9261" max="9261" width="9.5703125" style="1118" bestFit="1" customWidth="1"/>
    <col min="9262" max="9268" width="9.140625" style="1118" customWidth="1"/>
    <col min="9269" max="9472" width="9.140625" style="1118"/>
    <col min="9473" max="9473" width="16.7109375" style="1118" customWidth="1"/>
    <col min="9474" max="9474" width="52.5703125" style="1118" customWidth="1"/>
    <col min="9475" max="9475" width="11" style="1118" customWidth="1"/>
    <col min="9476" max="9476" width="13.42578125" style="1118" customWidth="1"/>
    <col min="9477" max="9477" width="11.28515625" style="1118" customWidth="1"/>
    <col min="9478" max="9478" width="10.28515625" style="1118" customWidth="1"/>
    <col min="9479" max="9479" width="13.85546875" style="1118" customWidth="1"/>
    <col min="9480" max="9481" width="7.85546875" style="1118" customWidth="1"/>
    <col min="9482" max="9482" width="10.85546875" style="1118" customWidth="1"/>
    <col min="9483" max="9483" width="13" style="1118" customWidth="1"/>
    <col min="9484" max="9484" width="11.42578125" style="1118" customWidth="1"/>
    <col min="9485" max="9485" width="10" style="1118" customWidth="1"/>
    <col min="9486" max="9486" width="7.85546875" style="1118" customWidth="1"/>
    <col min="9487" max="9487" width="10.140625" style="1118" customWidth="1"/>
    <col min="9488" max="9489" width="7.85546875" style="1118" customWidth="1"/>
    <col min="9490" max="9490" width="10.85546875" style="1118" customWidth="1"/>
    <col min="9491" max="9491" width="10.7109375" style="1118" customWidth="1"/>
    <col min="9492" max="9492" width="11" style="1118" customWidth="1"/>
    <col min="9493" max="9495" width="7.85546875" style="1118" customWidth="1"/>
    <col min="9496" max="9496" width="11.28515625" style="1118" customWidth="1"/>
    <col min="9497" max="9497" width="12.42578125" style="1118" customWidth="1"/>
    <col min="9498" max="9498" width="11" style="1118" customWidth="1"/>
    <col min="9499" max="9500" width="7.85546875" style="1118" customWidth="1"/>
    <col min="9501" max="9501" width="11" style="1118" customWidth="1"/>
    <col min="9502" max="9502" width="10.5703125" style="1118" customWidth="1"/>
    <col min="9503" max="9504" width="11" style="1118" customWidth="1"/>
    <col min="9505" max="9509" width="7.85546875" style="1118" bestFit="1" customWidth="1"/>
    <col min="9510" max="9510" width="8.42578125" style="1118" bestFit="1" customWidth="1"/>
    <col min="9511" max="9511" width="11.42578125" style="1118" customWidth="1"/>
    <col min="9512" max="9512" width="7.85546875" style="1118" bestFit="1" customWidth="1"/>
    <col min="9513" max="9513" width="9.5703125" style="1118" customWidth="1"/>
    <col min="9514" max="9514" width="7.85546875" style="1118" bestFit="1" customWidth="1"/>
    <col min="9515" max="9515" width="12" style="1118" customWidth="1"/>
    <col min="9516" max="9516" width="13.42578125" style="1118" customWidth="1"/>
    <col min="9517" max="9517" width="9.5703125" style="1118" bestFit="1" customWidth="1"/>
    <col min="9518" max="9524" width="9.140625" style="1118" customWidth="1"/>
    <col min="9525" max="9728" width="9.140625" style="1118"/>
    <col min="9729" max="9729" width="16.7109375" style="1118" customWidth="1"/>
    <col min="9730" max="9730" width="52.5703125" style="1118" customWidth="1"/>
    <col min="9731" max="9731" width="11" style="1118" customWidth="1"/>
    <col min="9732" max="9732" width="13.42578125" style="1118" customWidth="1"/>
    <col min="9733" max="9733" width="11.28515625" style="1118" customWidth="1"/>
    <col min="9734" max="9734" width="10.28515625" style="1118" customWidth="1"/>
    <col min="9735" max="9735" width="13.85546875" style="1118" customWidth="1"/>
    <col min="9736" max="9737" width="7.85546875" style="1118" customWidth="1"/>
    <col min="9738" max="9738" width="10.85546875" style="1118" customWidth="1"/>
    <col min="9739" max="9739" width="13" style="1118" customWidth="1"/>
    <col min="9740" max="9740" width="11.42578125" style="1118" customWidth="1"/>
    <col min="9741" max="9741" width="10" style="1118" customWidth="1"/>
    <col min="9742" max="9742" width="7.85546875" style="1118" customWidth="1"/>
    <col min="9743" max="9743" width="10.140625" style="1118" customWidth="1"/>
    <col min="9744" max="9745" width="7.85546875" style="1118" customWidth="1"/>
    <col min="9746" max="9746" width="10.85546875" style="1118" customWidth="1"/>
    <col min="9747" max="9747" width="10.7109375" style="1118" customWidth="1"/>
    <col min="9748" max="9748" width="11" style="1118" customWidth="1"/>
    <col min="9749" max="9751" width="7.85546875" style="1118" customWidth="1"/>
    <col min="9752" max="9752" width="11.28515625" style="1118" customWidth="1"/>
    <col min="9753" max="9753" width="12.42578125" style="1118" customWidth="1"/>
    <col min="9754" max="9754" width="11" style="1118" customWidth="1"/>
    <col min="9755" max="9756" width="7.85546875" style="1118" customWidth="1"/>
    <col min="9757" max="9757" width="11" style="1118" customWidth="1"/>
    <col min="9758" max="9758" width="10.5703125" style="1118" customWidth="1"/>
    <col min="9759" max="9760" width="11" style="1118" customWidth="1"/>
    <col min="9761" max="9765" width="7.85546875" style="1118" bestFit="1" customWidth="1"/>
    <col min="9766" max="9766" width="8.42578125" style="1118" bestFit="1" customWidth="1"/>
    <col min="9767" max="9767" width="11.42578125" style="1118" customWidth="1"/>
    <col min="9768" max="9768" width="7.85546875" style="1118" bestFit="1" customWidth="1"/>
    <col min="9769" max="9769" width="9.5703125" style="1118" customWidth="1"/>
    <col min="9770" max="9770" width="7.85546875" style="1118" bestFit="1" customWidth="1"/>
    <col min="9771" max="9771" width="12" style="1118" customWidth="1"/>
    <col min="9772" max="9772" width="13.42578125" style="1118" customWidth="1"/>
    <col min="9773" max="9773" width="9.5703125" style="1118" bestFit="1" customWidth="1"/>
    <col min="9774" max="9780" width="9.140625" style="1118" customWidth="1"/>
    <col min="9781" max="9984" width="9.140625" style="1118"/>
    <col min="9985" max="9985" width="16.7109375" style="1118" customWidth="1"/>
    <col min="9986" max="9986" width="52.5703125" style="1118" customWidth="1"/>
    <col min="9987" max="9987" width="11" style="1118" customWidth="1"/>
    <col min="9988" max="9988" width="13.42578125" style="1118" customWidth="1"/>
    <col min="9989" max="9989" width="11.28515625" style="1118" customWidth="1"/>
    <col min="9990" max="9990" width="10.28515625" style="1118" customWidth="1"/>
    <col min="9991" max="9991" width="13.85546875" style="1118" customWidth="1"/>
    <col min="9992" max="9993" width="7.85546875" style="1118" customWidth="1"/>
    <col min="9994" max="9994" width="10.85546875" style="1118" customWidth="1"/>
    <col min="9995" max="9995" width="13" style="1118" customWidth="1"/>
    <col min="9996" max="9996" width="11.42578125" style="1118" customWidth="1"/>
    <col min="9997" max="9997" width="10" style="1118" customWidth="1"/>
    <col min="9998" max="9998" width="7.85546875" style="1118" customWidth="1"/>
    <col min="9999" max="9999" width="10.140625" style="1118" customWidth="1"/>
    <col min="10000" max="10001" width="7.85546875" style="1118" customWidth="1"/>
    <col min="10002" max="10002" width="10.85546875" style="1118" customWidth="1"/>
    <col min="10003" max="10003" width="10.7109375" style="1118" customWidth="1"/>
    <col min="10004" max="10004" width="11" style="1118" customWidth="1"/>
    <col min="10005" max="10007" width="7.85546875" style="1118" customWidth="1"/>
    <col min="10008" max="10008" width="11.28515625" style="1118" customWidth="1"/>
    <col min="10009" max="10009" width="12.42578125" style="1118" customWidth="1"/>
    <col min="10010" max="10010" width="11" style="1118" customWidth="1"/>
    <col min="10011" max="10012" width="7.85546875" style="1118" customWidth="1"/>
    <col min="10013" max="10013" width="11" style="1118" customWidth="1"/>
    <col min="10014" max="10014" width="10.5703125" style="1118" customWidth="1"/>
    <col min="10015" max="10016" width="11" style="1118" customWidth="1"/>
    <col min="10017" max="10021" width="7.85546875" style="1118" bestFit="1" customWidth="1"/>
    <col min="10022" max="10022" width="8.42578125" style="1118" bestFit="1" customWidth="1"/>
    <col min="10023" max="10023" width="11.42578125" style="1118" customWidth="1"/>
    <col min="10024" max="10024" width="7.85546875" style="1118" bestFit="1" customWidth="1"/>
    <col min="10025" max="10025" width="9.5703125" style="1118" customWidth="1"/>
    <col min="10026" max="10026" width="7.85546875" style="1118" bestFit="1" customWidth="1"/>
    <col min="10027" max="10027" width="12" style="1118" customWidth="1"/>
    <col min="10028" max="10028" width="13.42578125" style="1118" customWidth="1"/>
    <col min="10029" max="10029" width="9.5703125" style="1118" bestFit="1" customWidth="1"/>
    <col min="10030" max="10036" width="9.140625" style="1118" customWidth="1"/>
    <col min="10037" max="10240" width="9.140625" style="1118"/>
    <col min="10241" max="10241" width="16.7109375" style="1118" customWidth="1"/>
    <col min="10242" max="10242" width="52.5703125" style="1118" customWidth="1"/>
    <col min="10243" max="10243" width="11" style="1118" customWidth="1"/>
    <col min="10244" max="10244" width="13.42578125" style="1118" customWidth="1"/>
    <col min="10245" max="10245" width="11.28515625" style="1118" customWidth="1"/>
    <col min="10246" max="10246" width="10.28515625" style="1118" customWidth="1"/>
    <col min="10247" max="10247" width="13.85546875" style="1118" customWidth="1"/>
    <col min="10248" max="10249" width="7.85546875" style="1118" customWidth="1"/>
    <col min="10250" max="10250" width="10.85546875" style="1118" customWidth="1"/>
    <col min="10251" max="10251" width="13" style="1118" customWidth="1"/>
    <col min="10252" max="10252" width="11.42578125" style="1118" customWidth="1"/>
    <col min="10253" max="10253" width="10" style="1118" customWidth="1"/>
    <col min="10254" max="10254" width="7.85546875" style="1118" customWidth="1"/>
    <col min="10255" max="10255" width="10.140625" style="1118" customWidth="1"/>
    <col min="10256" max="10257" width="7.85546875" style="1118" customWidth="1"/>
    <col min="10258" max="10258" width="10.85546875" style="1118" customWidth="1"/>
    <col min="10259" max="10259" width="10.7109375" style="1118" customWidth="1"/>
    <col min="10260" max="10260" width="11" style="1118" customWidth="1"/>
    <col min="10261" max="10263" width="7.85546875" style="1118" customWidth="1"/>
    <col min="10264" max="10264" width="11.28515625" style="1118" customWidth="1"/>
    <col min="10265" max="10265" width="12.42578125" style="1118" customWidth="1"/>
    <col min="10266" max="10266" width="11" style="1118" customWidth="1"/>
    <col min="10267" max="10268" width="7.85546875" style="1118" customWidth="1"/>
    <col min="10269" max="10269" width="11" style="1118" customWidth="1"/>
    <col min="10270" max="10270" width="10.5703125" style="1118" customWidth="1"/>
    <col min="10271" max="10272" width="11" style="1118" customWidth="1"/>
    <col min="10273" max="10277" width="7.85546875" style="1118" bestFit="1" customWidth="1"/>
    <col min="10278" max="10278" width="8.42578125" style="1118" bestFit="1" customWidth="1"/>
    <col min="10279" max="10279" width="11.42578125" style="1118" customWidth="1"/>
    <col min="10280" max="10280" width="7.85546875" style="1118" bestFit="1" customWidth="1"/>
    <col min="10281" max="10281" width="9.5703125" style="1118" customWidth="1"/>
    <col min="10282" max="10282" width="7.85546875" style="1118" bestFit="1" customWidth="1"/>
    <col min="10283" max="10283" width="12" style="1118" customWidth="1"/>
    <col min="10284" max="10284" width="13.42578125" style="1118" customWidth="1"/>
    <col min="10285" max="10285" width="9.5703125" style="1118" bestFit="1" customWidth="1"/>
    <col min="10286" max="10292" width="9.140625" style="1118" customWidth="1"/>
    <col min="10293" max="10496" width="9.140625" style="1118"/>
    <col min="10497" max="10497" width="16.7109375" style="1118" customWidth="1"/>
    <col min="10498" max="10498" width="52.5703125" style="1118" customWidth="1"/>
    <col min="10499" max="10499" width="11" style="1118" customWidth="1"/>
    <col min="10500" max="10500" width="13.42578125" style="1118" customWidth="1"/>
    <col min="10501" max="10501" width="11.28515625" style="1118" customWidth="1"/>
    <col min="10502" max="10502" width="10.28515625" style="1118" customWidth="1"/>
    <col min="10503" max="10503" width="13.85546875" style="1118" customWidth="1"/>
    <col min="10504" max="10505" width="7.85546875" style="1118" customWidth="1"/>
    <col min="10506" max="10506" width="10.85546875" style="1118" customWidth="1"/>
    <col min="10507" max="10507" width="13" style="1118" customWidth="1"/>
    <col min="10508" max="10508" width="11.42578125" style="1118" customWidth="1"/>
    <col min="10509" max="10509" width="10" style="1118" customWidth="1"/>
    <col min="10510" max="10510" width="7.85546875" style="1118" customWidth="1"/>
    <col min="10511" max="10511" width="10.140625" style="1118" customWidth="1"/>
    <col min="10512" max="10513" width="7.85546875" style="1118" customWidth="1"/>
    <col min="10514" max="10514" width="10.85546875" style="1118" customWidth="1"/>
    <col min="10515" max="10515" width="10.7109375" style="1118" customWidth="1"/>
    <col min="10516" max="10516" width="11" style="1118" customWidth="1"/>
    <col min="10517" max="10519" width="7.85546875" style="1118" customWidth="1"/>
    <col min="10520" max="10520" width="11.28515625" style="1118" customWidth="1"/>
    <col min="10521" max="10521" width="12.42578125" style="1118" customWidth="1"/>
    <col min="10522" max="10522" width="11" style="1118" customWidth="1"/>
    <col min="10523" max="10524" width="7.85546875" style="1118" customWidth="1"/>
    <col min="10525" max="10525" width="11" style="1118" customWidth="1"/>
    <col min="10526" max="10526" width="10.5703125" style="1118" customWidth="1"/>
    <col min="10527" max="10528" width="11" style="1118" customWidth="1"/>
    <col min="10529" max="10533" width="7.85546875" style="1118" bestFit="1" customWidth="1"/>
    <col min="10534" max="10534" width="8.42578125" style="1118" bestFit="1" customWidth="1"/>
    <col min="10535" max="10535" width="11.42578125" style="1118" customWidth="1"/>
    <col min="10536" max="10536" width="7.85546875" style="1118" bestFit="1" customWidth="1"/>
    <col min="10537" max="10537" width="9.5703125" style="1118" customWidth="1"/>
    <col min="10538" max="10538" width="7.85546875" style="1118" bestFit="1" customWidth="1"/>
    <col min="10539" max="10539" width="12" style="1118" customWidth="1"/>
    <col min="10540" max="10540" width="13.42578125" style="1118" customWidth="1"/>
    <col min="10541" max="10541" width="9.5703125" style="1118" bestFit="1" customWidth="1"/>
    <col min="10542" max="10548" width="9.140625" style="1118" customWidth="1"/>
    <col min="10549" max="10752" width="9.140625" style="1118"/>
    <col min="10753" max="10753" width="16.7109375" style="1118" customWidth="1"/>
    <col min="10754" max="10754" width="52.5703125" style="1118" customWidth="1"/>
    <col min="10755" max="10755" width="11" style="1118" customWidth="1"/>
    <col min="10756" max="10756" width="13.42578125" style="1118" customWidth="1"/>
    <col min="10757" max="10757" width="11.28515625" style="1118" customWidth="1"/>
    <col min="10758" max="10758" width="10.28515625" style="1118" customWidth="1"/>
    <col min="10759" max="10759" width="13.85546875" style="1118" customWidth="1"/>
    <col min="10760" max="10761" width="7.85546875" style="1118" customWidth="1"/>
    <col min="10762" max="10762" width="10.85546875" style="1118" customWidth="1"/>
    <col min="10763" max="10763" width="13" style="1118" customWidth="1"/>
    <col min="10764" max="10764" width="11.42578125" style="1118" customWidth="1"/>
    <col min="10765" max="10765" width="10" style="1118" customWidth="1"/>
    <col min="10766" max="10766" width="7.85546875" style="1118" customWidth="1"/>
    <col min="10767" max="10767" width="10.140625" style="1118" customWidth="1"/>
    <col min="10768" max="10769" width="7.85546875" style="1118" customWidth="1"/>
    <col min="10770" max="10770" width="10.85546875" style="1118" customWidth="1"/>
    <col min="10771" max="10771" width="10.7109375" style="1118" customWidth="1"/>
    <col min="10772" max="10772" width="11" style="1118" customWidth="1"/>
    <col min="10773" max="10775" width="7.85546875" style="1118" customWidth="1"/>
    <col min="10776" max="10776" width="11.28515625" style="1118" customWidth="1"/>
    <col min="10777" max="10777" width="12.42578125" style="1118" customWidth="1"/>
    <col min="10778" max="10778" width="11" style="1118" customWidth="1"/>
    <col min="10779" max="10780" width="7.85546875" style="1118" customWidth="1"/>
    <col min="10781" max="10781" width="11" style="1118" customWidth="1"/>
    <col min="10782" max="10782" width="10.5703125" style="1118" customWidth="1"/>
    <col min="10783" max="10784" width="11" style="1118" customWidth="1"/>
    <col min="10785" max="10789" width="7.85546875" style="1118" bestFit="1" customWidth="1"/>
    <col min="10790" max="10790" width="8.42578125" style="1118" bestFit="1" customWidth="1"/>
    <col min="10791" max="10791" width="11.42578125" style="1118" customWidth="1"/>
    <col min="10792" max="10792" width="7.85546875" style="1118" bestFit="1" customWidth="1"/>
    <col min="10793" max="10793" width="9.5703125" style="1118" customWidth="1"/>
    <col min="10794" max="10794" width="7.85546875" style="1118" bestFit="1" customWidth="1"/>
    <col min="10795" max="10795" width="12" style="1118" customWidth="1"/>
    <col min="10796" max="10796" width="13.42578125" style="1118" customWidth="1"/>
    <col min="10797" max="10797" width="9.5703125" style="1118" bestFit="1" customWidth="1"/>
    <col min="10798" max="10804" width="9.140625" style="1118" customWidth="1"/>
    <col min="10805" max="11008" width="9.140625" style="1118"/>
    <col min="11009" max="11009" width="16.7109375" style="1118" customWidth="1"/>
    <col min="11010" max="11010" width="52.5703125" style="1118" customWidth="1"/>
    <col min="11011" max="11011" width="11" style="1118" customWidth="1"/>
    <col min="11012" max="11012" width="13.42578125" style="1118" customWidth="1"/>
    <col min="11013" max="11013" width="11.28515625" style="1118" customWidth="1"/>
    <col min="11014" max="11014" width="10.28515625" style="1118" customWidth="1"/>
    <col min="11015" max="11015" width="13.85546875" style="1118" customWidth="1"/>
    <col min="11016" max="11017" width="7.85546875" style="1118" customWidth="1"/>
    <col min="11018" max="11018" width="10.85546875" style="1118" customWidth="1"/>
    <col min="11019" max="11019" width="13" style="1118" customWidth="1"/>
    <col min="11020" max="11020" width="11.42578125" style="1118" customWidth="1"/>
    <col min="11021" max="11021" width="10" style="1118" customWidth="1"/>
    <col min="11022" max="11022" width="7.85546875" style="1118" customWidth="1"/>
    <col min="11023" max="11023" width="10.140625" style="1118" customWidth="1"/>
    <col min="11024" max="11025" width="7.85546875" style="1118" customWidth="1"/>
    <col min="11026" max="11026" width="10.85546875" style="1118" customWidth="1"/>
    <col min="11027" max="11027" width="10.7109375" style="1118" customWidth="1"/>
    <col min="11028" max="11028" width="11" style="1118" customWidth="1"/>
    <col min="11029" max="11031" width="7.85546875" style="1118" customWidth="1"/>
    <col min="11032" max="11032" width="11.28515625" style="1118" customWidth="1"/>
    <col min="11033" max="11033" width="12.42578125" style="1118" customWidth="1"/>
    <col min="11034" max="11034" width="11" style="1118" customWidth="1"/>
    <col min="11035" max="11036" width="7.85546875" style="1118" customWidth="1"/>
    <col min="11037" max="11037" width="11" style="1118" customWidth="1"/>
    <col min="11038" max="11038" width="10.5703125" style="1118" customWidth="1"/>
    <col min="11039" max="11040" width="11" style="1118" customWidth="1"/>
    <col min="11041" max="11045" width="7.85546875" style="1118" bestFit="1" customWidth="1"/>
    <col min="11046" max="11046" width="8.42578125" style="1118" bestFit="1" customWidth="1"/>
    <col min="11047" max="11047" width="11.42578125" style="1118" customWidth="1"/>
    <col min="11048" max="11048" width="7.85546875" style="1118" bestFit="1" customWidth="1"/>
    <col min="11049" max="11049" width="9.5703125" style="1118" customWidth="1"/>
    <col min="11050" max="11050" width="7.85546875" style="1118" bestFit="1" customWidth="1"/>
    <col min="11051" max="11051" width="12" style="1118" customWidth="1"/>
    <col min="11052" max="11052" width="13.42578125" style="1118" customWidth="1"/>
    <col min="11053" max="11053" width="9.5703125" style="1118" bestFit="1" customWidth="1"/>
    <col min="11054" max="11060" width="9.140625" style="1118" customWidth="1"/>
    <col min="11061" max="11264" width="9.140625" style="1118"/>
    <col min="11265" max="11265" width="16.7109375" style="1118" customWidth="1"/>
    <col min="11266" max="11266" width="52.5703125" style="1118" customWidth="1"/>
    <col min="11267" max="11267" width="11" style="1118" customWidth="1"/>
    <col min="11268" max="11268" width="13.42578125" style="1118" customWidth="1"/>
    <col min="11269" max="11269" width="11.28515625" style="1118" customWidth="1"/>
    <col min="11270" max="11270" width="10.28515625" style="1118" customWidth="1"/>
    <col min="11271" max="11271" width="13.85546875" style="1118" customWidth="1"/>
    <col min="11272" max="11273" width="7.85546875" style="1118" customWidth="1"/>
    <col min="11274" max="11274" width="10.85546875" style="1118" customWidth="1"/>
    <col min="11275" max="11275" width="13" style="1118" customWidth="1"/>
    <col min="11276" max="11276" width="11.42578125" style="1118" customWidth="1"/>
    <col min="11277" max="11277" width="10" style="1118" customWidth="1"/>
    <col min="11278" max="11278" width="7.85546875" style="1118" customWidth="1"/>
    <col min="11279" max="11279" width="10.140625" style="1118" customWidth="1"/>
    <col min="11280" max="11281" width="7.85546875" style="1118" customWidth="1"/>
    <col min="11282" max="11282" width="10.85546875" style="1118" customWidth="1"/>
    <col min="11283" max="11283" width="10.7109375" style="1118" customWidth="1"/>
    <col min="11284" max="11284" width="11" style="1118" customWidth="1"/>
    <col min="11285" max="11287" width="7.85546875" style="1118" customWidth="1"/>
    <col min="11288" max="11288" width="11.28515625" style="1118" customWidth="1"/>
    <col min="11289" max="11289" width="12.42578125" style="1118" customWidth="1"/>
    <col min="11290" max="11290" width="11" style="1118" customWidth="1"/>
    <col min="11291" max="11292" width="7.85546875" style="1118" customWidth="1"/>
    <col min="11293" max="11293" width="11" style="1118" customWidth="1"/>
    <col min="11294" max="11294" width="10.5703125" style="1118" customWidth="1"/>
    <col min="11295" max="11296" width="11" style="1118" customWidth="1"/>
    <col min="11297" max="11301" width="7.85546875" style="1118" bestFit="1" customWidth="1"/>
    <col min="11302" max="11302" width="8.42578125" style="1118" bestFit="1" customWidth="1"/>
    <col min="11303" max="11303" width="11.42578125" style="1118" customWidth="1"/>
    <col min="11304" max="11304" width="7.85546875" style="1118" bestFit="1" customWidth="1"/>
    <col min="11305" max="11305" width="9.5703125" style="1118" customWidth="1"/>
    <col min="11306" max="11306" width="7.85546875" style="1118" bestFit="1" customWidth="1"/>
    <col min="11307" max="11307" width="12" style="1118" customWidth="1"/>
    <col min="11308" max="11308" width="13.42578125" style="1118" customWidth="1"/>
    <col min="11309" max="11309" width="9.5703125" style="1118" bestFit="1" customWidth="1"/>
    <col min="11310" max="11316" width="9.140625" style="1118" customWidth="1"/>
    <col min="11317" max="11520" width="9.140625" style="1118"/>
    <col min="11521" max="11521" width="16.7109375" style="1118" customWidth="1"/>
    <col min="11522" max="11522" width="52.5703125" style="1118" customWidth="1"/>
    <col min="11523" max="11523" width="11" style="1118" customWidth="1"/>
    <col min="11524" max="11524" width="13.42578125" style="1118" customWidth="1"/>
    <col min="11525" max="11525" width="11.28515625" style="1118" customWidth="1"/>
    <col min="11526" max="11526" width="10.28515625" style="1118" customWidth="1"/>
    <col min="11527" max="11527" width="13.85546875" style="1118" customWidth="1"/>
    <col min="11528" max="11529" width="7.85546875" style="1118" customWidth="1"/>
    <col min="11530" max="11530" width="10.85546875" style="1118" customWidth="1"/>
    <col min="11531" max="11531" width="13" style="1118" customWidth="1"/>
    <col min="11532" max="11532" width="11.42578125" style="1118" customWidth="1"/>
    <col min="11533" max="11533" width="10" style="1118" customWidth="1"/>
    <col min="11534" max="11534" width="7.85546875" style="1118" customWidth="1"/>
    <col min="11535" max="11535" width="10.140625" style="1118" customWidth="1"/>
    <col min="11536" max="11537" width="7.85546875" style="1118" customWidth="1"/>
    <col min="11538" max="11538" width="10.85546875" style="1118" customWidth="1"/>
    <col min="11539" max="11539" width="10.7109375" style="1118" customWidth="1"/>
    <col min="11540" max="11540" width="11" style="1118" customWidth="1"/>
    <col min="11541" max="11543" width="7.85546875" style="1118" customWidth="1"/>
    <col min="11544" max="11544" width="11.28515625" style="1118" customWidth="1"/>
    <col min="11545" max="11545" width="12.42578125" style="1118" customWidth="1"/>
    <col min="11546" max="11546" width="11" style="1118" customWidth="1"/>
    <col min="11547" max="11548" width="7.85546875" style="1118" customWidth="1"/>
    <col min="11549" max="11549" width="11" style="1118" customWidth="1"/>
    <col min="11550" max="11550" width="10.5703125" style="1118" customWidth="1"/>
    <col min="11551" max="11552" width="11" style="1118" customWidth="1"/>
    <col min="11553" max="11557" width="7.85546875" style="1118" bestFit="1" customWidth="1"/>
    <col min="11558" max="11558" width="8.42578125" style="1118" bestFit="1" customWidth="1"/>
    <col min="11559" max="11559" width="11.42578125" style="1118" customWidth="1"/>
    <col min="11560" max="11560" width="7.85546875" style="1118" bestFit="1" customWidth="1"/>
    <col min="11561" max="11561" width="9.5703125" style="1118" customWidth="1"/>
    <col min="11562" max="11562" width="7.85546875" style="1118" bestFit="1" customWidth="1"/>
    <col min="11563" max="11563" width="12" style="1118" customWidth="1"/>
    <col min="11564" max="11564" width="13.42578125" style="1118" customWidth="1"/>
    <col min="11565" max="11565" width="9.5703125" style="1118" bestFit="1" customWidth="1"/>
    <col min="11566" max="11572" width="9.140625" style="1118" customWidth="1"/>
    <col min="11573" max="11776" width="9.140625" style="1118"/>
    <col min="11777" max="11777" width="16.7109375" style="1118" customWidth="1"/>
    <col min="11778" max="11778" width="52.5703125" style="1118" customWidth="1"/>
    <col min="11779" max="11779" width="11" style="1118" customWidth="1"/>
    <col min="11780" max="11780" width="13.42578125" style="1118" customWidth="1"/>
    <col min="11781" max="11781" width="11.28515625" style="1118" customWidth="1"/>
    <col min="11782" max="11782" width="10.28515625" style="1118" customWidth="1"/>
    <col min="11783" max="11783" width="13.85546875" style="1118" customWidth="1"/>
    <col min="11784" max="11785" width="7.85546875" style="1118" customWidth="1"/>
    <col min="11786" max="11786" width="10.85546875" style="1118" customWidth="1"/>
    <col min="11787" max="11787" width="13" style="1118" customWidth="1"/>
    <col min="11788" max="11788" width="11.42578125" style="1118" customWidth="1"/>
    <col min="11789" max="11789" width="10" style="1118" customWidth="1"/>
    <col min="11790" max="11790" width="7.85546875" style="1118" customWidth="1"/>
    <col min="11791" max="11791" width="10.140625" style="1118" customWidth="1"/>
    <col min="11792" max="11793" width="7.85546875" style="1118" customWidth="1"/>
    <col min="11794" max="11794" width="10.85546875" style="1118" customWidth="1"/>
    <col min="11795" max="11795" width="10.7109375" style="1118" customWidth="1"/>
    <col min="11796" max="11796" width="11" style="1118" customWidth="1"/>
    <col min="11797" max="11799" width="7.85546875" style="1118" customWidth="1"/>
    <col min="11800" max="11800" width="11.28515625" style="1118" customWidth="1"/>
    <col min="11801" max="11801" width="12.42578125" style="1118" customWidth="1"/>
    <col min="11802" max="11802" width="11" style="1118" customWidth="1"/>
    <col min="11803" max="11804" width="7.85546875" style="1118" customWidth="1"/>
    <col min="11805" max="11805" width="11" style="1118" customWidth="1"/>
    <col min="11806" max="11806" width="10.5703125" style="1118" customWidth="1"/>
    <col min="11807" max="11808" width="11" style="1118" customWidth="1"/>
    <col min="11809" max="11813" width="7.85546875" style="1118" bestFit="1" customWidth="1"/>
    <col min="11814" max="11814" width="8.42578125" style="1118" bestFit="1" customWidth="1"/>
    <col min="11815" max="11815" width="11.42578125" style="1118" customWidth="1"/>
    <col min="11816" max="11816" width="7.85546875" style="1118" bestFit="1" customWidth="1"/>
    <col min="11817" max="11817" width="9.5703125" style="1118" customWidth="1"/>
    <col min="11818" max="11818" width="7.85546875" style="1118" bestFit="1" customWidth="1"/>
    <col min="11819" max="11819" width="12" style="1118" customWidth="1"/>
    <col min="11820" max="11820" width="13.42578125" style="1118" customWidth="1"/>
    <col min="11821" max="11821" width="9.5703125" style="1118" bestFit="1" customWidth="1"/>
    <col min="11822" max="11828" width="9.140625" style="1118" customWidth="1"/>
    <col min="11829" max="12032" width="9.140625" style="1118"/>
    <col min="12033" max="12033" width="16.7109375" style="1118" customWidth="1"/>
    <col min="12034" max="12034" width="52.5703125" style="1118" customWidth="1"/>
    <col min="12035" max="12035" width="11" style="1118" customWidth="1"/>
    <col min="12036" max="12036" width="13.42578125" style="1118" customWidth="1"/>
    <col min="12037" max="12037" width="11.28515625" style="1118" customWidth="1"/>
    <col min="12038" max="12038" width="10.28515625" style="1118" customWidth="1"/>
    <col min="12039" max="12039" width="13.85546875" style="1118" customWidth="1"/>
    <col min="12040" max="12041" width="7.85546875" style="1118" customWidth="1"/>
    <col min="12042" max="12042" width="10.85546875" style="1118" customWidth="1"/>
    <col min="12043" max="12043" width="13" style="1118" customWidth="1"/>
    <col min="12044" max="12044" width="11.42578125" style="1118" customWidth="1"/>
    <col min="12045" max="12045" width="10" style="1118" customWidth="1"/>
    <col min="12046" max="12046" width="7.85546875" style="1118" customWidth="1"/>
    <col min="12047" max="12047" width="10.140625" style="1118" customWidth="1"/>
    <col min="12048" max="12049" width="7.85546875" style="1118" customWidth="1"/>
    <col min="12050" max="12050" width="10.85546875" style="1118" customWidth="1"/>
    <col min="12051" max="12051" width="10.7109375" style="1118" customWidth="1"/>
    <col min="12052" max="12052" width="11" style="1118" customWidth="1"/>
    <col min="12053" max="12055" width="7.85546875" style="1118" customWidth="1"/>
    <col min="12056" max="12056" width="11.28515625" style="1118" customWidth="1"/>
    <col min="12057" max="12057" width="12.42578125" style="1118" customWidth="1"/>
    <col min="12058" max="12058" width="11" style="1118" customWidth="1"/>
    <col min="12059" max="12060" width="7.85546875" style="1118" customWidth="1"/>
    <col min="12061" max="12061" width="11" style="1118" customWidth="1"/>
    <col min="12062" max="12062" width="10.5703125" style="1118" customWidth="1"/>
    <col min="12063" max="12064" width="11" style="1118" customWidth="1"/>
    <col min="12065" max="12069" width="7.85546875" style="1118" bestFit="1" customWidth="1"/>
    <col min="12070" max="12070" width="8.42578125" style="1118" bestFit="1" customWidth="1"/>
    <col min="12071" max="12071" width="11.42578125" style="1118" customWidth="1"/>
    <col min="12072" max="12072" width="7.85546875" style="1118" bestFit="1" customWidth="1"/>
    <col min="12073" max="12073" width="9.5703125" style="1118" customWidth="1"/>
    <col min="12074" max="12074" width="7.85546875" style="1118" bestFit="1" customWidth="1"/>
    <col min="12075" max="12075" width="12" style="1118" customWidth="1"/>
    <col min="12076" max="12076" width="13.42578125" style="1118" customWidth="1"/>
    <col min="12077" max="12077" width="9.5703125" style="1118" bestFit="1" customWidth="1"/>
    <col min="12078" max="12084" width="9.140625" style="1118" customWidth="1"/>
    <col min="12085" max="12288" width="9.140625" style="1118"/>
    <col min="12289" max="12289" width="16.7109375" style="1118" customWidth="1"/>
    <col min="12290" max="12290" width="52.5703125" style="1118" customWidth="1"/>
    <col min="12291" max="12291" width="11" style="1118" customWidth="1"/>
    <col min="12292" max="12292" width="13.42578125" style="1118" customWidth="1"/>
    <col min="12293" max="12293" width="11.28515625" style="1118" customWidth="1"/>
    <col min="12294" max="12294" width="10.28515625" style="1118" customWidth="1"/>
    <col min="12295" max="12295" width="13.85546875" style="1118" customWidth="1"/>
    <col min="12296" max="12297" width="7.85546875" style="1118" customWidth="1"/>
    <col min="12298" max="12298" width="10.85546875" style="1118" customWidth="1"/>
    <col min="12299" max="12299" width="13" style="1118" customWidth="1"/>
    <col min="12300" max="12300" width="11.42578125" style="1118" customWidth="1"/>
    <col min="12301" max="12301" width="10" style="1118" customWidth="1"/>
    <col min="12302" max="12302" width="7.85546875" style="1118" customWidth="1"/>
    <col min="12303" max="12303" width="10.140625" style="1118" customWidth="1"/>
    <col min="12304" max="12305" width="7.85546875" style="1118" customWidth="1"/>
    <col min="12306" max="12306" width="10.85546875" style="1118" customWidth="1"/>
    <col min="12307" max="12307" width="10.7109375" style="1118" customWidth="1"/>
    <col min="12308" max="12308" width="11" style="1118" customWidth="1"/>
    <col min="12309" max="12311" width="7.85546875" style="1118" customWidth="1"/>
    <col min="12312" max="12312" width="11.28515625" style="1118" customWidth="1"/>
    <col min="12313" max="12313" width="12.42578125" style="1118" customWidth="1"/>
    <col min="12314" max="12314" width="11" style="1118" customWidth="1"/>
    <col min="12315" max="12316" width="7.85546875" style="1118" customWidth="1"/>
    <col min="12317" max="12317" width="11" style="1118" customWidth="1"/>
    <col min="12318" max="12318" width="10.5703125" style="1118" customWidth="1"/>
    <col min="12319" max="12320" width="11" style="1118" customWidth="1"/>
    <col min="12321" max="12325" width="7.85546875" style="1118" bestFit="1" customWidth="1"/>
    <col min="12326" max="12326" width="8.42578125" style="1118" bestFit="1" customWidth="1"/>
    <col min="12327" max="12327" width="11.42578125" style="1118" customWidth="1"/>
    <col min="12328" max="12328" width="7.85546875" style="1118" bestFit="1" customWidth="1"/>
    <col min="12329" max="12329" width="9.5703125" style="1118" customWidth="1"/>
    <col min="12330" max="12330" width="7.85546875" style="1118" bestFit="1" customWidth="1"/>
    <col min="12331" max="12331" width="12" style="1118" customWidth="1"/>
    <col min="12332" max="12332" width="13.42578125" style="1118" customWidth="1"/>
    <col min="12333" max="12333" width="9.5703125" style="1118" bestFit="1" customWidth="1"/>
    <col min="12334" max="12340" width="9.140625" style="1118" customWidth="1"/>
    <col min="12341" max="12544" width="9.140625" style="1118"/>
    <col min="12545" max="12545" width="16.7109375" style="1118" customWidth="1"/>
    <col min="12546" max="12546" width="52.5703125" style="1118" customWidth="1"/>
    <col min="12547" max="12547" width="11" style="1118" customWidth="1"/>
    <col min="12548" max="12548" width="13.42578125" style="1118" customWidth="1"/>
    <col min="12549" max="12549" width="11.28515625" style="1118" customWidth="1"/>
    <col min="12550" max="12550" width="10.28515625" style="1118" customWidth="1"/>
    <col min="12551" max="12551" width="13.85546875" style="1118" customWidth="1"/>
    <col min="12552" max="12553" width="7.85546875" style="1118" customWidth="1"/>
    <col min="12554" max="12554" width="10.85546875" style="1118" customWidth="1"/>
    <col min="12555" max="12555" width="13" style="1118" customWidth="1"/>
    <col min="12556" max="12556" width="11.42578125" style="1118" customWidth="1"/>
    <col min="12557" max="12557" width="10" style="1118" customWidth="1"/>
    <col min="12558" max="12558" width="7.85546875" style="1118" customWidth="1"/>
    <col min="12559" max="12559" width="10.140625" style="1118" customWidth="1"/>
    <col min="12560" max="12561" width="7.85546875" style="1118" customWidth="1"/>
    <col min="12562" max="12562" width="10.85546875" style="1118" customWidth="1"/>
    <col min="12563" max="12563" width="10.7109375" style="1118" customWidth="1"/>
    <col min="12564" max="12564" width="11" style="1118" customWidth="1"/>
    <col min="12565" max="12567" width="7.85546875" style="1118" customWidth="1"/>
    <col min="12568" max="12568" width="11.28515625" style="1118" customWidth="1"/>
    <col min="12569" max="12569" width="12.42578125" style="1118" customWidth="1"/>
    <col min="12570" max="12570" width="11" style="1118" customWidth="1"/>
    <col min="12571" max="12572" width="7.85546875" style="1118" customWidth="1"/>
    <col min="12573" max="12573" width="11" style="1118" customWidth="1"/>
    <col min="12574" max="12574" width="10.5703125" style="1118" customWidth="1"/>
    <col min="12575" max="12576" width="11" style="1118" customWidth="1"/>
    <col min="12577" max="12581" width="7.85546875" style="1118" bestFit="1" customWidth="1"/>
    <col min="12582" max="12582" width="8.42578125" style="1118" bestFit="1" customWidth="1"/>
    <col min="12583" max="12583" width="11.42578125" style="1118" customWidth="1"/>
    <col min="12584" max="12584" width="7.85546875" style="1118" bestFit="1" customWidth="1"/>
    <col min="12585" max="12585" width="9.5703125" style="1118" customWidth="1"/>
    <col min="12586" max="12586" width="7.85546875" style="1118" bestFit="1" customWidth="1"/>
    <col min="12587" max="12587" width="12" style="1118" customWidth="1"/>
    <col min="12588" max="12588" width="13.42578125" style="1118" customWidth="1"/>
    <col min="12589" max="12589" width="9.5703125" style="1118" bestFit="1" customWidth="1"/>
    <col min="12590" max="12596" width="9.140625" style="1118" customWidth="1"/>
    <col min="12597" max="12800" width="9.140625" style="1118"/>
    <col min="12801" max="12801" width="16.7109375" style="1118" customWidth="1"/>
    <col min="12802" max="12802" width="52.5703125" style="1118" customWidth="1"/>
    <col min="12803" max="12803" width="11" style="1118" customWidth="1"/>
    <col min="12804" max="12804" width="13.42578125" style="1118" customWidth="1"/>
    <col min="12805" max="12805" width="11.28515625" style="1118" customWidth="1"/>
    <col min="12806" max="12806" width="10.28515625" style="1118" customWidth="1"/>
    <col min="12807" max="12807" width="13.85546875" style="1118" customWidth="1"/>
    <col min="12808" max="12809" width="7.85546875" style="1118" customWidth="1"/>
    <col min="12810" max="12810" width="10.85546875" style="1118" customWidth="1"/>
    <col min="12811" max="12811" width="13" style="1118" customWidth="1"/>
    <col min="12812" max="12812" width="11.42578125" style="1118" customWidth="1"/>
    <col min="12813" max="12813" width="10" style="1118" customWidth="1"/>
    <col min="12814" max="12814" width="7.85546875" style="1118" customWidth="1"/>
    <col min="12815" max="12815" width="10.140625" style="1118" customWidth="1"/>
    <col min="12816" max="12817" width="7.85546875" style="1118" customWidth="1"/>
    <col min="12818" max="12818" width="10.85546875" style="1118" customWidth="1"/>
    <col min="12819" max="12819" width="10.7109375" style="1118" customWidth="1"/>
    <col min="12820" max="12820" width="11" style="1118" customWidth="1"/>
    <col min="12821" max="12823" width="7.85546875" style="1118" customWidth="1"/>
    <col min="12824" max="12824" width="11.28515625" style="1118" customWidth="1"/>
    <col min="12825" max="12825" width="12.42578125" style="1118" customWidth="1"/>
    <col min="12826" max="12826" width="11" style="1118" customWidth="1"/>
    <col min="12827" max="12828" width="7.85546875" style="1118" customWidth="1"/>
    <col min="12829" max="12829" width="11" style="1118" customWidth="1"/>
    <col min="12830" max="12830" width="10.5703125" style="1118" customWidth="1"/>
    <col min="12831" max="12832" width="11" style="1118" customWidth="1"/>
    <col min="12833" max="12837" width="7.85546875" style="1118" bestFit="1" customWidth="1"/>
    <col min="12838" max="12838" width="8.42578125" style="1118" bestFit="1" customWidth="1"/>
    <col min="12839" max="12839" width="11.42578125" style="1118" customWidth="1"/>
    <col min="12840" max="12840" width="7.85546875" style="1118" bestFit="1" customWidth="1"/>
    <col min="12841" max="12841" width="9.5703125" style="1118" customWidth="1"/>
    <col min="12842" max="12842" width="7.85546875" style="1118" bestFit="1" customWidth="1"/>
    <col min="12843" max="12843" width="12" style="1118" customWidth="1"/>
    <col min="12844" max="12844" width="13.42578125" style="1118" customWidth="1"/>
    <col min="12845" max="12845" width="9.5703125" style="1118" bestFit="1" customWidth="1"/>
    <col min="12846" max="12852" width="9.140625" style="1118" customWidth="1"/>
    <col min="12853" max="13056" width="9.140625" style="1118"/>
    <col min="13057" max="13057" width="16.7109375" style="1118" customWidth="1"/>
    <col min="13058" max="13058" width="52.5703125" style="1118" customWidth="1"/>
    <col min="13059" max="13059" width="11" style="1118" customWidth="1"/>
    <col min="13060" max="13060" width="13.42578125" style="1118" customWidth="1"/>
    <col min="13061" max="13061" width="11.28515625" style="1118" customWidth="1"/>
    <col min="13062" max="13062" width="10.28515625" style="1118" customWidth="1"/>
    <col min="13063" max="13063" width="13.85546875" style="1118" customWidth="1"/>
    <col min="13064" max="13065" width="7.85546875" style="1118" customWidth="1"/>
    <col min="13066" max="13066" width="10.85546875" style="1118" customWidth="1"/>
    <col min="13067" max="13067" width="13" style="1118" customWidth="1"/>
    <col min="13068" max="13068" width="11.42578125" style="1118" customWidth="1"/>
    <col min="13069" max="13069" width="10" style="1118" customWidth="1"/>
    <col min="13070" max="13070" width="7.85546875" style="1118" customWidth="1"/>
    <col min="13071" max="13071" width="10.140625" style="1118" customWidth="1"/>
    <col min="13072" max="13073" width="7.85546875" style="1118" customWidth="1"/>
    <col min="13074" max="13074" width="10.85546875" style="1118" customWidth="1"/>
    <col min="13075" max="13075" width="10.7109375" style="1118" customWidth="1"/>
    <col min="13076" max="13076" width="11" style="1118" customWidth="1"/>
    <col min="13077" max="13079" width="7.85546875" style="1118" customWidth="1"/>
    <col min="13080" max="13080" width="11.28515625" style="1118" customWidth="1"/>
    <col min="13081" max="13081" width="12.42578125" style="1118" customWidth="1"/>
    <col min="13082" max="13082" width="11" style="1118" customWidth="1"/>
    <col min="13083" max="13084" width="7.85546875" style="1118" customWidth="1"/>
    <col min="13085" max="13085" width="11" style="1118" customWidth="1"/>
    <col min="13086" max="13086" width="10.5703125" style="1118" customWidth="1"/>
    <col min="13087" max="13088" width="11" style="1118" customWidth="1"/>
    <col min="13089" max="13093" width="7.85546875" style="1118" bestFit="1" customWidth="1"/>
    <col min="13094" max="13094" width="8.42578125" style="1118" bestFit="1" customWidth="1"/>
    <col min="13095" max="13095" width="11.42578125" style="1118" customWidth="1"/>
    <col min="13096" max="13096" width="7.85546875" style="1118" bestFit="1" customWidth="1"/>
    <col min="13097" max="13097" width="9.5703125" style="1118" customWidth="1"/>
    <col min="13098" max="13098" width="7.85546875" style="1118" bestFit="1" customWidth="1"/>
    <col min="13099" max="13099" width="12" style="1118" customWidth="1"/>
    <col min="13100" max="13100" width="13.42578125" style="1118" customWidth="1"/>
    <col min="13101" max="13101" width="9.5703125" style="1118" bestFit="1" customWidth="1"/>
    <col min="13102" max="13108" width="9.140625" style="1118" customWidth="1"/>
    <col min="13109" max="13312" width="9.140625" style="1118"/>
    <col min="13313" max="13313" width="16.7109375" style="1118" customWidth="1"/>
    <col min="13314" max="13314" width="52.5703125" style="1118" customWidth="1"/>
    <col min="13315" max="13315" width="11" style="1118" customWidth="1"/>
    <col min="13316" max="13316" width="13.42578125" style="1118" customWidth="1"/>
    <col min="13317" max="13317" width="11.28515625" style="1118" customWidth="1"/>
    <col min="13318" max="13318" width="10.28515625" style="1118" customWidth="1"/>
    <col min="13319" max="13319" width="13.85546875" style="1118" customWidth="1"/>
    <col min="13320" max="13321" width="7.85546875" style="1118" customWidth="1"/>
    <col min="13322" max="13322" width="10.85546875" style="1118" customWidth="1"/>
    <col min="13323" max="13323" width="13" style="1118" customWidth="1"/>
    <col min="13324" max="13324" width="11.42578125" style="1118" customWidth="1"/>
    <col min="13325" max="13325" width="10" style="1118" customWidth="1"/>
    <col min="13326" max="13326" width="7.85546875" style="1118" customWidth="1"/>
    <col min="13327" max="13327" width="10.140625" style="1118" customWidth="1"/>
    <col min="13328" max="13329" width="7.85546875" style="1118" customWidth="1"/>
    <col min="13330" max="13330" width="10.85546875" style="1118" customWidth="1"/>
    <col min="13331" max="13331" width="10.7109375" style="1118" customWidth="1"/>
    <col min="13332" max="13332" width="11" style="1118" customWidth="1"/>
    <col min="13333" max="13335" width="7.85546875" style="1118" customWidth="1"/>
    <col min="13336" max="13336" width="11.28515625" style="1118" customWidth="1"/>
    <col min="13337" max="13337" width="12.42578125" style="1118" customWidth="1"/>
    <col min="13338" max="13338" width="11" style="1118" customWidth="1"/>
    <col min="13339" max="13340" width="7.85546875" style="1118" customWidth="1"/>
    <col min="13341" max="13341" width="11" style="1118" customWidth="1"/>
    <col min="13342" max="13342" width="10.5703125" style="1118" customWidth="1"/>
    <col min="13343" max="13344" width="11" style="1118" customWidth="1"/>
    <col min="13345" max="13349" width="7.85546875" style="1118" bestFit="1" customWidth="1"/>
    <col min="13350" max="13350" width="8.42578125" style="1118" bestFit="1" customWidth="1"/>
    <col min="13351" max="13351" width="11.42578125" style="1118" customWidth="1"/>
    <col min="13352" max="13352" width="7.85546875" style="1118" bestFit="1" customWidth="1"/>
    <col min="13353" max="13353" width="9.5703125" style="1118" customWidth="1"/>
    <col min="13354" max="13354" width="7.85546875" style="1118" bestFit="1" customWidth="1"/>
    <col min="13355" max="13355" width="12" style="1118" customWidth="1"/>
    <col min="13356" max="13356" width="13.42578125" style="1118" customWidth="1"/>
    <col min="13357" max="13357" width="9.5703125" style="1118" bestFit="1" customWidth="1"/>
    <col min="13358" max="13364" width="9.140625" style="1118" customWidth="1"/>
    <col min="13365" max="13568" width="9.140625" style="1118"/>
    <col min="13569" max="13569" width="16.7109375" style="1118" customWidth="1"/>
    <col min="13570" max="13570" width="52.5703125" style="1118" customWidth="1"/>
    <col min="13571" max="13571" width="11" style="1118" customWidth="1"/>
    <col min="13572" max="13572" width="13.42578125" style="1118" customWidth="1"/>
    <col min="13573" max="13573" width="11.28515625" style="1118" customWidth="1"/>
    <col min="13574" max="13574" width="10.28515625" style="1118" customWidth="1"/>
    <col min="13575" max="13575" width="13.85546875" style="1118" customWidth="1"/>
    <col min="13576" max="13577" width="7.85546875" style="1118" customWidth="1"/>
    <col min="13578" max="13578" width="10.85546875" style="1118" customWidth="1"/>
    <col min="13579" max="13579" width="13" style="1118" customWidth="1"/>
    <col min="13580" max="13580" width="11.42578125" style="1118" customWidth="1"/>
    <col min="13581" max="13581" width="10" style="1118" customWidth="1"/>
    <col min="13582" max="13582" width="7.85546875" style="1118" customWidth="1"/>
    <col min="13583" max="13583" width="10.140625" style="1118" customWidth="1"/>
    <col min="13584" max="13585" width="7.85546875" style="1118" customWidth="1"/>
    <col min="13586" max="13586" width="10.85546875" style="1118" customWidth="1"/>
    <col min="13587" max="13587" width="10.7109375" style="1118" customWidth="1"/>
    <col min="13588" max="13588" width="11" style="1118" customWidth="1"/>
    <col min="13589" max="13591" width="7.85546875" style="1118" customWidth="1"/>
    <col min="13592" max="13592" width="11.28515625" style="1118" customWidth="1"/>
    <col min="13593" max="13593" width="12.42578125" style="1118" customWidth="1"/>
    <col min="13594" max="13594" width="11" style="1118" customWidth="1"/>
    <col min="13595" max="13596" width="7.85546875" style="1118" customWidth="1"/>
    <col min="13597" max="13597" width="11" style="1118" customWidth="1"/>
    <col min="13598" max="13598" width="10.5703125" style="1118" customWidth="1"/>
    <col min="13599" max="13600" width="11" style="1118" customWidth="1"/>
    <col min="13601" max="13605" width="7.85546875" style="1118" bestFit="1" customWidth="1"/>
    <col min="13606" max="13606" width="8.42578125" style="1118" bestFit="1" customWidth="1"/>
    <col min="13607" max="13607" width="11.42578125" style="1118" customWidth="1"/>
    <col min="13608" max="13608" width="7.85546875" style="1118" bestFit="1" customWidth="1"/>
    <col min="13609" max="13609" width="9.5703125" style="1118" customWidth="1"/>
    <col min="13610" max="13610" width="7.85546875" style="1118" bestFit="1" customWidth="1"/>
    <col min="13611" max="13611" width="12" style="1118" customWidth="1"/>
    <col min="13612" max="13612" width="13.42578125" style="1118" customWidth="1"/>
    <col min="13613" max="13613" width="9.5703125" style="1118" bestFit="1" customWidth="1"/>
    <col min="13614" max="13620" width="9.140625" style="1118" customWidth="1"/>
    <col min="13621" max="13824" width="9.140625" style="1118"/>
    <col min="13825" max="13825" width="16.7109375" style="1118" customWidth="1"/>
    <col min="13826" max="13826" width="52.5703125" style="1118" customWidth="1"/>
    <col min="13827" max="13827" width="11" style="1118" customWidth="1"/>
    <col min="13828" max="13828" width="13.42578125" style="1118" customWidth="1"/>
    <col min="13829" max="13829" width="11.28515625" style="1118" customWidth="1"/>
    <col min="13830" max="13830" width="10.28515625" style="1118" customWidth="1"/>
    <col min="13831" max="13831" width="13.85546875" style="1118" customWidth="1"/>
    <col min="13832" max="13833" width="7.85546875" style="1118" customWidth="1"/>
    <col min="13834" max="13834" width="10.85546875" style="1118" customWidth="1"/>
    <col min="13835" max="13835" width="13" style="1118" customWidth="1"/>
    <col min="13836" max="13836" width="11.42578125" style="1118" customWidth="1"/>
    <col min="13837" max="13837" width="10" style="1118" customWidth="1"/>
    <col min="13838" max="13838" width="7.85546875" style="1118" customWidth="1"/>
    <col min="13839" max="13839" width="10.140625" style="1118" customWidth="1"/>
    <col min="13840" max="13841" width="7.85546875" style="1118" customWidth="1"/>
    <col min="13842" max="13842" width="10.85546875" style="1118" customWidth="1"/>
    <col min="13843" max="13843" width="10.7109375" style="1118" customWidth="1"/>
    <col min="13844" max="13844" width="11" style="1118" customWidth="1"/>
    <col min="13845" max="13847" width="7.85546875" style="1118" customWidth="1"/>
    <col min="13848" max="13848" width="11.28515625" style="1118" customWidth="1"/>
    <col min="13849" max="13849" width="12.42578125" style="1118" customWidth="1"/>
    <col min="13850" max="13850" width="11" style="1118" customWidth="1"/>
    <col min="13851" max="13852" width="7.85546875" style="1118" customWidth="1"/>
    <col min="13853" max="13853" width="11" style="1118" customWidth="1"/>
    <col min="13854" max="13854" width="10.5703125" style="1118" customWidth="1"/>
    <col min="13855" max="13856" width="11" style="1118" customWidth="1"/>
    <col min="13857" max="13861" width="7.85546875" style="1118" bestFit="1" customWidth="1"/>
    <col min="13862" max="13862" width="8.42578125" style="1118" bestFit="1" customWidth="1"/>
    <col min="13863" max="13863" width="11.42578125" style="1118" customWidth="1"/>
    <col min="13864" max="13864" width="7.85546875" style="1118" bestFit="1" customWidth="1"/>
    <col min="13865" max="13865" width="9.5703125" style="1118" customWidth="1"/>
    <col min="13866" max="13866" width="7.85546875" style="1118" bestFit="1" customWidth="1"/>
    <col min="13867" max="13867" width="12" style="1118" customWidth="1"/>
    <col min="13868" max="13868" width="13.42578125" style="1118" customWidth="1"/>
    <col min="13869" max="13869" width="9.5703125" style="1118" bestFit="1" customWidth="1"/>
    <col min="13870" max="13876" width="9.140625" style="1118" customWidth="1"/>
    <col min="13877" max="14080" width="9.140625" style="1118"/>
    <col min="14081" max="14081" width="16.7109375" style="1118" customWidth="1"/>
    <col min="14082" max="14082" width="52.5703125" style="1118" customWidth="1"/>
    <col min="14083" max="14083" width="11" style="1118" customWidth="1"/>
    <col min="14084" max="14084" width="13.42578125" style="1118" customWidth="1"/>
    <col min="14085" max="14085" width="11.28515625" style="1118" customWidth="1"/>
    <col min="14086" max="14086" width="10.28515625" style="1118" customWidth="1"/>
    <col min="14087" max="14087" width="13.85546875" style="1118" customWidth="1"/>
    <col min="14088" max="14089" width="7.85546875" style="1118" customWidth="1"/>
    <col min="14090" max="14090" width="10.85546875" style="1118" customWidth="1"/>
    <col min="14091" max="14091" width="13" style="1118" customWidth="1"/>
    <col min="14092" max="14092" width="11.42578125" style="1118" customWidth="1"/>
    <col min="14093" max="14093" width="10" style="1118" customWidth="1"/>
    <col min="14094" max="14094" width="7.85546875" style="1118" customWidth="1"/>
    <col min="14095" max="14095" width="10.140625" style="1118" customWidth="1"/>
    <col min="14096" max="14097" width="7.85546875" style="1118" customWidth="1"/>
    <col min="14098" max="14098" width="10.85546875" style="1118" customWidth="1"/>
    <col min="14099" max="14099" width="10.7109375" style="1118" customWidth="1"/>
    <col min="14100" max="14100" width="11" style="1118" customWidth="1"/>
    <col min="14101" max="14103" width="7.85546875" style="1118" customWidth="1"/>
    <col min="14104" max="14104" width="11.28515625" style="1118" customWidth="1"/>
    <col min="14105" max="14105" width="12.42578125" style="1118" customWidth="1"/>
    <col min="14106" max="14106" width="11" style="1118" customWidth="1"/>
    <col min="14107" max="14108" width="7.85546875" style="1118" customWidth="1"/>
    <col min="14109" max="14109" width="11" style="1118" customWidth="1"/>
    <col min="14110" max="14110" width="10.5703125" style="1118" customWidth="1"/>
    <col min="14111" max="14112" width="11" style="1118" customWidth="1"/>
    <col min="14113" max="14117" width="7.85546875" style="1118" bestFit="1" customWidth="1"/>
    <col min="14118" max="14118" width="8.42578125" style="1118" bestFit="1" customWidth="1"/>
    <col min="14119" max="14119" width="11.42578125" style="1118" customWidth="1"/>
    <col min="14120" max="14120" width="7.85546875" style="1118" bestFit="1" customWidth="1"/>
    <col min="14121" max="14121" width="9.5703125" style="1118" customWidth="1"/>
    <col min="14122" max="14122" width="7.85546875" style="1118" bestFit="1" customWidth="1"/>
    <col min="14123" max="14123" width="12" style="1118" customWidth="1"/>
    <col min="14124" max="14124" width="13.42578125" style="1118" customWidth="1"/>
    <col min="14125" max="14125" width="9.5703125" style="1118" bestFit="1" customWidth="1"/>
    <col min="14126" max="14132" width="9.140625" style="1118" customWidth="1"/>
    <col min="14133" max="14336" width="9.140625" style="1118"/>
    <col min="14337" max="14337" width="16.7109375" style="1118" customWidth="1"/>
    <col min="14338" max="14338" width="52.5703125" style="1118" customWidth="1"/>
    <col min="14339" max="14339" width="11" style="1118" customWidth="1"/>
    <col min="14340" max="14340" width="13.42578125" style="1118" customWidth="1"/>
    <col min="14341" max="14341" width="11.28515625" style="1118" customWidth="1"/>
    <col min="14342" max="14342" width="10.28515625" style="1118" customWidth="1"/>
    <col min="14343" max="14343" width="13.85546875" style="1118" customWidth="1"/>
    <col min="14344" max="14345" width="7.85546875" style="1118" customWidth="1"/>
    <col min="14346" max="14346" width="10.85546875" style="1118" customWidth="1"/>
    <col min="14347" max="14347" width="13" style="1118" customWidth="1"/>
    <col min="14348" max="14348" width="11.42578125" style="1118" customWidth="1"/>
    <col min="14349" max="14349" width="10" style="1118" customWidth="1"/>
    <col min="14350" max="14350" width="7.85546875" style="1118" customWidth="1"/>
    <col min="14351" max="14351" width="10.140625" style="1118" customWidth="1"/>
    <col min="14352" max="14353" width="7.85546875" style="1118" customWidth="1"/>
    <col min="14354" max="14354" width="10.85546875" style="1118" customWidth="1"/>
    <col min="14355" max="14355" width="10.7109375" style="1118" customWidth="1"/>
    <col min="14356" max="14356" width="11" style="1118" customWidth="1"/>
    <col min="14357" max="14359" width="7.85546875" style="1118" customWidth="1"/>
    <col min="14360" max="14360" width="11.28515625" style="1118" customWidth="1"/>
    <col min="14361" max="14361" width="12.42578125" style="1118" customWidth="1"/>
    <col min="14362" max="14362" width="11" style="1118" customWidth="1"/>
    <col min="14363" max="14364" width="7.85546875" style="1118" customWidth="1"/>
    <col min="14365" max="14365" width="11" style="1118" customWidth="1"/>
    <col min="14366" max="14366" width="10.5703125" style="1118" customWidth="1"/>
    <col min="14367" max="14368" width="11" style="1118" customWidth="1"/>
    <col min="14369" max="14373" width="7.85546875" style="1118" bestFit="1" customWidth="1"/>
    <col min="14374" max="14374" width="8.42578125" style="1118" bestFit="1" customWidth="1"/>
    <col min="14375" max="14375" width="11.42578125" style="1118" customWidth="1"/>
    <col min="14376" max="14376" width="7.85546875" style="1118" bestFit="1" customWidth="1"/>
    <col min="14377" max="14377" width="9.5703125" style="1118" customWidth="1"/>
    <col min="14378" max="14378" width="7.85546875" style="1118" bestFit="1" customWidth="1"/>
    <col min="14379" max="14379" width="12" style="1118" customWidth="1"/>
    <col min="14380" max="14380" width="13.42578125" style="1118" customWidth="1"/>
    <col min="14381" max="14381" width="9.5703125" style="1118" bestFit="1" customWidth="1"/>
    <col min="14382" max="14388" width="9.140625" style="1118" customWidth="1"/>
    <col min="14389" max="14592" width="9.140625" style="1118"/>
    <col min="14593" max="14593" width="16.7109375" style="1118" customWidth="1"/>
    <col min="14594" max="14594" width="52.5703125" style="1118" customWidth="1"/>
    <col min="14595" max="14595" width="11" style="1118" customWidth="1"/>
    <col min="14596" max="14596" width="13.42578125" style="1118" customWidth="1"/>
    <col min="14597" max="14597" width="11.28515625" style="1118" customWidth="1"/>
    <col min="14598" max="14598" width="10.28515625" style="1118" customWidth="1"/>
    <col min="14599" max="14599" width="13.85546875" style="1118" customWidth="1"/>
    <col min="14600" max="14601" width="7.85546875" style="1118" customWidth="1"/>
    <col min="14602" max="14602" width="10.85546875" style="1118" customWidth="1"/>
    <col min="14603" max="14603" width="13" style="1118" customWidth="1"/>
    <col min="14604" max="14604" width="11.42578125" style="1118" customWidth="1"/>
    <col min="14605" max="14605" width="10" style="1118" customWidth="1"/>
    <col min="14606" max="14606" width="7.85546875" style="1118" customWidth="1"/>
    <col min="14607" max="14607" width="10.140625" style="1118" customWidth="1"/>
    <col min="14608" max="14609" width="7.85546875" style="1118" customWidth="1"/>
    <col min="14610" max="14610" width="10.85546875" style="1118" customWidth="1"/>
    <col min="14611" max="14611" width="10.7109375" style="1118" customWidth="1"/>
    <col min="14612" max="14612" width="11" style="1118" customWidth="1"/>
    <col min="14613" max="14615" width="7.85546875" style="1118" customWidth="1"/>
    <col min="14616" max="14616" width="11.28515625" style="1118" customWidth="1"/>
    <col min="14617" max="14617" width="12.42578125" style="1118" customWidth="1"/>
    <col min="14618" max="14618" width="11" style="1118" customWidth="1"/>
    <col min="14619" max="14620" width="7.85546875" style="1118" customWidth="1"/>
    <col min="14621" max="14621" width="11" style="1118" customWidth="1"/>
    <col min="14622" max="14622" width="10.5703125" style="1118" customWidth="1"/>
    <col min="14623" max="14624" width="11" style="1118" customWidth="1"/>
    <col min="14625" max="14629" width="7.85546875" style="1118" bestFit="1" customWidth="1"/>
    <col min="14630" max="14630" width="8.42578125" style="1118" bestFit="1" customWidth="1"/>
    <col min="14631" max="14631" width="11.42578125" style="1118" customWidth="1"/>
    <col min="14632" max="14632" width="7.85546875" style="1118" bestFit="1" customWidth="1"/>
    <col min="14633" max="14633" width="9.5703125" style="1118" customWidth="1"/>
    <col min="14634" max="14634" width="7.85546875" style="1118" bestFit="1" customWidth="1"/>
    <col min="14635" max="14635" width="12" style="1118" customWidth="1"/>
    <col min="14636" max="14636" width="13.42578125" style="1118" customWidth="1"/>
    <col min="14637" max="14637" width="9.5703125" style="1118" bestFit="1" customWidth="1"/>
    <col min="14638" max="14644" width="9.140625" style="1118" customWidth="1"/>
    <col min="14645" max="14848" width="9.140625" style="1118"/>
    <col min="14849" max="14849" width="16.7109375" style="1118" customWidth="1"/>
    <col min="14850" max="14850" width="52.5703125" style="1118" customWidth="1"/>
    <col min="14851" max="14851" width="11" style="1118" customWidth="1"/>
    <col min="14852" max="14852" width="13.42578125" style="1118" customWidth="1"/>
    <col min="14853" max="14853" width="11.28515625" style="1118" customWidth="1"/>
    <col min="14854" max="14854" width="10.28515625" style="1118" customWidth="1"/>
    <col min="14855" max="14855" width="13.85546875" style="1118" customWidth="1"/>
    <col min="14856" max="14857" width="7.85546875" style="1118" customWidth="1"/>
    <col min="14858" max="14858" width="10.85546875" style="1118" customWidth="1"/>
    <col min="14859" max="14859" width="13" style="1118" customWidth="1"/>
    <col min="14860" max="14860" width="11.42578125" style="1118" customWidth="1"/>
    <col min="14861" max="14861" width="10" style="1118" customWidth="1"/>
    <col min="14862" max="14862" width="7.85546875" style="1118" customWidth="1"/>
    <col min="14863" max="14863" width="10.140625" style="1118" customWidth="1"/>
    <col min="14864" max="14865" width="7.85546875" style="1118" customWidth="1"/>
    <col min="14866" max="14866" width="10.85546875" style="1118" customWidth="1"/>
    <col min="14867" max="14867" width="10.7109375" style="1118" customWidth="1"/>
    <col min="14868" max="14868" width="11" style="1118" customWidth="1"/>
    <col min="14869" max="14871" width="7.85546875" style="1118" customWidth="1"/>
    <col min="14872" max="14872" width="11.28515625" style="1118" customWidth="1"/>
    <col min="14873" max="14873" width="12.42578125" style="1118" customWidth="1"/>
    <col min="14874" max="14874" width="11" style="1118" customWidth="1"/>
    <col min="14875" max="14876" width="7.85546875" style="1118" customWidth="1"/>
    <col min="14877" max="14877" width="11" style="1118" customWidth="1"/>
    <col min="14878" max="14878" width="10.5703125" style="1118" customWidth="1"/>
    <col min="14879" max="14880" width="11" style="1118" customWidth="1"/>
    <col min="14881" max="14885" width="7.85546875" style="1118" bestFit="1" customWidth="1"/>
    <col min="14886" max="14886" width="8.42578125" style="1118" bestFit="1" customWidth="1"/>
    <col min="14887" max="14887" width="11.42578125" style="1118" customWidth="1"/>
    <col min="14888" max="14888" width="7.85546875" style="1118" bestFit="1" customWidth="1"/>
    <col min="14889" max="14889" width="9.5703125" style="1118" customWidth="1"/>
    <col min="14890" max="14890" width="7.85546875" style="1118" bestFit="1" customWidth="1"/>
    <col min="14891" max="14891" width="12" style="1118" customWidth="1"/>
    <col min="14892" max="14892" width="13.42578125" style="1118" customWidth="1"/>
    <col min="14893" max="14893" width="9.5703125" style="1118" bestFit="1" customWidth="1"/>
    <col min="14894" max="14900" width="9.140625" style="1118" customWidth="1"/>
    <col min="14901" max="15104" width="9.140625" style="1118"/>
    <col min="15105" max="15105" width="16.7109375" style="1118" customWidth="1"/>
    <col min="15106" max="15106" width="52.5703125" style="1118" customWidth="1"/>
    <col min="15107" max="15107" width="11" style="1118" customWidth="1"/>
    <col min="15108" max="15108" width="13.42578125" style="1118" customWidth="1"/>
    <col min="15109" max="15109" width="11.28515625" style="1118" customWidth="1"/>
    <col min="15110" max="15110" width="10.28515625" style="1118" customWidth="1"/>
    <col min="15111" max="15111" width="13.85546875" style="1118" customWidth="1"/>
    <col min="15112" max="15113" width="7.85546875" style="1118" customWidth="1"/>
    <col min="15114" max="15114" width="10.85546875" style="1118" customWidth="1"/>
    <col min="15115" max="15115" width="13" style="1118" customWidth="1"/>
    <col min="15116" max="15116" width="11.42578125" style="1118" customWidth="1"/>
    <col min="15117" max="15117" width="10" style="1118" customWidth="1"/>
    <col min="15118" max="15118" width="7.85546875" style="1118" customWidth="1"/>
    <col min="15119" max="15119" width="10.140625" style="1118" customWidth="1"/>
    <col min="15120" max="15121" width="7.85546875" style="1118" customWidth="1"/>
    <col min="15122" max="15122" width="10.85546875" style="1118" customWidth="1"/>
    <col min="15123" max="15123" width="10.7109375" style="1118" customWidth="1"/>
    <col min="15124" max="15124" width="11" style="1118" customWidth="1"/>
    <col min="15125" max="15127" width="7.85546875" style="1118" customWidth="1"/>
    <col min="15128" max="15128" width="11.28515625" style="1118" customWidth="1"/>
    <col min="15129" max="15129" width="12.42578125" style="1118" customWidth="1"/>
    <col min="15130" max="15130" width="11" style="1118" customWidth="1"/>
    <col min="15131" max="15132" width="7.85546875" style="1118" customWidth="1"/>
    <col min="15133" max="15133" width="11" style="1118" customWidth="1"/>
    <col min="15134" max="15134" width="10.5703125" style="1118" customWidth="1"/>
    <col min="15135" max="15136" width="11" style="1118" customWidth="1"/>
    <col min="15137" max="15141" width="7.85546875" style="1118" bestFit="1" customWidth="1"/>
    <col min="15142" max="15142" width="8.42578125" style="1118" bestFit="1" customWidth="1"/>
    <col min="15143" max="15143" width="11.42578125" style="1118" customWidth="1"/>
    <col min="15144" max="15144" width="7.85546875" style="1118" bestFit="1" customWidth="1"/>
    <col min="15145" max="15145" width="9.5703125" style="1118" customWidth="1"/>
    <col min="15146" max="15146" width="7.85546875" style="1118" bestFit="1" customWidth="1"/>
    <col min="15147" max="15147" width="12" style="1118" customWidth="1"/>
    <col min="15148" max="15148" width="13.42578125" style="1118" customWidth="1"/>
    <col min="15149" max="15149" width="9.5703125" style="1118" bestFit="1" customWidth="1"/>
    <col min="15150" max="15156" width="9.140625" style="1118" customWidth="1"/>
    <col min="15157" max="15360" width="9.140625" style="1118"/>
    <col min="15361" max="15361" width="16.7109375" style="1118" customWidth="1"/>
    <col min="15362" max="15362" width="52.5703125" style="1118" customWidth="1"/>
    <col min="15363" max="15363" width="11" style="1118" customWidth="1"/>
    <col min="15364" max="15364" width="13.42578125" style="1118" customWidth="1"/>
    <col min="15365" max="15365" width="11.28515625" style="1118" customWidth="1"/>
    <col min="15366" max="15366" width="10.28515625" style="1118" customWidth="1"/>
    <col min="15367" max="15367" width="13.85546875" style="1118" customWidth="1"/>
    <col min="15368" max="15369" width="7.85546875" style="1118" customWidth="1"/>
    <col min="15370" max="15370" width="10.85546875" style="1118" customWidth="1"/>
    <col min="15371" max="15371" width="13" style="1118" customWidth="1"/>
    <col min="15372" max="15372" width="11.42578125" style="1118" customWidth="1"/>
    <col min="15373" max="15373" width="10" style="1118" customWidth="1"/>
    <col min="15374" max="15374" width="7.85546875" style="1118" customWidth="1"/>
    <col min="15375" max="15375" width="10.140625" style="1118" customWidth="1"/>
    <col min="15376" max="15377" width="7.85546875" style="1118" customWidth="1"/>
    <col min="15378" max="15378" width="10.85546875" style="1118" customWidth="1"/>
    <col min="15379" max="15379" width="10.7109375" style="1118" customWidth="1"/>
    <col min="15380" max="15380" width="11" style="1118" customWidth="1"/>
    <col min="15381" max="15383" width="7.85546875" style="1118" customWidth="1"/>
    <col min="15384" max="15384" width="11.28515625" style="1118" customWidth="1"/>
    <col min="15385" max="15385" width="12.42578125" style="1118" customWidth="1"/>
    <col min="15386" max="15386" width="11" style="1118" customWidth="1"/>
    <col min="15387" max="15388" width="7.85546875" style="1118" customWidth="1"/>
    <col min="15389" max="15389" width="11" style="1118" customWidth="1"/>
    <col min="15390" max="15390" width="10.5703125" style="1118" customWidth="1"/>
    <col min="15391" max="15392" width="11" style="1118" customWidth="1"/>
    <col min="15393" max="15397" width="7.85546875" style="1118" bestFit="1" customWidth="1"/>
    <col min="15398" max="15398" width="8.42578125" style="1118" bestFit="1" customWidth="1"/>
    <col min="15399" max="15399" width="11.42578125" style="1118" customWidth="1"/>
    <col min="15400" max="15400" width="7.85546875" style="1118" bestFit="1" customWidth="1"/>
    <col min="15401" max="15401" width="9.5703125" style="1118" customWidth="1"/>
    <col min="15402" max="15402" width="7.85546875" style="1118" bestFit="1" customWidth="1"/>
    <col min="15403" max="15403" width="12" style="1118" customWidth="1"/>
    <col min="15404" max="15404" width="13.42578125" style="1118" customWidth="1"/>
    <col min="15405" max="15405" width="9.5703125" style="1118" bestFit="1" customWidth="1"/>
    <col min="15406" max="15412" width="9.140625" style="1118" customWidth="1"/>
    <col min="15413" max="15616" width="9.140625" style="1118"/>
    <col min="15617" max="15617" width="16.7109375" style="1118" customWidth="1"/>
    <col min="15618" max="15618" width="52.5703125" style="1118" customWidth="1"/>
    <col min="15619" max="15619" width="11" style="1118" customWidth="1"/>
    <col min="15620" max="15620" width="13.42578125" style="1118" customWidth="1"/>
    <col min="15621" max="15621" width="11.28515625" style="1118" customWidth="1"/>
    <col min="15622" max="15622" width="10.28515625" style="1118" customWidth="1"/>
    <col min="15623" max="15623" width="13.85546875" style="1118" customWidth="1"/>
    <col min="15624" max="15625" width="7.85546875" style="1118" customWidth="1"/>
    <col min="15626" max="15626" width="10.85546875" style="1118" customWidth="1"/>
    <col min="15627" max="15627" width="13" style="1118" customWidth="1"/>
    <col min="15628" max="15628" width="11.42578125" style="1118" customWidth="1"/>
    <col min="15629" max="15629" width="10" style="1118" customWidth="1"/>
    <col min="15630" max="15630" width="7.85546875" style="1118" customWidth="1"/>
    <col min="15631" max="15631" width="10.140625" style="1118" customWidth="1"/>
    <col min="15632" max="15633" width="7.85546875" style="1118" customWidth="1"/>
    <col min="15634" max="15634" width="10.85546875" style="1118" customWidth="1"/>
    <col min="15635" max="15635" width="10.7109375" style="1118" customWidth="1"/>
    <col min="15636" max="15636" width="11" style="1118" customWidth="1"/>
    <col min="15637" max="15639" width="7.85546875" style="1118" customWidth="1"/>
    <col min="15640" max="15640" width="11.28515625" style="1118" customWidth="1"/>
    <col min="15641" max="15641" width="12.42578125" style="1118" customWidth="1"/>
    <col min="15642" max="15642" width="11" style="1118" customWidth="1"/>
    <col min="15643" max="15644" width="7.85546875" style="1118" customWidth="1"/>
    <col min="15645" max="15645" width="11" style="1118" customWidth="1"/>
    <col min="15646" max="15646" width="10.5703125" style="1118" customWidth="1"/>
    <col min="15647" max="15648" width="11" style="1118" customWidth="1"/>
    <col min="15649" max="15653" width="7.85546875" style="1118" bestFit="1" customWidth="1"/>
    <col min="15654" max="15654" width="8.42578125" style="1118" bestFit="1" customWidth="1"/>
    <col min="15655" max="15655" width="11.42578125" style="1118" customWidth="1"/>
    <col min="15656" max="15656" width="7.85546875" style="1118" bestFit="1" customWidth="1"/>
    <col min="15657" max="15657" width="9.5703125" style="1118" customWidth="1"/>
    <col min="15658" max="15658" width="7.85546875" style="1118" bestFit="1" customWidth="1"/>
    <col min="15659" max="15659" width="12" style="1118" customWidth="1"/>
    <col min="15660" max="15660" width="13.42578125" style="1118" customWidth="1"/>
    <col min="15661" max="15661" width="9.5703125" style="1118" bestFit="1" customWidth="1"/>
    <col min="15662" max="15668" width="9.140625" style="1118" customWidth="1"/>
    <col min="15669" max="15872" width="9.140625" style="1118"/>
    <col min="15873" max="15873" width="16.7109375" style="1118" customWidth="1"/>
    <col min="15874" max="15874" width="52.5703125" style="1118" customWidth="1"/>
    <col min="15875" max="15875" width="11" style="1118" customWidth="1"/>
    <col min="15876" max="15876" width="13.42578125" style="1118" customWidth="1"/>
    <col min="15877" max="15877" width="11.28515625" style="1118" customWidth="1"/>
    <col min="15878" max="15878" width="10.28515625" style="1118" customWidth="1"/>
    <col min="15879" max="15879" width="13.85546875" style="1118" customWidth="1"/>
    <col min="15880" max="15881" width="7.85546875" style="1118" customWidth="1"/>
    <col min="15882" max="15882" width="10.85546875" style="1118" customWidth="1"/>
    <col min="15883" max="15883" width="13" style="1118" customWidth="1"/>
    <col min="15884" max="15884" width="11.42578125" style="1118" customWidth="1"/>
    <col min="15885" max="15885" width="10" style="1118" customWidth="1"/>
    <col min="15886" max="15886" width="7.85546875" style="1118" customWidth="1"/>
    <col min="15887" max="15887" width="10.140625" style="1118" customWidth="1"/>
    <col min="15888" max="15889" width="7.85546875" style="1118" customWidth="1"/>
    <col min="15890" max="15890" width="10.85546875" style="1118" customWidth="1"/>
    <col min="15891" max="15891" width="10.7109375" style="1118" customWidth="1"/>
    <col min="15892" max="15892" width="11" style="1118" customWidth="1"/>
    <col min="15893" max="15895" width="7.85546875" style="1118" customWidth="1"/>
    <col min="15896" max="15896" width="11.28515625" style="1118" customWidth="1"/>
    <col min="15897" max="15897" width="12.42578125" style="1118" customWidth="1"/>
    <col min="15898" max="15898" width="11" style="1118" customWidth="1"/>
    <col min="15899" max="15900" width="7.85546875" style="1118" customWidth="1"/>
    <col min="15901" max="15901" width="11" style="1118" customWidth="1"/>
    <col min="15902" max="15902" width="10.5703125" style="1118" customWidth="1"/>
    <col min="15903" max="15904" width="11" style="1118" customWidth="1"/>
    <col min="15905" max="15909" width="7.85546875" style="1118" bestFit="1" customWidth="1"/>
    <col min="15910" max="15910" width="8.42578125" style="1118" bestFit="1" customWidth="1"/>
    <col min="15911" max="15911" width="11.42578125" style="1118" customWidth="1"/>
    <col min="15912" max="15912" width="7.85546875" style="1118" bestFit="1" customWidth="1"/>
    <col min="15913" max="15913" width="9.5703125" style="1118" customWidth="1"/>
    <col min="15914" max="15914" width="7.85546875" style="1118" bestFit="1" customWidth="1"/>
    <col min="15915" max="15915" width="12" style="1118" customWidth="1"/>
    <col min="15916" max="15916" width="13.42578125" style="1118" customWidth="1"/>
    <col min="15917" max="15917" width="9.5703125" style="1118" bestFit="1" customWidth="1"/>
    <col min="15918" max="15924" width="9.140625" style="1118" customWidth="1"/>
    <col min="15925" max="16128" width="9.140625" style="1118"/>
    <col min="16129" max="16129" width="16.7109375" style="1118" customWidth="1"/>
    <col min="16130" max="16130" width="52.5703125" style="1118" customWidth="1"/>
    <col min="16131" max="16131" width="11" style="1118" customWidth="1"/>
    <col min="16132" max="16132" width="13.42578125" style="1118" customWidth="1"/>
    <col min="16133" max="16133" width="11.28515625" style="1118" customWidth="1"/>
    <col min="16134" max="16134" width="10.28515625" style="1118" customWidth="1"/>
    <col min="16135" max="16135" width="13.85546875" style="1118" customWidth="1"/>
    <col min="16136" max="16137" width="7.85546875" style="1118" customWidth="1"/>
    <col min="16138" max="16138" width="10.85546875" style="1118" customWidth="1"/>
    <col min="16139" max="16139" width="13" style="1118" customWidth="1"/>
    <col min="16140" max="16140" width="11.42578125" style="1118" customWidth="1"/>
    <col min="16141" max="16141" width="10" style="1118" customWidth="1"/>
    <col min="16142" max="16142" width="7.85546875" style="1118" customWidth="1"/>
    <col min="16143" max="16143" width="10.140625" style="1118" customWidth="1"/>
    <col min="16144" max="16145" width="7.85546875" style="1118" customWidth="1"/>
    <col min="16146" max="16146" width="10.85546875" style="1118" customWidth="1"/>
    <col min="16147" max="16147" width="10.7109375" style="1118" customWidth="1"/>
    <col min="16148" max="16148" width="11" style="1118" customWidth="1"/>
    <col min="16149" max="16151" width="7.85546875" style="1118" customWidth="1"/>
    <col min="16152" max="16152" width="11.28515625" style="1118" customWidth="1"/>
    <col min="16153" max="16153" width="12.42578125" style="1118" customWidth="1"/>
    <col min="16154" max="16154" width="11" style="1118" customWidth="1"/>
    <col min="16155" max="16156" width="7.85546875" style="1118" customWidth="1"/>
    <col min="16157" max="16157" width="11" style="1118" customWidth="1"/>
    <col min="16158" max="16158" width="10.5703125" style="1118" customWidth="1"/>
    <col min="16159" max="16160" width="11" style="1118" customWidth="1"/>
    <col min="16161" max="16165" width="7.85546875" style="1118" bestFit="1" customWidth="1"/>
    <col min="16166" max="16166" width="8.42578125" style="1118" bestFit="1" customWidth="1"/>
    <col min="16167" max="16167" width="11.42578125" style="1118" customWidth="1"/>
    <col min="16168" max="16168" width="7.85546875" style="1118" bestFit="1" customWidth="1"/>
    <col min="16169" max="16169" width="9.5703125" style="1118" customWidth="1"/>
    <col min="16170" max="16170" width="7.85546875" style="1118" bestFit="1" customWidth="1"/>
    <col min="16171" max="16171" width="12" style="1118" customWidth="1"/>
    <col min="16172" max="16172" width="13.42578125" style="1118" customWidth="1"/>
    <col min="16173" max="16173" width="9.5703125" style="1118" bestFit="1" customWidth="1"/>
    <col min="16174" max="16180" width="9.140625" style="1118" customWidth="1"/>
    <col min="16181" max="16384" width="9.140625" style="1118"/>
  </cols>
  <sheetData>
    <row r="1" spans="1:45" s="1101" customFormat="1" ht="16.5" customHeight="1" thickBot="1" x14ac:dyDescent="0.3">
      <c r="A1" s="1807" t="s">
        <v>1244</v>
      </c>
      <c r="B1" s="1807"/>
      <c r="C1" s="1807"/>
      <c r="D1" s="1807"/>
      <c r="E1" s="1099"/>
      <c r="F1" s="1099"/>
      <c r="G1" s="1099"/>
      <c r="H1" s="1099"/>
      <c r="I1" s="1099"/>
      <c r="J1" s="1099"/>
      <c r="K1" s="1099"/>
      <c r="L1" s="1099"/>
      <c r="M1" s="1099"/>
      <c r="N1" s="1099"/>
      <c r="O1" s="1099"/>
      <c r="P1" s="1099"/>
      <c r="Q1" s="1099"/>
      <c r="R1" s="1099"/>
      <c r="S1" s="1099"/>
      <c r="T1" s="1099"/>
      <c r="U1" s="1099"/>
      <c r="V1" s="1099"/>
      <c r="W1" s="1099"/>
      <c r="X1" s="1099"/>
      <c r="Y1" s="1099"/>
      <c r="Z1" s="1100"/>
      <c r="AA1" s="1100"/>
      <c r="AB1" s="1100"/>
      <c r="AC1" s="1100"/>
      <c r="AD1" s="1100"/>
      <c r="AE1" s="1100"/>
      <c r="AF1" s="1100"/>
      <c r="AG1" s="1100"/>
      <c r="AH1" s="1100"/>
      <c r="AI1" s="1100"/>
      <c r="AJ1" s="1100"/>
      <c r="AK1" s="1100"/>
      <c r="AL1" s="1100"/>
      <c r="AM1" s="1100"/>
      <c r="AN1" s="1100"/>
      <c r="AO1" s="1100"/>
      <c r="AP1" s="1100"/>
      <c r="AQ1" s="1100"/>
      <c r="AR1" s="1100"/>
      <c r="AS1" s="1100"/>
    </row>
    <row r="2" spans="1:45" s="1106" customFormat="1" ht="21" customHeight="1" x14ac:dyDescent="0.25">
      <c r="A2" s="1102" t="s">
        <v>649</v>
      </c>
      <c r="B2" s="1103" t="s">
        <v>650</v>
      </c>
      <c r="C2" s="1847" t="s">
        <v>651</v>
      </c>
      <c r="D2" s="1848"/>
      <c r="E2" s="1104"/>
      <c r="F2" s="1104"/>
      <c r="G2" s="1104"/>
      <c r="H2" s="1104"/>
      <c r="I2" s="1104"/>
      <c r="J2" s="1104"/>
      <c r="K2" s="1104"/>
      <c r="L2" s="1104"/>
      <c r="M2" s="1104"/>
      <c r="N2" s="1104"/>
      <c r="O2" s="1104"/>
      <c r="P2" s="1104"/>
      <c r="Q2" s="1104"/>
      <c r="R2" s="1104"/>
      <c r="S2" s="1104"/>
      <c r="T2" s="1104"/>
      <c r="U2" s="1104"/>
      <c r="V2" s="1104"/>
      <c r="W2" s="1104"/>
      <c r="X2" s="1104"/>
      <c r="Y2" s="1104"/>
      <c r="Z2" s="1105"/>
      <c r="AA2" s="1105"/>
      <c r="AB2" s="1105"/>
      <c r="AC2" s="1105"/>
      <c r="AD2" s="1105"/>
      <c r="AE2" s="1105"/>
      <c r="AF2" s="1105"/>
      <c r="AG2" s="1105"/>
      <c r="AH2" s="1105"/>
      <c r="AI2" s="1105"/>
      <c r="AJ2" s="1105"/>
      <c r="AK2" s="1105"/>
      <c r="AL2" s="1105"/>
      <c r="AM2" s="1105"/>
      <c r="AN2" s="1105"/>
      <c r="AO2" s="1105"/>
      <c r="AP2" s="1105"/>
      <c r="AQ2" s="1105"/>
      <c r="AR2" s="1105"/>
      <c r="AS2" s="1105"/>
    </row>
    <row r="3" spans="1:45" s="1106" customFormat="1" ht="16.5" thickBot="1" x14ac:dyDescent="0.3">
      <c r="A3" s="1107" t="s">
        <v>652</v>
      </c>
      <c r="B3" s="1108" t="s">
        <v>653</v>
      </c>
      <c r="C3" s="1849"/>
      <c r="D3" s="1850"/>
      <c r="E3" s="1104"/>
      <c r="F3" s="1104"/>
      <c r="G3" s="1104"/>
      <c r="H3" s="1104"/>
      <c r="I3" s="1104"/>
      <c r="J3" s="1104"/>
      <c r="K3" s="1104"/>
      <c r="L3" s="1104"/>
      <c r="M3" s="1104"/>
      <c r="N3" s="1104"/>
      <c r="O3" s="1104"/>
      <c r="P3" s="1104"/>
      <c r="Q3" s="1104"/>
      <c r="R3" s="1104"/>
      <c r="S3" s="1104"/>
      <c r="T3" s="1104"/>
      <c r="U3" s="1104"/>
      <c r="V3" s="1104"/>
      <c r="W3" s="1104"/>
      <c r="X3" s="1104"/>
      <c r="Y3" s="1104"/>
      <c r="Z3" s="1105"/>
      <c r="AA3" s="1105"/>
      <c r="AB3" s="1105"/>
      <c r="AC3" s="1105"/>
      <c r="AD3" s="1105"/>
      <c r="AE3" s="1105"/>
      <c r="AF3" s="1105"/>
      <c r="AG3" s="1105"/>
      <c r="AH3" s="1105"/>
      <c r="AI3" s="1105"/>
      <c r="AJ3" s="1105"/>
      <c r="AK3" s="1105"/>
      <c r="AL3" s="1105"/>
      <c r="AM3" s="1105"/>
      <c r="AN3" s="1105"/>
      <c r="AO3" s="1105"/>
      <c r="AP3" s="1105"/>
      <c r="AQ3" s="1105"/>
      <c r="AR3" s="1105"/>
      <c r="AS3" s="1105"/>
    </row>
    <row r="4" spans="1:45" s="1113" customFormat="1" ht="15.95" customHeight="1" thickBot="1" x14ac:dyDescent="0.3">
      <c r="A4" s="1109"/>
      <c r="B4" s="1708"/>
      <c r="C4" s="1812" t="s">
        <v>654</v>
      </c>
      <c r="D4" s="1813"/>
      <c r="E4" s="1111"/>
      <c r="F4" s="1111"/>
      <c r="G4" s="1111"/>
      <c r="H4" s="1111"/>
      <c r="I4" s="1111"/>
      <c r="J4" s="1111"/>
      <c r="K4" s="1111"/>
      <c r="L4" s="1111"/>
      <c r="M4" s="1111"/>
      <c r="N4" s="1111"/>
      <c r="O4" s="1111"/>
      <c r="P4" s="1111"/>
      <c r="Q4" s="1111"/>
      <c r="R4" s="1111"/>
      <c r="S4" s="1111"/>
      <c r="T4" s="1111"/>
      <c r="U4" s="1111"/>
      <c r="V4" s="1111"/>
      <c r="W4" s="1111"/>
      <c r="X4" s="1111"/>
      <c r="Y4" s="1111"/>
      <c r="Z4" s="1112"/>
      <c r="AA4" s="1112"/>
      <c r="AB4" s="1112"/>
      <c r="AC4" s="1112"/>
      <c r="AD4" s="1112"/>
      <c r="AE4" s="1112"/>
      <c r="AF4" s="1112"/>
      <c r="AG4" s="1112"/>
      <c r="AH4" s="1112"/>
      <c r="AI4" s="1112"/>
      <c r="AJ4" s="1112"/>
      <c r="AK4" s="1112"/>
      <c r="AL4" s="1112"/>
      <c r="AM4" s="1112"/>
      <c r="AN4" s="1112"/>
      <c r="AO4" s="1112"/>
      <c r="AP4" s="1112"/>
      <c r="AQ4" s="1112"/>
      <c r="AR4" s="1112"/>
      <c r="AS4" s="1112"/>
    </row>
    <row r="5" spans="1:45" ht="36.75" thickBot="1" x14ac:dyDescent="0.3">
      <c r="A5" s="1701" t="s">
        <v>655</v>
      </c>
      <c r="B5" s="1114" t="s">
        <v>656</v>
      </c>
      <c r="C5" s="1115" t="s">
        <v>927</v>
      </c>
      <c r="D5" s="1116" t="s">
        <v>928</v>
      </c>
    </row>
    <row r="6" spans="1:45" s="1125" customFormat="1" ht="12.95" customHeight="1" thickBot="1" x14ac:dyDescent="0.3">
      <c r="A6" s="1119">
        <v>1</v>
      </c>
      <c r="B6" s="1120">
        <v>2</v>
      </c>
      <c r="C6" s="1121">
        <v>3</v>
      </c>
      <c r="D6" s="1122">
        <v>4</v>
      </c>
      <c r="E6" s="1123"/>
      <c r="F6" s="1123"/>
      <c r="G6" s="1123"/>
      <c r="H6" s="1123"/>
      <c r="I6" s="1123"/>
      <c r="J6" s="1123"/>
      <c r="K6" s="1123"/>
      <c r="L6" s="1123"/>
      <c r="M6" s="1123"/>
      <c r="N6" s="1123"/>
      <c r="O6" s="1123"/>
      <c r="P6" s="1123"/>
      <c r="Q6" s="1123"/>
      <c r="R6" s="1123"/>
      <c r="S6" s="1123"/>
      <c r="T6" s="1123"/>
      <c r="U6" s="1123"/>
      <c r="V6" s="1123"/>
      <c r="W6" s="1123"/>
      <c r="X6" s="1123"/>
      <c r="Y6" s="1123"/>
      <c r="Z6" s="1124"/>
      <c r="AA6" s="1124"/>
      <c r="AB6" s="1124"/>
      <c r="AC6" s="1124"/>
      <c r="AD6" s="1124"/>
      <c r="AE6" s="1124"/>
      <c r="AF6" s="1124"/>
      <c r="AG6" s="1124"/>
      <c r="AH6" s="1124"/>
      <c r="AI6" s="1124"/>
      <c r="AJ6" s="1124"/>
      <c r="AK6" s="1124"/>
      <c r="AL6" s="1124"/>
      <c r="AM6" s="1124"/>
      <c r="AN6" s="1124"/>
      <c r="AO6" s="1124"/>
      <c r="AP6" s="1124"/>
      <c r="AQ6" s="1124"/>
      <c r="AR6" s="1124"/>
      <c r="AS6" s="1124"/>
    </row>
    <row r="7" spans="1:45" s="1127" customFormat="1" ht="15.95" customHeight="1" thickBot="1" x14ac:dyDescent="0.3">
      <c r="A7" s="1851" t="s">
        <v>657</v>
      </c>
      <c r="B7" s="1852"/>
      <c r="C7" s="1852"/>
      <c r="D7" s="1853"/>
      <c r="E7" s="1123" t="s">
        <v>658</v>
      </c>
      <c r="F7" s="1123" t="s">
        <v>659</v>
      </c>
      <c r="G7" s="1123" t="s">
        <v>660</v>
      </c>
      <c r="H7" s="1126" t="s">
        <v>661</v>
      </c>
      <c r="I7" s="1126" t="s">
        <v>662</v>
      </c>
      <c r="J7" s="1123" t="s">
        <v>663</v>
      </c>
      <c r="K7" s="1123" t="s">
        <v>664</v>
      </c>
      <c r="L7" s="1123" t="s">
        <v>665</v>
      </c>
      <c r="M7" s="1123" t="s">
        <v>666</v>
      </c>
      <c r="N7" s="1123" t="s">
        <v>667</v>
      </c>
      <c r="O7" s="1123" t="s">
        <v>668</v>
      </c>
      <c r="P7" s="1123" t="s">
        <v>669</v>
      </c>
      <c r="Q7" s="1123" t="s">
        <v>670</v>
      </c>
      <c r="R7" s="1123" t="s">
        <v>671</v>
      </c>
      <c r="S7" s="1123" t="s">
        <v>672</v>
      </c>
      <c r="T7" s="1123" t="s">
        <v>673</v>
      </c>
      <c r="U7" s="1123" t="s">
        <v>674</v>
      </c>
      <c r="V7" s="1123" t="s">
        <v>675</v>
      </c>
      <c r="W7" s="1123" t="s">
        <v>676</v>
      </c>
      <c r="X7" s="1123" t="s">
        <v>677</v>
      </c>
      <c r="Y7" s="1123" t="s">
        <v>678</v>
      </c>
      <c r="Z7" s="1124" t="s">
        <v>679</v>
      </c>
      <c r="AA7" s="1124" t="s">
        <v>680</v>
      </c>
      <c r="AB7" s="1124" t="s">
        <v>681</v>
      </c>
      <c r="AC7" s="1124" t="s">
        <v>682</v>
      </c>
      <c r="AD7" s="1124" t="s">
        <v>683</v>
      </c>
      <c r="AE7" s="1124">
        <v>84031</v>
      </c>
      <c r="AF7" s="1124" t="s">
        <v>684</v>
      </c>
      <c r="AG7" s="1127" t="s">
        <v>685</v>
      </c>
      <c r="AH7" s="1124" t="s">
        <v>686</v>
      </c>
      <c r="AI7" s="1124" t="s">
        <v>687</v>
      </c>
      <c r="AJ7" s="1124" t="s">
        <v>688</v>
      </c>
      <c r="AK7" s="1124" t="s">
        <v>689</v>
      </c>
      <c r="AL7" s="1124">
        <v>104031</v>
      </c>
      <c r="AM7" s="1124" t="s">
        <v>690</v>
      </c>
      <c r="AN7" s="1124" t="s">
        <v>691</v>
      </c>
      <c r="AO7" s="1124" t="s">
        <v>692</v>
      </c>
      <c r="AP7" s="1124" t="s">
        <v>693</v>
      </c>
      <c r="AQ7" s="1124">
        <v>107060</v>
      </c>
      <c r="AR7" s="1124" t="s">
        <v>694</v>
      </c>
      <c r="AS7" s="1124" t="s">
        <v>695</v>
      </c>
    </row>
    <row r="8" spans="1:45" s="1125" customFormat="1" ht="12" customHeight="1" thickBot="1" x14ac:dyDescent="0.3">
      <c r="A8" s="1128" t="s">
        <v>696</v>
      </c>
      <c r="B8" s="1129" t="s">
        <v>697</v>
      </c>
      <c r="C8" s="1130">
        <f>+C9+C10+C11+C12+C13+C14</f>
        <v>175037086</v>
      </c>
      <c r="D8" s="1131">
        <f>+D9+D10+D11+D12+D13+D14</f>
        <v>178347415</v>
      </c>
      <c r="E8" s="1132"/>
      <c r="F8" s="1132"/>
      <c r="G8" s="1132"/>
      <c r="H8" s="1132"/>
      <c r="I8" s="1132"/>
      <c r="J8" s="1132"/>
      <c r="K8" s="1132"/>
      <c r="L8" s="1132"/>
      <c r="M8" s="1132"/>
      <c r="N8" s="1132"/>
      <c r="O8" s="1132"/>
      <c r="P8" s="1132"/>
      <c r="Q8" s="1132"/>
      <c r="R8" s="1132"/>
      <c r="S8" s="1132"/>
      <c r="T8" s="1132"/>
      <c r="U8" s="1132"/>
      <c r="V8" s="1132"/>
      <c r="W8" s="1132"/>
      <c r="X8" s="1132"/>
      <c r="Y8" s="1132"/>
      <c r="Z8" s="1132"/>
      <c r="AA8" s="1132"/>
      <c r="AB8" s="1132"/>
      <c r="AC8" s="1132"/>
      <c r="AD8" s="1132"/>
      <c r="AE8" s="1132"/>
      <c r="AF8" s="1132"/>
      <c r="AG8" s="1132"/>
      <c r="AH8" s="1132"/>
      <c r="AI8" s="1132"/>
      <c r="AJ8" s="1132"/>
      <c r="AK8" s="1132"/>
      <c r="AL8" s="1132"/>
      <c r="AM8" s="1132"/>
      <c r="AN8" s="1132"/>
      <c r="AO8" s="1132"/>
      <c r="AP8" s="1132"/>
      <c r="AQ8" s="1132"/>
      <c r="AR8" s="1132"/>
      <c r="AS8" s="1132"/>
    </row>
    <row r="9" spans="1:45" s="1138" customFormat="1" ht="12" customHeight="1" x14ac:dyDescent="0.2">
      <c r="A9" s="1133" t="s">
        <v>698</v>
      </c>
      <c r="B9" s="1134" t="s">
        <v>699</v>
      </c>
      <c r="C9" s="1135">
        <f t="shared" ref="C9:C14" si="0">SUM(E9:AS9)</f>
        <v>71400131</v>
      </c>
      <c r="D9" s="1136">
        <f>C9</f>
        <v>71400131</v>
      </c>
      <c r="E9" s="1117"/>
      <c r="F9" s="1117"/>
      <c r="G9" s="1117"/>
      <c r="H9" s="1117"/>
      <c r="I9" s="1117"/>
      <c r="J9" s="1117"/>
      <c r="K9" s="1117">
        <v>71400131</v>
      </c>
      <c r="L9" s="1117"/>
      <c r="M9" s="1117"/>
      <c r="N9" s="1117"/>
      <c r="O9" s="1117"/>
      <c r="P9" s="1117"/>
      <c r="Q9" s="1117"/>
      <c r="R9" s="1117"/>
      <c r="S9" s="1117"/>
      <c r="T9" s="1117"/>
      <c r="U9" s="1117"/>
      <c r="V9" s="1117"/>
      <c r="W9" s="1117"/>
      <c r="X9" s="1117"/>
      <c r="Y9" s="1117"/>
      <c r="Z9" s="1137"/>
      <c r="AA9" s="1137"/>
      <c r="AB9" s="1137"/>
      <c r="AC9" s="1137"/>
      <c r="AD9" s="1137"/>
      <c r="AE9" s="1137"/>
      <c r="AF9" s="1137"/>
      <c r="AG9" s="1137"/>
      <c r="AH9" s="1137"/>
      <c r="AI9" s="1137"/>
      <c r="AJ9" s="1137"/>
      <c r="AK9" s="1137"/>
      <c r="AL9" s="1137"/>
      <c r="AM9" s="1137"/>
      <c r="AN9" s="1137"/>
      <c r="AO9" s="1137"/>
      <c r="AP9" s="1137"/>
      <c r="AQ9" s="1137"/>
      <c r="AR9" s="1137"/>
      <c r="AS9" s="1137"/>
    </row>
    <row r="10" spans="1:45" s="1142" customFormat="1" ht="12" customHeight="1" x14ac:dyDescent="0.2">
      <c r="A10" s="1139" t="s">
        <v>700</v>
      </c>
      <c r="B10" s="1140" t="s">
        <v>701</v>
      </c>
      <c r="C10" s="1135">
        <f t="shared" si="0"/>
        <v>61660080</v>
      </c>
      <c r="D10" s="1136">
        <f>C10+4640042</f>
        <v>66300122</v>
      </c>
      <c r="E10" s="1117"/>
      <c r="F10" s="1117"/>
      <c r="G10" s="1117"/>
      <c r="H10" s="1117"/>
      <c r="I10" s="1117"/>
      <c r="J10" s="1117"/>
      <c r="K10" s="1117">
        <v>61660080</v>
      </c>
      <c r="L10" s="1117"/>
      <c r="M10" s="1117"/>
      <c r="N10" s="1117"/>
      <c r="O10" s="1117"/>
      <c r="P10" s="1117"/>
      <c r="Q10" s="1117"/>
      <c r="R10" s="1117"/>
      <c r="S10" s="1117"/>
      <c r="T10" s="1117"/>
      <c r="U10" s="1117"/>
      <c r="V10" s="1117"/>
      <c r="W10" s="1117"/>
      <c r="X10" s="1117"/>
      <c r="Y10" s="1117"/>
      <c r="Z10" s="1117"/>
      <c r="AA10" s="1117"/>
      <c r="AB10" s="1117"/>
      <c r="AC10" s="1117"/>
      <c r="AD10" s="1117"/>
      <c r="AE10" s="1117"/>
      <c r="AF10" s="1117"/>
      <c r="AG10" s="1117"/>
      <c r="AH10" s="1117"/>
      <c r="AI10" s="1117"/>
      <c r="AJ10" s="1117"/>
      <c r="AK10" s="1117"/>
      <c r="AL10" s="1117"/>
      <c r="AM10" s="1117"/>
      <c r="AN10" s="1117"/>
      <c r="AO10" s="1117"/>
      <c r="AP10" s="1117"/>
      <c r="AQ10" s="1117"/>
      <c r="AR10" s="1117"/>
      <c r="AS10" s="1117"/>
    </row>
    <row r="11" spans="1:45" s="1142" customFormat="1" ht="12" customHeight="1" x14ac:dyDescent="0.2">
      <c r="A11" s="1139" t="s">
        <v>702</v>
      </c>
      <c r="B11" s="1140" t="s">
        <v>703</v>
      </c>
      <c r="C11" s="1135">
        <f t="shared" si="0"/>
        <v>38130050</v>
      </c>
      <c r="D11" s="1136">
        <f>C11-2200000</f>
        <v>35930050</v>
      </c>
      <c r="E11" s="1117"/>
      <c r="F11" s="1117"/>
      <c r="G11" s="1117"/>
      <c r="H11" s="1117"/>
      <c r="I11" s="1117"/>
      <c r="J11" s="1117"/>
      <c r="K11" s="1117">
        <v>38130050</v>
      </c>
      <c r="L11" s="1117"/>
      <c r="M11" s="1117"/>
      <c r="N11" s="1117"/>
      <c r="O11" s="1117"/>
      <c r="P11" s="1117"/>
      <c r="Q11" s="1117"/>
      <c r="R11" s="1117"/>
      <c r="S11" s="1117"/>
      <c r="T11" s="1117"/>
      <c r="U11" s="1117"/>
      <c r="V11" s="1117"/>
      <c r="W11" s="1117"/>
      <c r="X11" s="1117"/>
      <c r="Y11" s="1117"/>
      <c r="Z11" s="1117"/>
      <c r="AA11" s="1117"/>
      <c r="AB11" s="1117"/>
      <c r="AC11" s="1117"/>
      <c r="AD11" s="1117"/>
      <c r="AE11" s="1117"/>
      <c r="AF11" s="1117"/>
      <c r="AG11" s="1117"/>
      <c r="AH11" s="1117"/>
      <c r="AI11" s="1117"/>
      <c r="AJ11" s="1117"/>
      <c r="AK11" s="1117"/>
      <c r="AL11" s="1117"/>
      <c r="AM11" s="1117"/>
      <c r="AN11" s="1117"/>
      <c r="AO11" s="1117"/>
      <c r="AP11" s="1117"/>
      <c r="AQ11" s="1117"/>
      <c r="AR11" s="1117"/>
      <c r="AS11" s="1117"/>
    </row>
    <row r="12" spans="1:45" s="1142" customFormat="1" ht="12" customHeight="1" x14ac:dyDescent="0.2">
      <c r="A12" s="1139" t="s">
        <v>704</v>
      </c>
      <c r="B12" s="1140" t="s">
        <v>705</v>
      </c>
      <c r="C12" s="1135">
        <f t="shared" si="0"/>
        <v>3846825</v>
      </c>
      <c r="D12" s="1136">
        <f t="shared" ref="D12:D13" si="1">C12</f>
        <v>3846825</v>
      </c>
      <c r="E12" s="1117"/>
      <c r="F12" s="1117"/>
      <c r="G12" s="1117"/>
      <c r="H12" s="1117"/>
      <c r="I12" s="1117"/>
      <c r="J12" s="1117"/>
      <c r="K12" s="1117">
        <v>3846825</v>
      </c>
      <c r="L12" s="1117"/>
      <c r="M12" s="1117"/>
      <c r="N12" s="1117"/>
      <c r="O12" s="1117"/>
      <c r="P12" s="1117"/>
      <c r="Q12" s="1117"/>
      <c r="R12" s="1117"/>
      <c r="S12" s="1117"/>
      <c r="T12" s="1117"/>
      <c r="U12" s="1117"/>
      <c r="V12" s="1117"/>
      <c r="W12" s="1117"/>
      <c r="X12" s="1117"/>
      <c r="Y12" s="1117"/>
      <c r="Z12" s="1117"/>
      <c r="AA12" s="1117"/>
      <c r="AB12" s="1117"/>
      <c r="AC12" s="1117"/>
      <c r="AD12" s="1117"/>
      <c r="AE12" s="1117"/>
      <c r="AF12" s="1117"/>
      <c r="AG12" s="1117"/>
      <c r="AH12" s="1117"/>
      <c r="AI12" s="1117"/>
      <c r="AJ12" s="1117"/>
      <c r="AK12" s="1117"/>
      <c r="AL12" s="1117"/>
      <c r="AM12" s="1117"/>
      <c r="AN12" s="1117"/>
      <c r="AO12" s="1117"/>
      <c r="AP12" s="1117"/>
      <c r="AQ12" s="1117"/>
      <c r="AR12" s="1117"/>
      <c r="AS12" s="1117"/>
    </row>
    <row r="13" spans="1:45" s="1142" customFormat="1" ht="12" customHeight="1" x14ac:dyDescent="0.2">
      <c r="A13" s="1139" t="s">
        <v>706</v>
      </c>
      <c r="B13" s="1140" t="s">
        <v>707</v>
      </c>
      <c r="C13" s="1135">
        <f t="shared" si="0"/>
        <v>0</v>
      </c>
      <c r="D13" s="1136">
        <f t="shared" si="1"/>
        <v>0</v>
      </c>
      <c r="E13" s="1117"/>
      <c r="F13" s="1117"/>
      <c r="G13" s="1117"/>
      <c r="H13" s="1117"/>
      <c r="I13" s="1117"/>
      <c r="J13" s="1117"/>
      <c r="K13" s="1117"/>
      <c r="L13" s="1117"/>
      <c r="M13" s="1117"/>
      <c r="N13" s="1117"/>
      <c r="O13" s="1117"/>
      <c r="P13" s="1117"/>
      <c r="Q13" s="1117"/>
      <c r="R13" s="1117"/>
      <c r="S13" s="1117"/>
      <c r="T13" s="1117"/>
      <c r="U13" s="1117"/>
      <c r="V13" s="1117"/>
      <c r="W13" s="1117"/>
      <c r="X13" s="1117"/>
      <c r="Y13" s="1117"/>
      <c r="Z13" s="1117"/>
      <c r="AA13" s="1117"/>
      <c r="AB13" s="1117"/>
      <c r="AC13" s="1117"/>
      <c r="AD13" s="1117"/>
      <c r="AE13" s="1117"/>
      <c r="AF13" s="1117"/>
      <c r="AG13" s="1117"/>
      <c r="AH13" s="1117"/>
      <c r="AI13" s="1117"/>
      <c r="AJ13" s="1117"/>
      <c r="AK13" s="1117"/>
      <c r="AL13" s="1117"/>
      <c r="AM13" s="1117"/>
      <c r="AN13" s="1117"/>
      <c r="AO13" s="1117"/>
      <c r="AP13" s="1117"/>
      <c r="AQ13" s="1117"/>
      <c r="AR13" s="1117"/>
      <c r="AS13" s="1117"/>
    </row>
    <row r="14" spans="1:45" s="1138" customFormat="1" ht="12" customHeight="1" thickBot="1" x14ac:dyDescent="0.25">
      <c r="A14" s="1143" t="s">
        <v>708</v>
      </c>
      <c r="B14" s="1144" t="s">
        <v>709</v>
      </c>
      <c r="C14" s="1135">
        <f t="shared" si="0"/>
        <v>0</v>
      </c>
      <c r="D14" s="1136">
        <f>C14+870287</f>
        <v>870287</v>
      </c>
      <c r="E14" s="1117"/>
      <c r="F14" s="1117"/>
      <c r="G14" s="1117"/>
      <c r="H14" s="1117"/>
      <c r="I14" s="1117"/>
      <c r="J14" s="1117"/>
      <c r="K14" s="1117"/>
      <c r="L14" s="1117"/>
      <c r="M14" s="1117"/>
      <c r="N14" s="1117"/>
      <c r="O14" s="1117"/>
      <c r="P14" s="1117"/>
      <c r="Q14" s="1117"/>
      <c r="R14" s="1117"/>
      <c r="S14" s="1117"/>
      <c r="T14" s="1117"/>
      <c r="U14" s="1117"/>
      <c r="V14" s="1117"/>
      <c r="W14" s="1117"/>
      <c r="X14" s="1117"/>
      <c r="Y14" s="1117"/>
      <c r="Z14" s="1137"/>
      <c r="AA14" s="1137"/>
      <c r="AB14" s="1137"/>
      <c r="AC14" s="1137"/>
      <c r="AD14" s="1137"/>
      <c r="AE14" s="1137"/>
      <c r="AF14" s="1137"/>
      <c r="AG14" s="1137"/>
      <c r="AH14" s="1137"/>
      <c r="AI14" s="1137"/>
      <c r="AJ14" s="1137"/>
      <c r="AK14" s="1137"/>
      <c r="AL14" s="1137"/>
      <c r="AM14" s="1137"/>
      <c r="AN14" s="1137"/>
      <c r="AO14" s="1137"/>
      <c r="AP14" s="1137"/>
      <c r="AQ14" s="1137"/>
      <c r="AR14" s="1137"/>
      <c r="AS14" s="1137"/>
    </row>
    <row r="15" spans="1:45" s="1138" customFormat="1" ht="21.75" customHeight="1" thickBot="1" x14ac:dyDescent="0.3">
      <c r="A15" s="1128" t="s">
        <v>710</v>
      </c>
      <c r="B15" s="1145" t="s">
        <v>711</v>
      </c>
      <c r="C15" s="1130">
        <f>+C16+C17+C18+C19+C20</f>
        <v>7657800</v>
      </c>
      <c r="D15" s="1131">
        <f>+D16+D17+D18+D19+D20</f>
        <v>12643074</v>
      </c>
      <c r="E15" s="1117"/>
      <c r="F15" s="1117"/>
      <c r="G15" s="1117"/>
      <c r="H15" s="1117"/>
      <c r="I15" s="1117"/>
      <c r="J15" s="1117"/>
      <c r="K15" s="1117"/>
      <c r="L15" s="1117"/>
      <c r="M15" s="1117"/>
      <c r="N15" s="1117"/>
      <c r="O15" s="1117"/>
      <c r="P15" s="1117"/>
      <c r="Q15" s="1117"/>
      <c r="R15" s="1117"/>
      <c r="S15" s="1117"/>
      <c r="T15" s="1117"/>
      <c r="U15" s="1117"/>
      <c r="V15" s="1117"/>
      <c r="W15" s="1117"/>
      <c r="X15" s="1117"/>
      <c r="Y15" s="1117"/>
      <c r="Z15" s="1137"/>
      <c r="AA15" s="1137"/>
      <c r="AB15" s="1137"/>
      <c r="AC15" s="1137"/>
      <c r="AD15" s="1137"/>
      <c r="AE15" s="1137"/>
      <c r="AF15" s="1137"/>
      <c r="AG15" s="1137"/>
      <c r="AH15" s="1137"/>
      <c r="AI15" s="1137"/>
      <c r="AJ15" s="1137"/>
      <c r="AK15" s="1137"/>
      <c r="AL15" s="1137"/>
      <c r="AM15" s="1137"/>
      <c r="AN15" s="1137"/>
      <c r="AO15" s="1137"/>
      <c r="AP15" s="1137"/>
      <c r="AQ15" s="1137"/>
      <c r="AR15" s="1137"/>
      <c r="AS15" s="1137"/>
    </row>
    <row r="16" spans="1:45" s="1138" customFormat="1" ht="12" customHeight="1" x14ac:dyDescent="0.2">
      <c r="A16" s="1133" t="s">
        <v>712</v>
      </c>
      <c r="B16" s="1134" t="s">
        <v>713</v>
      </c>
      <c r="C16" s="1146">
        <f t="shared" ref="C16:C21" si="2">SUM(E16:AS16)</f>
        <v>0</v>
      </c>
      <c r="D16" s="1136">
        <f>C16</f>
        <v>0</v>
      </c>
      <c r="E16" s="1117"/>
      <c r="F16" s="1117"/>
      <c r="G16" s="1117"/>
      <c r="H16" s="1117"/>
      <c r="I16" s="1117"/>
      <c r="J16" s="1117"/>
      <c r="K16" s="1117"/>
      <c r="L16" s="1117"/>
      <c r="M16" s="1117"/>
      <c r="N16" s="1117"/>
      <c r="O16" s="1117"/>
      <c r="P16" s="1117"/>
      <c r="Q16" s="1117"/>
      <c r="R16" s="1117"/>
      <c r="S16" s="1117"/>
      <c r="T16" s="1117"/>
      <c r="U16" s="1117"/>
      <c r="V16" s="1117"/>
      <c r="W16" s="1117"/>
      <c r="X16" s="1117"/>
      <c r="Y16" s="1117"/>
      <c r="Z16" s="1137"/>
      <c r="AA16" s="1137"/>
      <c r="AB16" s="1137"/>
      <c r="AC16" s="1137"/>
      <c r="AD16" s="1137"/>
      <c r="AE16" s="1137"/>
      <c r="AF16" s="1137"/>
      <c r="AG16" s="1137"/>
      <c r="AH16" s="1137"/>
      <c r="AI16" s="1137"/>
      <c r="AJ16" s="1137"/>
      <c r="AK16" s="1137"/>
      <c r="AL16" s="1137"/>
      <c r="AM16" s="1137"/>
      <c r="AN16" s="1137"/>
      <c r="AO16" s="1137"/>
      <c r="AP16" s="1137"/>
      <c r="AQ16" s="1137"/>
      <c r="AR16" s="1137"/>
      <c r="AS16" s="1137"/>
    </row>
    <row r="17" spans="1:45" s="1138" customFormat="1" ht="12" customHeight="1" x14ac:dyDescent="0.2">
      <c r="A17" s="1139" t="s">
        <v>714</v>
      </c>
      <c r="B17" s="1140" t="s">
        <v>715</v>
      </c>
      <c r="C17" s="1146">
        <f t="shared" si="2"/>
        <v>0</v>
      </c>
      <c r="D17" s="1136">
        <f t="shared" ref="D17:D21" si="3">C17</f>
        <v>0</v>
      </c>
      <c r="E17" s="1117"/>
      <c r="F17" s="1117"/>
      <c r="G17" s="1117"/>
      <c r="H17" s="1117"/>
      <c r="I17" s="1117"/>
      <c r="J17" s="1117"/>
      <c r="K17" s="1117"/>
      <c r="L17" s="1117"/>
      <c r="M17" s="1117"/>
      <c r="N17" s="1117"/>
      <c r="O17" s="1117"/>
      <c r="P17" s="1117"/>
      <c r="Q17" s="1117"/>
      <c r="R17" s="1117"/>
      <c r="S17" s="1117"/>
      <c r="T17" s="1117"/>
      <c r="U17" s="1117"/>
      <c r="V17" s="1117"/>
      <c r="W17" s="1117"/>
      <c r="X17" s="1117"/>
      <c r="Y17" s="1117"/>
      <c r="Z17" s="1137"/>
      <c r="AA17" s="1137"/>
      <c r="AB17" s="1137"/>
      <c r="AC17" s="1137"/>
      <c r="AD17" s="1137"/>
      <c r="AE17" s="1137"/>
      <c r="AF17" s="1137"/>
      <c r="AG17" s="1137"/>
      <c r="AH17" s="1137"/>
      <c r="AI17" s="1137"/>
      <c r="AJ17" s="1137"/>
      <c r="AK17" s="1137"/>
      <c r="AL17" s="1137"/>
      <c r="AM17" s="1137"/>
      <c r="AN17" s="1137"/>
      <c r="AO17" s="1137"/>
      <c r="AP17" s="1137"/>
      <c r="AQ17" s="1137"/>
      <c r="AR17" s="1137"/>
      <c r="AS17" s="1137"/>
    </row>
    <row r="18" spans="1:45" s="1138" customFormat="1" ht="12" customHeight="1" x14ac:dyDescent="0.2">
      <c r="A18" s="1139" t="s">
        <v>716</v>
      </c>
      <c r="B18" s="1140" t="s">
        <v>717</v>
      </c>
      <c r="C18" s="1146">
        <f t="shared" si="2"/>
        <v>0</v>
      </c>
      <c r="D18" s="1136">
        <f t="shared" si="3"/>
        <v>0</v>
      </c>
      <c r="E18" s="1117"/>
      <c r="F18" s="1117"/>
      <c r="G18" s="1117"/>
      <c r="H18" s="1117"/>
      <c r="I18" s="1117"/>
      <c r="J18" s="1117"/>
      <c r="K18" s="1117"/>
      <c r="L18" s="1117"/>
      <c r="M18" s="1117"/>
      <c r="N18" s="1117"/>
      <c r="O18" s="1117"/>
      <c r="P18" s="1117"/>
      <c r="Q18" s="1117"/>
      <c r="R18" s="1117"/>
      <c r="S18" s="1117"/>
      <c r="T18" s="1117"/>
      <c r="U18" s="1117"/>
      <c r="V18" s="1117"/>
      <c r="W18" s="1117"/>
      <c r="X18" s="1117"/>
      <c r="Y18" s="1117"/>
      <c r="Z18" s="1137"/>
      <c r="AA18" s="1137"/>
      <c r="AB18" s="1137"/>
      <c r="AC18" s="1137"/>
      <c r="AD18" s="1137"/>
      <c r="AE18" s="1137"/>
      <c r="AF18" s="1137"/>
      <c r="AG18" s="1137"/>
      <c r="AH18" s="1137"/>
      <c r="AI18" s="1137"/>
      <c r="AJ18" s="1137"/>
      <c r="AK18" s="1137"/>
      <c r="AL18" s="1137"/>
      <c r="AM18" s="1137"/>
      <c r="AN18" s="1137"/>
      <c r="AO18" s="1137"/>
      <c r="AP18" s="1137"/>
      <c r="AQ18" s="1137"/>
      <c r="AR18" s="1137"/>
      <c r="AS18" s="1137"/>
    </row>
    <row r="19" spans="1:45" s="1138" customFormat="1" ht="12" customHeight="1" x14ac:dyDescent="0.2">
      <c r="A19" s="1139" t="s">
        <v>718</v>
      </c>
      <c r="B19" s="1140" t="s">
        <v>719</v>
      </c>
      <c r="C19" s="1146">
        <f t="shared" si="2"/>
        <v>0</v>
      </c>
      <c r="D19" s="1136">
        <f t="shared" si="3"/>
        <v>0</v>
      </c>
      <c r="E19" s="1117"/>
      <c r="F19" s="1117"/>
      <c r="G19" s="1117"/>
      <c r="H19" s="1117"/>
      <c r="I19" s="1117"/>
      <c r="J19" s="1117"/>
      <c r="K19" s="1117"/>
      <c r="L19" s="1117"/>
      <c r="M19" s="1117"/>
      <c r="N19" s="1117"/>
      <c r="O19" s="1117"/>
      <c r="P19" s="1117"/>
      <c r="Q19" s="1117"/>
      <c r="R19" s="1117"/>
      <c r="S19" s="1117"/>
      <c r="T19" s="1117"/>
      <c r="U19" s="1117"/>
      <c r="V19" s="1117"/>
      <c r="W19" s="1117"/>
      <c r="X19" s="1117"/>
      <c r="Y19" s="1117"/>
      <c r="Z19" s="1137"/>
      <c r="AA19" s="1137"/>
      <c r="AB19" s="1137"/>
      <c r="AC19" s="1137"/>
      <c r="AD19" s="1137"/>
      <c r="AE19" s="1137"/>
      <c r="AF19" s="1137"/>
      <c r="AG19" s="1137"/>
      <c r="AH19" s="1137"/>
      <c r="AI19" s="1137"/>
      <c r="AJ19" s="1137"/>
      <c r="AK19" s="1137"/>
      <c r="AL19" s="1137"/>
      <c r="AM19" s="1137"/>
      <c r="AN19" s="1137"/>
      <c r="AO19" s="1137"/>
      <c r="AP19" s="1137"/>
      <c r="AQ19" s="1137"/>
      <c r="AR19" s="1137"/>
      <c r="AS19" s="1137"/>
    </row>
    <row r="20" spans="1:45" s="1138" customFormat="1" ht="12" customHeight="1" x14ac:dyDescent="0.2">
      <c r="A20" s="1139" t="s">
        <v>720</v>
      </c>
      <c r="B20" s="1140" t="s">
        <v>721</v>
      </c>
      <c r="C20" s="1146">
        <f t="shared" si="2"/>
        <v>7657800</v>
      </c>
      <c r="D20" s="1136">
        <f>C20+1155000+3830274</f>
        <v>12643074</v>
      </c>
      <c r="E20" s="1117">
        <v>139800</v>
      </c>
      <c r="F20" s="1117"/>
      <c r="G20" s="1117"/>
      <c r="H20" s="1117"/>
      <c r="I20" s="1117"/>
      <c r="J20" s="1117"/>
      <c r="K20" s="1117"/>
      <c r="L20" s="1117"/>
      <c r="M20" s="1117">
        <v>1450000</v>
      </c>
      <c r="N20" s="1117"/>
      <c r="O20" s="1117"/>
      <c r="P20" s="1117"/>
      <c r="Q20" s="1117"/>
      <c r="R20" s="1117"/>
      <c r="S20" s="1117"/>
      <c r="T20" s="1117"/>
      <c r="U20" s="1117"/>
      <c r="V20" s="1117"/>
      <c r="W20" s="1117"/>
      <c r="X20" s="1117">
        <v>2032000</v>
      </c>
      <c r="Y20" s="1117">
        <v>4036000</v>
      </c>
      <c r="Z20" s="1137"/>
      <c r="AA20" s="1137"/>
      <c r="AB20" s="1137"/>
      <c r="AC20" s="1137"/>
      <c r="AD20" s="1137"/>
      <c r="AE20" s="1137"/>
      <c r="AF20" s="1137"/>
      <c r="AG20" s="1137"/>
      <c r="AH20" s="1137"/>
      <c r="AI20" s="1137"/>
      <c r="AJ20" s="1137"/>
      <c r="AK20" s="1137"/>
      <c r="AL20" s="1117"/>
      <c r="AM20" s="1117"/>
      <c r="AN20" s="1137"/>
      <c r="AO20" s="1137"/>
      <c r="AP20" s="1137"/>
      <c r="AQ20" s="1137"/>
      <c r="AR20" s="1137"/>
      <c r="AS20" s="1137"/>
    </row>
    <row r="21" spans="1:45" s="1142" customFormat="1" ht="12" customHeight="1" thickBot="1" x14ac:dyDescent="0.25">
      <c r="A21" s="1143" t="s">
        <v>722</v>
      </c>
      <c r="B21" s="1144" t="s">
        <v>723</v>
      </c>
      <c r="C21" s="1146">
        <f t="shared" si="2"/>
        <v>0</v>
      </c>
      <c r="D21" s="1136">
        <f t="shared" si="3"/>
        <v>0</v>
      </c>
      <c r="E21" s="1117"/>
      <c r="F21" s="1117"/>
      <c r="G21" s="1117"/>
      <c r="H21" s="1117"/>
      <c r="I21" s="1117"/>
      <c r="J21" s="1117"/>
      <c r="K21" s="1117"/>
      <c r="L21" s="1117"/>
      <c r="M21" s="1117"/>
      <c r="N21" s="1117"/>
      <c r="O21" s="1117"/>
      <c r="P21" s="1117"/>
      <c r="Q21" s="1117"/>
      <c r="R21" s="1117"/>
      <c r="S21" s="1117"/>
      <c r="T21" s="1117"/>
      <c r="U21" s="1117"/>
      <c r="V21" s="1117"/>
      <c r="W21" s="1117"/>
      <c r="X21" s="1117"/>
      <c r="Y21" s="1117"/>
      <c r="Z21" s="1117"/>
      <c r="AA21" s="1117"/>
      <c r="AB21" s="1117"/>
      <c r="AC21" s="1117"/>
      <c r="AD21" s="1117"/>
      <c r="AE21" s="1117"/>
      <c r="AF21" s="1117"/>
      <c r="AG21" s="1117"/>
      <c r="AH21" s="1117"/>
      <c r="AI21" s="1117"/>
      <c r="AJ21" s="1117"/>
      <c r="AK21" s="1117"/>
      <c r="AL21" s="1117"/>
      <c r="AM21" s="1117"/>
      <c r="AN21" s="1117"/>
      <c r="AO21" s="1117"/>
      <c r="AP21" s="1117"/>
      <c r="AQ21" s="1117"/>
      <c r="AR21" s="1117"/>
      <c r="AS21" s="1117"/>
    </row>
    <row r="22" spans="1:45" s="1142" customFormat="1" ht="23.25" customHeight="1" thickBot="1" x14ac:dyDescent="0.3">
      <c r="A22" s="1128" t="s">
        <v>724</v>
      </c>
      <c r="B22" s="1129" t="s">
        <v>725</v>
      </c>
      <c r="C22" s="1130">
        <f>+C23+C24+C25+C26+C27</f>
        <v>0</v>
      </c>
      <c r="D22" s="1131">
        <f>+D23+D24+D25+D26+D27</f>
        <v>0</v>
      </c>
      <c r="E22" s="1117"/>
      <c r="F22" s="1117"/>
      <c r="G22" s="1117"/>
      <c r="H22" s="1117"/>
      <c r="I22" s="1117"/>
      <c r="J22" s="1117"/>
      <c r="K22" s="1117"/>
      <c r="L22" s="1117"/>
      <c r="M22" s="1117"/>
      <c r="N22" s="1117"/>
      <c r="O22" s="1117"/>
      <c r="P22" s="1117"/>
      <c r="Q22" s="1117"/>
      <c r="R22" s="1117"/>
      <c r="S22" s="1117"/>
      <c r="T22" s="1117"/>
      <c r="U22" s="1117"/>
      <c r="V22" s="1117"/>
      <c r="W22" s="1117"/>
      <c r="X22" s="1117"/>
      <c r="Y22" s="1117"/>
      <c r="Z22" s="1117"/>
      <c r="AA22" s="1117"/>
      <c r="AB22" s="1117"/>
      <c r="AC22" s="1117"/>
      <c r="AD22" s="1117"/>
      <c r="AE22" s="1117"/>
      <c r="AF22" s="1117"/>
      <c r="AG22" s="1117"/>
      <c r="AH22" s="1117"/>
      <c r="AI22" s="1117"/>
      <c r="AJ22" s="1117"/>
      <c r="AK22" s="1117"/>
      <c r="AL22" s="1117"/>
      <c r="AM22" s="1117"/>
      <c r="AN22" s="1117"/>
      <c r="AO22" s="1117"/>
      <c r="AP22" s="1117"/>
      <c r="AQ22" s="1117"/>
      <c r="AR22" s="1117"/>
      <c r="AS22" s="1117"/>
    </row>
    <row r="23" spans="1:45" s="1142" customFormat="1" ht="12" customHeight="1" x14ac:dyDescent="0.2">
      <c r="A23" s="1133" t="s">
        <v>726</v>
      </c>
      <c r="B23" s="1134" t="s">
        <v>727</v>
      </c>
      <c r="C23" s="1146">
        <f t="shared" ref="C23:C28" si="4">SUM(E23:AS23)</f>
        <v>0</v>
      </c>
      <c r="D23" s="1136">
        <f t="shared" ref="D23:D28" si="5">C23</f>
        <v>0</v>
      </c>
      <c r="E23" s="1117"/>
      <c r="F23" s="1117"/>
      <c r="G23" s="1117"/>
      <c r="H23" s="1117"/>
      <c r="I23" s="1117"/>
      <c r="J23" s="1117"/>
      <c r="K23" s="1117"/>
      <c r="L23" s="1117"/>
      <c r="M23" s="1117"/>
      <c r="N23" s="1117"/>
      <c r="O23" s="1117"/>
      <c r="P23" s="1117"/>
      <c r="Q23" s="1117"/>
      <c r="R23" s="1117"/>
      <c r="S23" s="1117"/>
      <c r="T23" s="1117"/>
      <c r="U23" s="1117"/>
      <c r="V23" s="1117"/>
      <c r="W23" s="1117"/>
      <c r="X23" s="1117"/>
      <c r="Y23" s="1117"/>
      <c r="Z23" s="1117"/>
      <c r="AA23" s="1117"/>
      <c r="AB23" s="1117"/>
      <c r="AC23" s="1117"/>
      <c r="AD23" s="1117"/>
      <c r="AE23" s="1117"/>
      <c r="AF23" s="1117"/>
      <c r="AG23" s="1117"/>
      <c r="AH23" s="1117"/>
      <c r="AI23" s="1117"/>
      <c r="AJ23" s="1117"/>
      <c r="AK23" s="1117"/>
      <c r="AL23" s="1117"/>
      <c r="AM23" s="1117"/>
      <c r="AN23" s="1117"/>
      <c r="AO23" s="1117"/>
      <c r="AP23" s="1117"/>
      <c r="AQ23" s="1117"/>
      <c r="AR23" s="1117"/>
      <c r="AS23" s="1117"/>
    </row>
    <row r="24" spans="1:45" s="1138" customFormat="1" ht="12" customHeight="1" x14ac:dyDescent="0.2">
      <c r="A24" s="1139" t="s">
        <v>728</v>
      </c>
      <c r="B24" s="1140" t="s">
        <v>729</v>
      </c>
      <c r="C24" s="1146">
        <f t="shared" si="4"/>
        <v>0</v>
      </c>
      <c r="D24" s="1136">
        <f t="shared" si="5"/>
        <v>0</v>
      </c>
      <c r="E24" s="1117"/>
      <c r="F24" s="1117"/>
      <c r="G24" s="1117"/>
      <c r="H24" s="1117"/>
      <c r="I24" s="1117"/>
      <c r="J24" s="1117"/>
      <c r="K24" s="1117"/>
      <c r="L24" s="1117"/>
      <c r="M24" s="1117"/>
      <c r="N24" s="1117"/>
      <c r="O24" s="1117"/>
      <c r="P24" s="1117"/>
      <c r="Q24" s="1117"/>
      <c r="R24" s="1117"/>
      <c r="S24" s="1117"/>
      <c r="T24" s="1117"/>
      <c r="U24" s="1117"/>
      <c r="V24" s="1117"/>
      <c r="W24" s="1117"/>
      <c r="X24" s="1117"/>
      <c r="Y24" s="1117"/>
      <c r="Z24" s="1137"/>
      <c r="AA24" s="1137"/>
      <c r="AB24" s="1137"/>
      <c r="AC24" s="1137"/>
      <c r="AD24" s="1137"/>
      <c r="AE24" s="1137"/>
      <c r="AF24" s="1137"/>
      <c r="AG24" s="1137"/>
      <c r="AH24" s="1137"/>
      <c r="AI24" s="1137"/>
      <c r="AJ24" s="1137"/>
      <c r="AK24" s="1137"/>
      <c r="AL24" s="1137"/>
      <c r="AM24" s="1137"/>
      <c r="AN24" s="1137"/>
      <c r="AO24" s="1137"/>
      <c r="AP24" s="1137"/>
      <c r="AQ24" s="1137"/>
      <c r="AR24" s="1137"/>
      <c r="AS24" s="1137"/>
    </row>
    <row r="25" spans="1:45" s="1142" customFormat="1" ht="12" customHeight="1" x14ac:dyDescent="0.2">
      <c r="A25" s="1139" t="s">
        <v>730</v>
      </c>
      <c r="B25" s="1140" t="s">
        <v>731</v>
      </c>
      <c r="C25" s="1146">
        <f t="shared" si="4"/>
        <v>0</v>
      </c>
      <c r="D25" s="1136">
        <f t="shared" si="5"/>
        <v>0</v>
      </c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7"/>
      <c r="AG25" s="1117"/>
      <c r="AH25" s="1117"/>
      <c r="AI25" s="1117"/>
      <c r="AJ25" s="1117"/>
      <c r="AK25" s="1117"/>
      <c r="AL25" s="1117"/>
      <c r="AM25" s="1117"/>
      <c r="AN25" s="1117"/>
      <c r="AO25" s="1117"/>
      <c r="AP25" s="1117"/>
      <c r="AQ25" s="1117"/>
      <c r="AR25" s="1117"/>
      <c r="AS25" s="1117"/>
    </row>
    <row r="26" spans="1:45" s="1142" customFormat="1" ht="12" customHeight="1" x14ac:dyDescent="0.2">
      <c r="A26" s="1139" t="s">
        <v>732</v>
      </c>
      <c r="B26" s="1140" t="s">
        <v>733</v>
      </c>
      <c r="C26" s="1146">
        <f t="shared" si="4"/>
        <v>0</v>
      </c>
      <c r="D26" s="1136">
        <f t="shared" si="5"/>
        <v>0</v>
      </c>
      <c r="E26" s="1117"/>
      <c r="F26" s="1117"/>
      <c r="G26" s="1117"/>
      <c r="H26" s="1117"/>
      <c r="I26" s="1117"/>
      <c r="J26" s="1117"/>
      <c r="K26" s="1117"/>
      <c r="L26" s="1117"/>
      <c r="M26" s="1117"/>
      <c r="N26" s="1117"/>
      <c r="O26" s="1117"/>
      <c r="P26" s="1117"/>
      <c r="Q26" s="1117"/>
      <c r="R26" s="1117"/>
      <c r="S26" s="1117"/>
      <c r="T26" s="1117"/>
      <c r="U26" s="1117"/>
      <c r="V26" s="1117"/>
      <c r="W26" s="1117"/>
      <c r="X26" s="1117"/>
      <c r="Y26" s="1117"/>
      <c r="Z26" s="1117"/>
      <c r="AA26" s="1117"/>
      <c r="AB26" s="1117"/>
      <c r="AC26" s="1117"/>
      <c r="AD26" s="1117"/>
      <c r="AE26" s="1117"/>
      <c r="AF26" s="1117"/>
      <c r="AG26" s="1117"/>
      <c r="AH26" s="1117"/>
      <c r="AI26" s="1117"/>
      <c r="AJ26" s="1117"/>
      <c r="AK26" s="1117"/>
      <c r="AL26" s="1117"/>
      <c r="AM26" s="1117"/>
      <c r="AN26" s="1117"/>
      <c r="AO26" s="1117"/>
      <c r="AP26" s="1117"/>
      <c r="AQ26" s="1117"/>
      <c r="AR26" s="1117"/>
      <c r="AS26" s="1117"/>
    </row>
    <row r="27" spans="1:45" s="1142" customFormat="1" ht="12" customHeight="1" x14ac:dyDescent="0.2">
      <c r="A27" s="1139" t="s">
        <v>734</v>
      </c>
      <c r="B27" s="1140" t="s">
        <v>735</v>
      </c>
      <c r="C27" s="1146">
        <f t="shared" si="4"/>
        <v>0</v>
      </c>
      <c r="D27" s="1136">
        <f t="shared" si="5"/>
        <v>0</v>
      </c>
      <c r="E27" s="1117"/>
      <c r="F27" s="1117"/>
      <c r="G27" s="1117"/>
      <c r="H27" s="1117"/>
      <c r="I27" s="1117"/>
      <c r="J27" s="1117"/>
      <c r="K27" s="1117"/>
      <c r="L27" s="1117"/>
      <c r="M27" s="1117"/>
      <c r="N27" s="1117"/>
      <c r="O27" s="1117"/>
      <c r="P27" s="1117"/>
      <c r="Q27" s="1117"/>
      <c r="R27" s="1117"/>
      <c r="S27" s="1117"/>
      <c r="T27" s="1117"/>
      <c r="U27" s="1117"/>
      <c r="V27" s="1117"/>
      <c r="W27" s="1117"/>
      <c r="X27" s="1117"/>
      <c r="Y27" s="1117"/>
      <c r="Z27" s="1117"/>
      <c r="AA27" s="1117"/>
      <c r="AB27" s="1117"/>
      <c r="AC27" s="1117"/>
      <c r="AD27" s="1117"/>
      <c r="AE27" s="1117"/>
      <c r="AF27" s="1117"/>
      <c r="AG27" s="1117"/>
      <c r="AH27" s="1117"/>
      <c r="AI27" s="1117"/>
      <c r="AJ27" s="1117"/>
      <c r="AK27" s="1117"/>
      <c r="AL27" s="1117"/>
      <c r="AM27" s="1117"/>
      <c r="AN27" s="1117"/>
      <c r="AO27" s="1117"/>
      <c r="AP27" s="1117"/>
      <c r="AQ27" s="1117"/>
      <c r="AR27" s="1117"/>
      <c r="AS27" s="1117"/>
    </row>
    <row r="28" spans="1:45" s="1142" customFormat="1" ht="12" customHeight="1" thickBot="1" x14ac:dyDescent="0.25">
      <c r="A28" s="1143" t="s">
        <v>736</v>
      </c>
      <c r="B28" s="1144" t="s">
        <v>737</v>
      </c>
      <c r="C28" s="1146">
        <f t="shared" si="4"/>
        <v>0</v>
      </c>
      <c r="D28" s="1136">
        <f t="shared" si="5"/>
        <v>0</v>
      </c>
      <c r="E28" s="1117"/>
      <c r="F28" s="1117"/>
      <c r="G28" s="1117"/>
      <c r="H28" s="1117"/>
      <c r="I28" s="1117"/>
      <c r="J28" s="1117"/>
      <c r="K28" s="1117"/>
      <c r="L28" s="1117"/>
      <c r="M28" s="1117"/>
      <c r="N28" s="1117"/>
      <c r="O28" s="1117"/>
      <c r="P28" s="1117"/>
      <c r="Q28" s="1117"/>
      <c r="R28" s="1117"/>
      <c r="S28" s="1117"/>
      <c r="T28" s="1117"/>
      <c r="U28" s="1117"/>
      <c r="V28" s="1117"/>
      <c r="W28" s="1117"/>
      <c r="X28" s="1117"/>
      <c r="Y28" s="1117"/>
      <c r="Z28" s="1117"/>
      <c r="AA28" s="1117"/>
      <c r="AB28" s="1117"/>
      <c r="AC28" s="1117"/>
      <c r="AD28" s="1117"/>
      <c r="AE28" s="1117"/>
      <c r="AF28" s="1117"/>
      <c r="AG28" s="1117"/>
      <c r="AH28" s="1117"/>
      <c r="AI28" s="1117"/>
      <c r="AJ28" s="1117"/>
      <c r="AK28" s="1117"/>
      <c r="AL28" s="1117"/>
      <c r="AM28" s="1117"/>
      <c r="AN28" s="1117"/>
      <c r="AO28" s="1117"/>
      <c r="AP28" s="1117"/>
      <c r="AQ28" s="1117"/>
      <c r="AR28" s="1117"/>
      <c r="AS28" s="1117"/>
    </row>
    <row r="29" spans="1:45" s="1142" customFormat="1" ht="12" customHeight="1" thickBot="1" x14ac:dyDescent="0.3">
      <c r="A29" s="1128" t="s">
        <v>738</v>
      </c>
      <c r="B29" s="1129" t="s">
        <v>739</v>
      </c>
      <c r="C29" s="1150">
        <f>+C30+C36</f>
        <v>91440000</v>
      </c>
      <c r="D29" s="1151">
        <f>+D30+D36</f>
        <v>80440000</v>
      </c>
      <c r="E29" s="1117"/>
      <c r="F29" s="1117"/>
      <c r="G29" s="1117"/>
      <c r="H29" s="1117"/>
      <c r="I29" s="1117"/>
      <c r="J29" s="1117"/>
      <c r="K29" s="1117"/>
      <c r="L29" s="1117"/>
      <c r="M29" s="1117"/>
      <c r="N29" s="1117"/>
      <c r="O29" s="1117"/>
      <c r="P29" s="1117"/>
      <c r="Q29" s="1117"/>
      <c r="R29" s="1117"/>
      <c r="S29" s="1117"/>
      <c r="T29" s="1117"/>
      <c r="U29" s="1117"/>
      <c r="V29" s="1117"/>
      <c r="W29" s="1117"/>
      <c r="X29" s="1117"/>
      <c r="Y29" s="1117"/>
      <c r="Z29" s="1117"/>
      <c r="AA29" s="1117"/>
      <c r="AB29" s="1117"/>
      <c r="AC29" s="1117"/>
      <c r="AD29" s="1117"/>
      <c r="AE29" s="1117"/>
      <c r="AF29" s="1117"/>
      <c r="AG29" s="1117"/>
      <c r="AH29" s="1117"/>
      <c r="AI29" s="1117"/>
      <c r="AJ29" s="1117"/>
      <c r="AK29" s="1117"/>
      <c r="AL29" s="1117"/>
      <c r="AM29" s="1117"/>
      <c r="AN29" s="1117"/>
      <c r="AO29" s="1117"/>
      <c r="AP29" s="1117"/>
      <c r="AQ29" s="1117"/>
      <c r="AR29" s="1117"/>
      <c r="AS29" s="1117"/>
    </row>
    <row r="30" spans="1:45" s="1142" customFormat="1" ht="12" customHeight="1" x14ac:dyDescent="0.2">
      <c r="A30" s="1133" t="s">
        <v>740</v>
      </c>
      <c r="B30" s="1134" t="s">
        <v>741</v>
      </c>
      <c r="C30" s="1152">
        <f>C32+C33+C34+C35+C31</f>
        <v>90740000</v>
      </c>
      <c r="D30" s="1136">
        <f>SUM(D31:D35)</f>
        <v>79740000</v>
      </c>
      <c r="E30" s="1117"/>
      <c r="F30" s="1117"/>
      <c r="G30" s="1117"/>
      <c r="H30" s="1117"/>
      <c r="I30" s="1117"/>
      <c r="J30" s="1117"/>
      <c r="K30" s="1117"/>
      <c r="L30" s="1117"/>
      <c r="M30" s="1117"/>
      <c r="N30" s="1117"/>
      <c r="O30" s="1117"/>
      <c r="P30" s="1117"/>
      <c r="Q30" s="1117"/>
      <c r="R30" s="1117"/>
      <c r="S30" s="1117"/>
      <c r="T30" s="1117"/>
      <c r="U30" s="1117"/>
      <c r="V30" s="1117"/>
      <c r="W30" s="1117"/>
      <c r="X30" s="1117"/>
      <c r="Y30" s="1117"/>
      <c r="Z30" s="1117"/>
      <c r="AA30" s="1117"/>
      <c r="AB30" s="1117"/>
      <c r="AC30" s="1117"/>
      <c r="AD30" s="1117"/>
      <c r="AE30" s="1117"/>
      <c r="AF30" s="1117"/>
      <c r="AG30" s="1117"/>
      <c r="AH30" s="1117"/>
      <c r="AI30" s="1117"/>
      <c r="AJ30" s="1117"/>
      <c r="AK30" s="1117"/>
      <c r="AL30" s="1117"/>
      <c r="AM30" s="1117"/>
      <c r="AN30" s="1117"/>
      <c r="AO30" s="1117"/>
      <c r="AP30" s="1117"/>
      <c r="AQ30" s="1117"/>
      <c r="AR30" s="1117"/>
      <c r="AS30" s="1117"/>
    </row>
    <row r="31" spans="1:45" s="1142" customFormat="1" ht="12" customHeight="1" x14ac:dyDescent="0.2">
      <c r="A31" s="1139" t="s">
        <v>742</v>
      </c>
      <c r="B31" s="1154" t="s">
        <v>743</v>
      </c>
      <c r="C31" s="1155">
        <f t="shared" ref="C31:C36" si="6">SUM(E31:AS31)</f>
        <v>40000</v>
      </c>
      <c r="D31" s="1136">
        <f t="shared" ref="D31:D36" si="7">C31</f>
        <v>40000</v>
      </c>
      <c r="E31" s="1117"/>
      <c r="F31" s="1117"/>
      <c r="G31" s="1117"/>
      <c r="H31" s="1117"/>
      <c r="I31" s="1117"/>
      <c r="J31" s="1117"/>
      <c r="K31" s="1117"/>
      <c r="L31" s="1117"/>
      <c r="M31" s="1117"/>
      <c r="N31" s="1117"/>
      <c r="O31" s="1117"/>
      <c r="P31" s="1117"/>
      <c r="Q31" s="1117"/>
      <c r="R31" s="1117"/>
      <c r="S31" s="1117"/>
      <c r="T31" s="1117"/>
      <c r="U31" s="1117"/>
      <c r="V31" s="1117"/>
      <c r="W31" s="1117"/>
      <c r="X31" s="1117"/>
      <c r="Y31" s="1117"/>
      <c r="Z31" s="1117"/>
      <c r="AA31" s="1117"/>
      <c r="AB31" s="1117"/>
      <c r="AC31" s="1117"/>
      <c r="AD31" s="1117"/>
      <c r="AE31" s="1117"/>
      <c r="AF31" s="1117"/>
      <c r="AG31" s="1117"/>
      <c r="AH31" s="1117"/>
      <c r="AI31" s="1117"/>
      <c r="AJ31" s="1117"/>
      <c r="AK31" s="1117"/>
      <c r="AL31" s="1117"/>
      <c r="AM31" s="1117"/>
      <c r="AN31" s="1117"/>
      <c r="AO31" s="1117"/>
      <c r="AP31" s="1117"/>
      <c r="AQ31" s="1117"/>
      <c r="AR31" s="1117">
        <v>40000</v>
      </c>
      <c r="AS31" s="1117"/>
    </row>
    <row r="32" spans="1:45" s="1142" customFormat="1" ht="12" customHeight="1" x14ac:dyDescent="0.2">
      <c r="A32" s="1139" t="s">
        <v>744</v>
      </c>
      <c r="B32" s="1140" t="s">
        <v>745</v>
      </c>
      <c r="C32" s="1155">
        <f t="shared" si="6"/>
        <v>7500000</v>
      </c>
      <c r="D32" s="1136">
        <f t="shared" si="7"/>
        <v>7500000</v>
      </c>
      <c r="E32" s="1117"/>
      <c r="F32" s="1117"/>
      <c r="G32" s="1117"/>
      <c r="H32" s="1117"/>
      <c r="I32" s="1117"/>
      <c r="J32" s="1117"/>
      <c r="K32" s="1117"/>
      <c r="L32" s="1117"/>
      <c r="M32" s="1117"/>
      <c r="N32" s="1117"/>
      <c r="O32" s="1117"/>
      <c r="P32" s="1117"/>
      <c r="Q32" s="1117"/>
      <c r="R32" s="1117"/>
      <c r="S32" s="1117"/>
      <c r="T32" s="1117"/>
      <c r="U32" s="1117"/>
      <c r="V32" s="1117"/>
      <c r="W32" s="1117"/>
      <c r="X32" s="1117"/>
      <c r="Y32" s="1117"/>
      <c r="Z32" s="1117"/>
      <c r="AA32" s="1117"/>
      <c r="AB32" s="1117"/>
      <c r="AC32" s="1117"/>
      <c r="AD32" s="1117"/>
      <c r="AE32" s="1117"/>
      <c r="AF32" s="1117"/>
      <c r="AG32" s="1117"/>
      <c r="AH32" s="1117"/>
      <c r="AI32" s="1117"/>
      <c r="AJ32" s="1117"/>
      <c r="AK32" s="1117"/>
      <c r="AL32" s="1117"/>
      <c r="AM32" s="1117"/>
      <c r="AN32" s="1117"/>
      <c r="AO32" s="1117"/>
      <c r="AP32" s="1117"/>
      <c r="AQ32" s="1117"/>
      <c r="AR32" s="1117">
        <v>7500000</v>
      </c>
      <c r="AS32" s="1117"/>
    </row>
    <row r="33" spans="1:45" s="1142" customFormat="1" ht="12" customHeight="1" x14ac:dyDescent="0.2">
      <c r="A33" s="1139" t="s">
        <v>746</v>
      </c>
      <c r="B33" s="1154" t="s">
        <v>747</v>
      </c>
      <c r="C33" s="1155">
        <f t="shared" si="6"/>
        <v>72000000</v>
      </c>
      <c r="D33" s="1136">
        <f t="shared" si="7"/>
        <v>72000000</v>
      </c>
      <c r="E33" s="1117"/>
      <c r="F33" s="1117"/>
      <c r="G33" s="1117"/>
      <c r="H33" s="1117"/>
      <c r="I33" s="1117"/>
      <c r="J33" s="1117"/>
      <c r="K33" s="1117"/>
      <c r="L33" s="1117"/>
      <c r="M33" s="1117"/>
      <c r="N33" s="1117"/>
      <c r="O33" s="1117"/>
      <c r="P33" s="1117"/>
      <c r="Q33" s="1117"/>
      <c r="R33" s="1117"/>
      <c r="S33" s="1117"/>
      <c r="T33" s="1117"/>
      <c r="U33" s="1117"/>
      <c r="V33" s="1117"/>
      <c r="W33" s="1117"/>
      <c r="X33" s="1117"/>
      <c r="Y33" s="1117"/>
      <c r="Z33" s="1117"/>
      <c r="AA33" s="1117"/>
      <c r="AB33" s="1117"/>
      <c r="AC33" s="1117"/>
      <c r="AD33" s="1117"/>
      <c r="AE33" s="1117"/>
      <c r="AF33" s="1117"/>
      <c r="AG33" s="1117"/>
      <c r="AH33" s="1117"/>
      <c r="AI33" s="1117"/>
      <c r="AJ33" s="1117"/>
      <c r="AK33" s="1117"/>
      <c r="AL33" s="1117"/>
      <c r="AM33" s="1117"/>
      <c r="AN33" s="1117"/>
      <c r="AO33" s="1117"/>
      <c r="AP33" s="1117"/>
      <c r="AQ33" s="1117"/>
      <c r="AR33" s="1117">
        <v>72000000</v>
      </c>
      <c r="AS33" s="1117"/>
    </row>
    <row r="34" spans="1:45" s="1142" customFormat="1" ht="12" customHeight="1" x14ac:dyDescent="0.2">
      <c r="A34" s="1139" t="s">
        <v>748</v>
      </c>
      <c r="B34" s="1154" t="s">
        <v>749</v>
      </c>
      <c r="C34" s="1155">
        <f t="shared" si="6"/>
        <v>11000000</v>
      </c>
      <c r="D34" s="1136">
        <f>C34-11000000</f>
        <v>0</v>
      </c>
      <c r="E34" s="1117"/>
      <c r="F34" s="1117"/>
      <c r="G34" s="1117"/>
      <c r="H34" s="1117"/>
      <c r="I34" s="1117"/>
      <c r="J34" s="1117"/>
      <c r="K34" s="1117"/>
      <c r="L34" s="1117"/>
      <c r="M34" s="1117"/>
      <c r="N34" s="1117"/>
      <c r="O34" s="1117"/>
      <c r="P34" s="1117"/>
      <c r="Q34" s="1117"/>
      <c r="R34" s="1117"/>
      <c r="S34" s="1117"/>
      <c r="T34" s="1117"/>
      <c r="U34" s="1117"/>
      <c r="V34" s="1117"/>
      <c r="W34" s="1117"/>
      <c r="X34" s="1117"/>
      <c r="Y34" s="1117"/>
      <c r="Z34" s="1117"/>
      <c r="AA34" s="1117"/>
      <c r="AB34" s="1117"/>
      <c r="AC34" s="1117"/>
      <c r="AD34" s="1117"/>
      <c r="AE34" s="1117"/>
      <c r="AF34" s="1117"/>
      <c r="AG34" s="1117"/>
      <c r="AH34" s="1117"/>
      <c r="AI34" s="1117"/>
      <c r="AJ34" s="1117"/>
      <c r="AK34" s="1117"/>
      <c r="AL34" s="1117"/>
      <c r="AM34" s="1117"/>
      <c r="AN34" s="1117"/>
      <c r="AO34" s="1117"/>
      <c r="AP34" s="1117"/>
      <c r="AQ34" s="1117"/>
      <c r="AR34" s="1117">
        <v>11000000</v>
      </c>
      <c r="AS34" s="1117"/>
    </row>
    <row r="35" spans="1:45" s="1142" customFormat="1" ht="12" customHeight="1" x14ac:dyDescent="0.2">
      <c r="A35" s="1139" t="s">
        <v>750</v>
      </c>
      <c r="B35" s="1154" t="s">
        <v>751</v>
      </c>
      <c r="C35" s="1155">
        <f t="shared" si="6"/>
        <v>200000</v>
      </c>
      <c r="D35" s="1136">
        <f t="shared" si="7"/>
        <v>200000</v>
      </c>
      <c r="E35" s="1117"/>
      <c r="F35" s="1117"/>
      <c r="G35" s="1117"/>
      <c r="H35" s="1117"/>
      <c r="I35" s="1117"/>
      <c r="J35" s="1117"/>
      <c r="K35" s="1117"/>
      <c r="L35" s="1117"/>
      <c r="M35" s="1117"/>
      <c r="N35" s="1117"/>
      <c r="O35" s="1117"/>
      <c r="P35" s="1117"/>
      <c r="Q35" s="1117"/>
      <c r="R35" s="1117"/>
      <c r="S35" s="1117"/>
      <c r="T35" s="1117"/>
      <c r="U35" s="1117"/>
      <c r="V35" s="1117"/>
      <c r="W35" s="1117"/>
      <c r="X35" s="1117"/>
      <c r="Y35" s="1117"/>
      <c r="Z35" s="1117"/>
      <c r="AA35" s="1117"/>
      <c r="AB35" s="1117"/>
      <c r="AC35" s="1117"/>
      <c r="AD35" s="1117"/>
      <c r="AE35" s="1117"/>
      <c r="AF35" s="1117"/>
      <c r="AG35" s="1117"/>
      <c r="AH35" s="1117"/>
      <c r="AI35" s="1117"/>
      <c r="AJ35" s="1117"/>
      <c r="AK35" s="1117"/>
      <c r="AL35" s="1117"/>
      <c r="AM35" s="1117"/>
      <c r="AN35" s="1117"/>
      <c r="AO35" s="1117"/>
      <c r="AP35" s="1117"/>
      <c r="AQ35" s="1117"/>
      <c r="AR35" s="1117">
        <v>200000</v>
      </c>
      <c r="AS35" s="1117"/>
    </row>
    <row r="36" spans="1:45" s="1142" customFormat="1" ht="12" customHeight="1" thickBot="1" x14ac:dyDescent="0.25">
      <c r="A36" s="1143" t="s">
        <v>752</v>
      </c>
      <c r="B36" s="1144" t="s">
        <v>248</v>
      </c>
      <c r="C36" s="1155">
        <f t="shared" si="6"/>
        <v>700000</v>
      </c>
      <c r="D36" s="1136">
        <f t="shared" si="7"/>
        <v>700000</v>
      </c>
      <c r="E36" s="1117"/>
      <c r="F36" s="1117"/>
      <c r="G36" s="1117"/>
      <c r="H36" s="1117"/>
      <c r="I36" s="1117"/>
      <c r="J36" s="1117"/>
      <c r="K36" s="1117"/>
      <c r="L36" s="1117"/>
      <c r="M36" s="1117"/>
      <c r="N36" s="1117"/>
      <c r="O36" s="1117"/>
      <c r="P36" s="1117"/>
      <c r="Q36" s="1117"/>
      <c r="R36" s="1117"/>
      <c r="S36" s="1117"/>
      <c r="T36" s="1117"/>
      <c r="U36" s="1117"/>
      <c r="V36" s="1117"/>
      <c r="W36" s="1117"/>
      <c r="X36" s="1117"/>
      <c r="Y36" s="1117"/>
      <c r="Z36" s="1117"/>
      <c r="AA36" s="1117"/>
      <c r="AB36" s="1117"/>
      <c r="AC36" s="1117"/>
      <c r="AD36" s="1117"/>
      <c r="AE36" s="1117"/>
      <c r="AF36" s="1117"/>
      <c r="AG36" s="1117"/>
      <c r="AH36" s="1117"/>
      <c r="AI36" s="1117"/>
      <c r="AJ36" s="1117"/>
      <c r="AK36" s="1117"/>
      <c r="AL36" s="1117"/>
      <c r="AM36" s="1117"/>
      <c r="AN36" s="1117"/>
      <c r="AO36" s="1117"/>
      <c r="AP36" s="1117"/>
      <c r="AQ36" s="1117"/>
      <c r="AR36" s="1117">
        <v>700000</v>
      </c>
      <c r="AS36" s="1117"/>
    </row>
    <row r="37" spans="1:45" s="1142" customFormat="1" ht="12" customHeight="1" thickBot="1" x14ac:dyDescent="0.3">
      <c r="A37" s="1128" t="s">
        <v>753</v>
      </c>
      <c r="B37" s="1129" t="s">
        <v>754</v>
      </c>
      <c r="C37" s="1130">
        <f>SUM(C38:C47)</f>
        <v>12292000</v>
      </c>
      <c r="D37" s="1131">
        <f>SUM(D38:D47)</f>
        <v>11882000</v>
      </c>
      <c r="E37" s="1117"/>
      <c r="F37" s="1117"/>
      <c r="G37" s="1117"/>
      <c r="H37" s="1117"/>
      <c r="I37" s="1117"/>
      <c r="J37" s="1117"/>
      <c r="K37" s="1117"/>
      <c r="L37" s="1117"/>
      <c r="M37" s="1117"/>
      <c r="N37" s="1117"/>
      <c r="O37" s="1117"/>
      <c r="P37" s="1117"/>
      <c r="Q37" s="1117"/>
      <c r="R37" s="1117"/>
      <c r="S37" s="1117"/>
      <c r="T37" s="1117"/>
      <c r="U37" s="1117"/>
      <c r="V37" s="1117"/>
      <c r="W37" s="1117"/>
      <c r="X37" s="1117"/>
      <c r="Y37" s="1117"/>
      <c r="Z37" s="1117"/>
      <c r="AA37" s="1117"/>
      <c r="AB37" s="1117"/>
      <c r="AC37" s="1117"/>
      <c r="AD37" s="1117"/>
      <c r="AE37" s="1117"/>
      <c r="AF37" s="1117"/>
      <c r="AG37" s="1117"/>
      <c r="AH37" s="1117"/>
      <c r="AI37" s="1117"/>
      <c r="AJ37" s="1117"/>
      <c r="AK37" s="1117"/>
      <c r="AL37" s="1117"/>
      <c r="AM37" s="1117"/>
      <c r="AN37" s="1117"/>
      <c r="AO37" s="1117"/>
      <c r="AP37" s="1117"/>
      <c r="AQ37" s="1117"/>
      <c r="AR37" s="1117"/>
      <c r="AS37" s="1117"/>
    </row>
    <row r="38" spans="1:45" s="1142" customFormat="1" ht="12" customHeight="1" x14ac:dyDescent="0.2">
      <c r="A38" s="1133" t="s">
        <v>755</v>
      </c>
      <c r="B38" s="1134" t="s">
        <v>756</v>
      </c>
      <c r="C38" s="1157">
        <f>SUM(E38:AS38)</f>
        <v>2000000</v>
      </c>
      <c r="D38" s="1136">
        <f>C38-440000</f>
        <v>1560000</v>
      </c>
      <c r="E38" s="1117"/>
      <c r="F38" s="1117"/>
      <c r="G38" s="1117">
        <v>2000000</v>
      </c>
      <c r="H38" s="1117"/>
      <c r="I38" s="1117"/>
      <c r="J38" s="1117"/>
      <c r="K38" s="1117"/>
      <c r="L38" s="1117"/>
      <c r="M38" s="1117"/>
      <c r="N38" s="1117"/>
      <c r="O38" s="1117"/>
      <c r="P38" s="1117"/>
      <c r="Q38" s="1117"/>
      <c r="R38" s="1117"/>
      <c r="S38" s="1117"/>
      <c r="T38" s="1117"/>
      <c r="U38" s="1117"/>
      <c r="V38" s="1117"/>
      <c r="W38" s="1117"/>
      <c r="X38" s="1117"/>
      <c r="Y38" s="1117"/>
      <c r="Z38" s="1117"/>
      <c r="AA38" s="1117"/>
      <c r="AB38" s="1117"/>
      <c r="AC38" s="1117"/>
      <c r="AD38" s="1117"/>
      <c r="AE38" s="1117"/>
      <c r="AF38" s="1117"/>
      <c r="AG38" s="1117"/>
      <c r="AH38" s="1117"/>
      <c r="AI38" s="1117"/>
      <c r="AJ38" s="1117"/>
      <c r="AK38" s="1117"/>
      <c r="AL38" s="1117"/>
      <c r="AM38" s="1117"/>
      <c r="AN38" s="1117"/>
      <c r="AO38" s="1117"/>
      <c r="AP38" s="1117"/>
      <c r="AQ38" s="1117"/>
      <c r="AR38" s="1117"/>
      <c r="AS38" s="1117"/>
    </row>
    <row r="39" spans="1:45" s="1142" customFormat="1" ht="12" customHeight="1" x14ac:dyDescent="0.2">
      <c r="A39" s="1139" t="s">
        <v>757</v>
      </c>
      <c r="B39" s="1140" t="s">
        <v>758</v>
      </c>
      <c r="C39" s="1157">
        <f t="shared" ref="C39:C47" si="8">SUM(E39:AS39)</f>
        <v>7690000</v>
      </c>
      <c r="D39" s="1136">
        <f>C39-165000</f>
        <v>7525000</v>
      </c>
      <c r="E39" s="1117"/>
      <c r="F39" s="1117">
        <v>4437000</v>
      </c>
      <c r="G39" s="1117">
        <v>3065000</v>
      </c>
      <c r="H39" s="1117"/>
      <c r="I39" s="1117"/>
      <c r="J39" s="1117"/>
      <c r="K39" s="1117"/>
      <c r="L39" s="1117"/>
      <c r="M39" s="1117"/>
      <c r="N39" s="1117"/>
      <c r="O39" s="1117"/>
      <c r="P39" s="1117"/>
      <c r="Q39" s="1117"/>
      <c r="R39" s="1117"/>
      <c r="S39" s="1117">
        <v>188000</v>
      </c>
      <c r="T39" s="1117"/>
      <c r="U39" s="1117"/>
      <c r="V39" s="1117"/>
      <c r="W39" s="1117"/>
      <c r="X39" s="1117"/>
      <c r="Y39" s="1117"/>
      <c r="Z39" s="1117"/>
      <c r="AA39" s="1117"/>
      <c r="AB39" s="1117"/>
      <c r="AC39" s="1117"/>
      <c r="AD39" s="1117"/>
      <c r="AE39" s="1117"/>
      <c r="AF39" s="1117"/>
      <c r="AG39" s="1117"/>
      <c r="AH39" s="1117"/>
      <c r="AI39" s="1117"/>
      <c r="AJ39" s="1117"/>
      <c r="AK39" s="1117"/>
      <c r="AL39" s="1117"/>
      <c r="AM39" s="1117"/>
      <c r="AN39" s="1117"/>
      <c r="AO39" s="1117"/>
      <c r="AP39" s="1117"/>
      <c r="AQ39" s="1117"/>
      <c r="AR39" s="1117"/>
      <c r="AS39" s="1117"/>
    </row>
    <row r="40" spans="1:45" s="1142" customFormat="1" ht="12" customHeight="1" x14ac:dyDescent="0.2">
      <c r="A40" s="1139" t="s">
        <v>759</v>
      </c>
      <c r="B40" s="1140" t="s">
        <v>760</v>
      </c>
      <c r="C40" s="1157">
        <f t="shared" si="8"/>
        <v>440000</v>
      </c>
      <c r="D40" s="1136">
        <f t="shared" ref="D40:D47" si="9">C40</f>
        <v>440000</v>
      </c>
      <c r="E40" s="1117">
        <v>240000</v>
      </c>
      <c r="F40" s="1117"/>
      <c r="G40" s="1117">
        <v>200000</v>
      </c>
      <c r="H40" s="1117"/>
      <c r="I40" s="1117"/>
      <c r="J40" s="1117"/>
      <c r="K40" s="1117"/>
      <c r="L40" s="1117"/>
      <c r="M40" s="1117"/>
      <c r="N40" s="1117"/>
      <c r="O40" s="1117"/>
      <c r="P40" s="1117"/>
      <c r="Q40" s="1117"/>
      <c r="R40" s="1117"/>
      <c r="S40" s="1117"/>
      <c r="T40" s="1117"/>
      <c r="U40" s="1117"/>
      <c r="V40" s="1117"/>
      <c r="W40" s="1117"/>
      <c r="X40" s="1117"/>
      <c r="Y40" s="1117"/>
      <c r="Z40" s="1117"/>
      <c r="AA40" s="1117"/>
      <c r="AB40" s="1117"/>
      <c r="AC40" s="1117"/>
      <c r="AD40" s="1117"/>
      <c r="AE40" s="1117"/>
      <c r="AF40" s="1117"/>
      <c r="AG40" s="1117"/>
      <c r="AH40" s="1117"/>
      <c r="AI40" s="1117"/>
      <c r="AJ40" s="1117"/>
      <c r="AK40" s="1117"/>
      <c r="AL40" s="1117"/>
      <c r="AM40" s="1117"/>
      <c r="AN40" s="1117"/>
      <c r="AO40" s="1117"/>
      <c r="AP40" s="1117"/>
      <c r="AQ40" s="1117"/>
      <c r="AR40" s="1117"/>
      <c r="AS40" s="1117"/>
    </row>
    <row r="41" spans="1:45" s="1142" customFormat="1" ht="12" customHeight="1" x14ac:dyDescent="0.2">
      <c r="A41" s="1139" t="s">
        <v>761</v>
      </c>
      <c r="B41" s="1140" t="s">
        <v>762</v>
      </c>
      <c r="C41" s="1157">
        <f t="shared" si="8"/>
        <v>0</v>
      </c>
      <c r="D41" s="1136">
        <f>C41+165000</f>
        <v>165000</v>
      </c>
      <c r="E41" s="1117"/>
      <c r="F41" s="1117"/>
      <c r="G41" s="1117"/>
      <c r="H41" s="1117"/>
      <c r="I41" s="1117"/>
      <c r="J41" s="1117"/>
      <c r="K41" s="1117"/>
      <c r="L41" s="1117"/>
      <c r="M41" s="1117"/>
      <c r="N41" s="1117"/>
      <c r="O41" s="1117"/>
      <c r="P41" s="1117"/>
      <c r="Q41" s="1117"/>
      <c r="R41" s="1117"/>
      <c r="S41" s="1117"/>
      <c r="T41" s="1117"/>
      <c r="U41" s="1117"/>
      <c r="V41" s="1117"/>
      <c r="W41" s="1117"/>
      <c r="X41" s="1117"/>
      <c r="Y41" s="1117"/>
      <c r="Z41" s="1117"/>
      <c r="AA41" s="1117"/>
      <c r="AB41" s="1117"/>
      <c r="AC41" s="1117"/>
      <c r="AD41" s="1117"/>
      <c r="AE41" s="1117"/>
      <c r="AF41" s="1117"/>
      <c r="AG41" s="1117"/>
      <c r="AH41" s="1117"/>
      <c r="AI41" s="1117"/>
      <c r="AJ41" s="1117"/>
      <c r="AK41" s="1117"/>
      <c r="AL41" s="1117"/>
      <c r="AM41" s="1117"/>
      <c r="AN41" s="1117"/>
      <c r="AO41" s="1117"/>
      <c r="AP41" s="1117"/>
      <c r="AQ41" s="1117"/>
      <c r="AR41" s="1117"/>
      <c r="AS41" s="1117"/>
    </row>
    <row r="42" spans="1:45" s="1142" customFormat="1" ht="12" customHeight="1" x14ac:dyDescent="0.2">
      <c r="A42" s="1139" t="s">
        <v>763</v>
      </c>
      <c r="B42" s="1140" t="s">
        <v>764</v>
      </c>
      <c r="C42" s="1157">
        <f t="shared" si="8"/>
        <v>0</v>
      </c>
      <c r="D42" s="1136">
        <f t="shared" si="9"/>
        <v>0</v>
      </c>
      <c r="E42" s="1117"/>
      <c r="F42" s="1117"/>
      <c r="G42" s="1117"/>
      <c r="H42" s="1117"/>
      <c r="I42" s="1117"/>
      <c r="J42" s="1117"/>
      <c r="K42" s="1117"/>
      <c r="L42" s="1117"/>
      <c r="M42" s="1117"/>
      <c r="N42" s="1117"/>
      <c r="O42" s="1117"/>
      <c r="P42" s="1117"/>
      <c r="Q42" s="1117"/>
      <c r="R42" s="1117"/>
      <c r="S42" s="1117"/>
      <c r="T42" s="1117"/>
      <c r="U42" s="1117"/>
      <c r="V42" s="1117"/>
      <c r="W42" s="1117"/>
      <c r="X42" s="1117"/>
      <c r="Y42" s="1117"/>
      <c r="Z42" s="1117"/>
      <c r="AA42" s="1117"/>
      <c r="AB42" s="1117"/>
      <c r="AC42" s="1117"/>
      <c r="AD42" s="1117"/>
      <c r="AE42" s="1117"/>
      <c r="AF42" s="1117"/>
      <c r="AG42" s="1117"/>
      <c r="AH42" s="1117"/>
      <c r="AI42" s="1117"/>
      <c r="AJ42" s="1117"/>
      <c r="AK42" s="1117"/>
      <c r="AL42" s="1117"/>
      <c r="AM42" s="1117"/>
      <c r="AN42" s="1117"/>
      <c r="AO42" s="1117"/>
      <c r="AP42" s="1117"/>
      <c r="AQ42" s="1117"/>
      <c r="AR42" s="1117"/>
      <c r="AS42" s="1117"/>
    </row>
    <row r="43" spans="1:45" s="1142" customFormat="1" ht="12" customHeight="1" x14ac:dyDescent="0.2">
      <c r="A43" s="1139" t="s">
        <v>765</v>
      </c>
      <c r="B43" s="1140" t="s">
        <v>766</v>
      </c>
      <c r="C43" s="1157">
        <f t="shared" si="8"/>
        <v>2007000</v>
      </c>
      <c r="D43" s="1136">
        <f t="shared" si="9"/>
        <v>2007000</v>
      </c>
      <c r="E43" s="1117">
        <v>65000</v>
      </c>
      <c r="F43" s="1117">
        <v>1198000</v>
      </c>
      <c r="G43" s="1117">
        <v>693000</v>
      </c>
      <c r="H43" s="1117"/>
      <c r="I43" s="1117"/>
      <c r="J43" s="1117"/>
      <c r="K43" s="1117"/>
      <c r="L43" s="1117"/>
      <c r="M43" s="1117"/>
      <c r="N43" s="1117"/>
      <c r="O43" s="1117"/>
      <c r="P43" s="1117"/>
      <c r="Q43" s="1117"/>
      <c r="R43" s="1117"/>
      <c r="S43" s="1117">
        <v>51000</v>
      </c>
      <c r="T43" s="1117"/>
      <c r="U43" s="1117"/>
      <c r="V43" s="1117"/>
      <c r="W43" s="1117"/>
      <c r="X43" s="1117"/>
      <c r="Y43" s="1117"/>
      <c r="Z43" s="1117"/>
      <c r="AA43" s="1117"/>
      <c r="AB43" s="1117"/>
      <c r="AC43" s="1117"/>
      <c r="AD43" s="1117"/>
      <c r="AE43" s="1117"/>
      <c r="AF43" s="1117"/>
      <c r="AG43" s="1117"/>
      <c r="AH43" s="1117"/>
      <c r="AI43" s="1117"/>
      <c r="AJ43" s="1117"/>
      <c r="AK43" s="1117"/>
      <c r="AL43" s="1117"/>
      <c r="AM43" s="1117"/>
      <c r="AN43" s="1117"/>
      <c r="AO43" s="1117"/>
      <c r="AP43" s="1117"/>
      <c r="AQ43" s="1117"/>
      <c r="AR43" s="1117"/>
      <c r="AS43" s="1117"/>
    </row>
    <row r="44" spans="1:45" s="1142" customFormat="1" ht="12" customHeight="1" x14ac:dyDescent="0.2">
      <c r="A44" s="1139" t="s">
        <v>767</v>
      </c>
      <c r="B44" s="1140" t="s">
        <v>768</v>
      </c>
      <c r="C44" s="1157">
        <f t="shared" si="8"/>
        <v>0</v>
      </c>
      <c r="D44" s="1136">
        <f t="shared" si="9"/>
        <v>0</v>
      </c>
      <c r="E44" s="1117"/>
      <c r="F44" s="1117"/>
      <c r="G44" s="1117"/>
      <c r="H44" s="1117"/>
      <c r="I44" s="1117"/>
      <c r="J44" s="1117"/>
      <c r="K44" s="1117"/>
      <c r="L44" s="1117"/>
      <c r="M44" s="1117"/>
      <c r="N44" s="1117"/>
      <c r="O44" s="1117"/>
      <c r="P44" s="1117"/>
      <c r="Q44" s="1117"/>
      <c r="R44" s="1117"/>
      <c r="S44" s="1117"/>
      <c r="T44" s="1117"/>
      <c r="U44" s="1117"/>
      <c r="V44" s="1117"/>
      <c r="W44" s="1117"/>
      <c r="X44" s="1117"/>
      <c r="Y44" s="1117"/>
      <c r="Z44" s="1117"/>
      <c r="AA44" s="1117"/>
      <c r="AB44" s="1117"/>
      <c r="AC44" s="1117"/>
      <c r="AD44" s="1117"/>
      <c r="AE44" s="1117"/>
      <c r="AF44" s="1117"/>
      <c r="AG44" s="1117"/>
      <c r="AH44" s="1117"/>
      <c r="AI44" s="1117"/>
      <c r="AJ44" s="1117"/>
      <c r="AK44" s="1117"/>
      <c r="AL44" s="1117"/>
      <c r="AM44" s="1117"/>
      <c r="AN44" s="1117"/>
      <c r="AO44" s="1117"/>
      <c r="AP44" s="1117"/>
      <c r="AQ44" s="1117"/>
      <c r="AR44" s="1117"/>
      <c r="AS44" s="1117"/>
    </row>
    <row r="45" spans="1:45" s="1142" customFormat="1" ht="12" customHeight="1" x14ac:dyDescent="0.2">
      <c r="A45" s="1139" t="s">
        <v>769</v>
      </c>
      <c r="B45" s="1140" t="s">
        <v>770</v>
      </c>
      <c r="C45" s="1157">
        <f t="shared" si="8"/>
        <v>5000</v>
      </c>
      <c r="D45" s="1136">
        <f t="shared" si="9"/>
        <v>5000</v>
      </c>
      <c r="E45" s="1117">
        <v>5000</v>
      </c>
      <c r="F45" s="1117"/>
      <c r="G45" s="1117"/>
      <c r="H45" s="1117"/>
      <c r="I45" s="1117"/>
      <c r="J45" s="1117"/>
      <c r="K45" s="1117"/>
      <c r="L45" s="1117"/>
      <c r="M45" s="1117"/>
      <c r="N45" s="1117"/>
      <c r="O45" s="1117"/>
      <c r="P45" s="1117"/>
      <c r="Q45" s="1117"/>
      <c r="R45" s="1117"/>
      <c r="S45" s="1117"/>
      <c r="T45" s="1117"/>
      <c r="U45" s="1117"/>
      <c r="V45" s="1117"/>
      <c r="W45" s="1117"/>
      <c r="X45" s="1117"/>
      <c r="Y45" s="1117"/>
      <c r="Z45" s="1117"/>
      <c r="AA45" s="1117"/>
      <c r="AB45" s="1117"/>
      <c r="AC45" s="1117"/>
      <c r="AD45" s="1117"/>
      <c r="AE45" s="1117"/>
      <c r="AF45" s="1117"/>
      <c r="AG45" s="1117"/>
      <c r="AH45" s="1117"/>
      <c r="AI45" s="1117"/>
      <c r="AJ45" s="1117"/>
      <c r="AK45" s="1117"/>
      <c r="AL45" s="1117"/>
      <c r="AM45" s="1117"/>
      <c r="AN45" s="1117"/>
      <c r="AO45" s="1117"/>
      <c r="AP45" s="1117"/>
      <c r="AQ45" s="1117"/>
      <c r="AR45" s="1117"/>
      <c r="AS45" s="1117"/>
    </row>
    <row r="46" spans="1:45" s="1142" customFormat="1" ht="12" customHeight="1" x14ac:dyDescent="0.2">
      <c r="A46" s="1139" t="s">
        <v>771</v>
      </c>
      <c r="B46" s="1140" t="s">
        <v>772</v>
      </c>
      <c r="C46" s="1157">
        <f t="shared" si="8"/>
        <v>0</v>
      </c>
      <c r="D46" s="1136">
        <f>C46+30000</f>
        <v>30000</v>
      </c>
      <c r="E46" s="1117"/>
      <c r="F46" s="1117"/>
      <c r="G46" s="1117"/>
      <c r="H46" s="1117"/>
      <c r="I46" s="1117"/>
      <c r="J46" s="1117"/>
      <c r="K46" s="1117"/>
      <c r="L46" s="1117"/>
      <c r="M46" s="1117"/>
      <c r="N46" s="1117"/>
      <c r="O46" s="1117"/>
      <c r="P46" s="1117"/>
      <c r="Q46" s="1117"/>
      <c r="R46" s="1117"/>
      <c r="S46" s="1117"/>
      <c r="T46" s="1117"/>
      <c r="U46" s="1117"/>
      <c r="V46" s="1117"/>
      <c r="W46" s="1117"/>
      <c r="X46" s="1117"/>
      <c r="Y46" s="1117"/>
      <c r="Z46" s="1117"/>
      <c r="AA46" s="1117"/>
      <c r="AB46" s="1117"/>
      <c r="AC46" s="1117"/>
      <c r="AD46" s="1117"/>
      <c r="AE46" s="1117"/>
      <c r="AF46" s="1117"/>
      <c r="AG46" s="1117"/>
      <c r="AH46" s="1117"/>
      <c r="AI46" s="1117"/>
      <c r="AJ46" s="1117"/>
      <c r="AK46" s="1117"/>
      <c r="AL46" s="1117"/>
      <c r="AM46" s="1117"/>
      <c r="AN46" s="1117"/>
      <c r="AO46" s="1117"/>
      <c r="AP46" s="1117"/>
      <c r="AQ46" s="1117"/>
      <c r="AR46" s="1117"/>
      <c r="AS46" s="1117"/>
    </row>
    <row r="47" spans="1:45" s="1142" customFormat="1" ht="12" customHeight="1" thickBot="1" x14ac:dyDescent="0.25">
      <c r="A47" s="1143" t="s">
        <v>773</v>
      </c>
      <c r="B47" s="1144" t="s">
        <v>774</v>
      </c>
      <c r="C47" s="1157">
        <f t="shared" si="8"/>
        <v>150000</v>
      </c>
      <c r="D47" s="1136">
        <f t="shared" si="9"/>
        <v>150000</v>
      </c>
      <c r="E47" s="1117">
        <v>150000</v>
      </c>
      <c r="F47" s="1117"/>
      <c r="G47" s="1117"/>
      <c r="H47" s="1117"/>
      <c r="I47" s="1117"/>
      <c r="J47" s="1117"/>
      <c r="K47" s="1117"/>
      <c r="L47" s="1117"/>
      <c r="M47" s="1117"/>
      <c r="N47" s="1117"/>
      <c r="O47" s="1117"/>
      <c r="P47" s="1117"/>
      <c r="Q47" s="1117"/>
      <c r="R47" s="1117"/>
      <c r="S47" s="1117"/>
      <c r="T47" s="1117"/>
      <c r="U47" s="1117"/>
      <c r="V47" s="1117"/>
      <c r="W47" s="1117"/>
      <c r="X47" s="1117"/>
      <c r="Y47" s="1117"/>
      <c r="Z47" s="1117"/>
      <c r="AA47" s="1117"/>
      <c r="AB47" s="1117"/>
      <c r="AC47" s="1117"/>
      <c r="AD47" s="1117"/>
      <c r="AE47" s="1117"/>
      <c r="AF47" s="1117"/>
      <c r="AG47" s="1117"/>
      <c r="AH47" s="1117"/>
      <c r="AI47" s="1117"/>
      <c r="AJ47" s="1117"/>
      <c r="AK47" s="1117"/>
      <c r="AL47" s="1117"/>
      <c r="AM47" s="1117"/>
      <c r="AN47" s="1117"/>
      <c r="AO47" s="1117"/>
      <c r="AP47" s="1117"/>
      <c r="AQ47" s="1117"/>
      <c r="AR47" s="1117"/>
      <c r="AS47" s="1117"/>
    </row>
    <row r="48" spans="1:45" s="1142" customFormat="1" ht="12" customHeight="1" thickBot="1" x14ac:dyDescent="0.3">
      <c r="A48" s="1128" t="s">
        <v>775</v>
      </c>
      <c r="B48" s="1129" t="s">
        <v>776</v>
      </c>
      <c r="C48" s="1130">
        <f>SUM(C49:C53)</f>
        <v>0</v>
      </c>
      <c r="D48" s="1131">
        <f>SUM(D49:D53)</f>
        <v>160000</v>
      </c>
      <c r="E48" s="1117"/>
      <c r="F48" s="1117"/>
      <c r="G48" s="1117"/>
      <c r="H48" s="1117"/>
      <c r="I48" s="1117"/>
      <c r="J48" s="1117"/>
      <c r="K48" s="1117"/>
      <c r="L48" s="1117"/>
      <c r="M48" s="1117"/>
      <c r="N48" s="1117"/>
      <c r="O48" s="1117"/>
      <c r="P48" s="1117"/>
      <c r="Q48" s="1117"/>
      <c r="R48" s="1117"/>
      <c r="S48" s="1117"/>
      <c r="T48" s="1117"/>
      <c r="U48" s="1117"/>
      <c r="V48" s="1117"/>
      <c r="W48" s="1117"/>
      <c r="X48" s="1117"/>
      <c r="Y48" s="1117"/>
      <c r="Z48" s="1117"/>
      <c r="AA48" s="1117"/>
      <c r="AB48" s="1117"/>
      <c r="AC48" s="1117"/>
      <c r="AD48" s="1117"/>
      <c r="AE48" s="1117"/>
      <c r="AF48" s="1117"/>
      <c r="AG48" s="1117"/>
      <c r="AH48" s="1117"/>
      <c r="AI48" s="1117"/>
      <c r="AJ48" s="1117"/>
      <c r="AK48" s="1117"/>
      <c r="AL48" s="1117"/>
      <c r="AM48" s="1117"/>
      <c r="AN48" s="1117"/>
      <c r="AO48" s="1117"/>
      <c r="AP48" s="1117"/>
      <c r="AQ48" s="1117"/>
      <c r="AR48" s="1117"/>
      <c r="AS48" s="1117"/>
    </row>
    <row r="49" spans="1:45" s="1142" customFormat="1" ht="12" customHeight="1" x14ac:dyDescent="0.2">
      <c r="A49" s="1133" t="s">
        <v>777</v>
      </c>
      <c r="B49" s="1134" t="s">
        <v>778</v>
      </c>
      <c r="C49" s="1160">
        <f>SUM(E49:AS49)</f>
        <v>0</v>
      </c>
      <c r="D49" s="1136">
        <f t="shared" ref="D49:D53" si="10">C49</f>
        <v>0</v>
      </c>
      <c r="E49" s="1117"/>
      <c r="F49" s="1117"/>
      <c r="G49" s="1117"/>
      <c r="H49" s="1117"/>
      <c r="I49" s="1117"/>
      <c r="J49" s="1117"/>
      <c r="K49" s="1117"/>
      <c r="L49" s="1117"/>
      <c r="M49" s="1117"/>
      <c r="N49" s="1117"/>
      <c r="O49" s="1117"/>
      <c r="P49" s="1117"/>
      <c r="Q49" s="1117"/>
      <c r="R49" s="1117"/>
      <c r="S49" s="1117"/>
      <c r="T49" s="1117"/>
      <c r="U49" s="1117"/>
      <c r="V49" s="1117"/>
      <c r="W49" s="1117"/>
      <c r="X49" s="1117"/>
      <c r="Y49" s="1117"/>
      <c r="Z49" s="1117"/>
      <c r="AA49" s="1117"/>
      <c r="AB49" s="1117"/>
      <c r="AC49" s="1117"/>
      <c r="AD49" s="1117"/>
      <c r="AE49" s="1117"/>
      <c r="AF49" s="1117"/>
      <c r="AG49" s="1117"/>
      <c r="AH49" s="1117"/>
      <c r="AI49" s="1117"/>
      <c r="AJ49" s="1117"/>
      <c r="AK49" s="1117"/>
      <c r="AL49" s="1117"/>
      <c r="AM49" s="1117"/>
      <c r="AN49" s="1117"/>
      <c r="AO49" s="1117"/>
      <c r="AP49" s="1117"/>
      <c r="AQ49" s="1117"/>
      <c r="AR49" s="1117"/>
      <c r="AS49" s="1117"/>
    </row>
    <row r="50" spans="1:45" s="1142" customFormat="1" ht="12" customHeight="1" x14ac:dyDescent="0.2">
      <c r="A50" s="1139" t="s">
        <v>779</v>
      </c>
      <c r="B50" s="1140" t="s">
        <v>525</v>
      </c>
      <c r="C50" s="1160">
        <f>SUM(E50:AS50)</f>
        <v>0</v>
      </c>
      <c r="D50" s="1136">
        <f t="shared" si="10"/>
        <v>0</v>
      </c>
      <c r="E50" s="1117"/>
      <c r="F50" s="1117"/>
      <c r="G50" s="1117"/>
      <c r="H50" s="1117"/>
      <c r="I50" s="1117"/>
      <c r="J50" s="1117"/>
      <c r="K50" s="1117"/>
      <c r="L50" s="1117"/>
      <c r="M50" s="1117"/>
      <c r="N50" s="1117"/>
      <c r="O50" s="1117"/>
      <c r="P50" s="1117"/>
      <c r="Q50" s="1117"/>
      <c r="R50" s="1117"/>
      <c r="S50" s="1117"/>
      <c r="T50" s="1117"/>
      <c r="U50" s="1117"/>
      <c r="V50" s="1117"/>
      <c r="W50" s="1117"/>
      <c r="X50" s="1117"/>
      <c r="Y50" s="1117"/>
      <c r="Z50" s="1117"/>
      <c r="AA50" s="1117"/>
      <c r="AB50" s="1117"/>
      <c r="AC50" s="1117"/>
      <c r="AD50" s="1117"/>
      <c r="AE50" s="1117"/>
      <c r="AF50" s="1117"/>
      <c r="AG50" s="1117"/>
      <c r="AH50" s="1117"/>
      <c r="AI50" s="1117"/>
      <c r="AJ50" s="1117"/>
      <c r="AK50" s="1117"/>
      <c r="AL50" s="1117"/>
      <c r="AM50" s="1117"/>
      <c r="AN50" s="1117"/>
      <c r="AO50" s="1117"/>
      <c r="AP50" s="1117"/>
      <c r="AQ50" s="1117"/>
      <c r="AR50" s="1117"/>
      <c r="AS50" s="1117"/>
    </row>
    <row r="51" spans="1:45" s="1142" customFormat="1" ht="12" customHeight="1" x14ac:dyDescent="0.2">
      <c r="A51" s="1139" t="s">
        <v>780</v>
      </c>
      <c r="B51" s="1140" t="s">
        <v>781</v>
      </c>
      <c r="C51" s="1160">
        <f>SUM(E51:AS51)</f>
        <v>0</v>
      </c>
      <c r="D51" s="1136">
        <f>C51+160000</f>
        <v>160000</v>
      </c>
      <c r="E51" s="1117"/>
      <c r="F51" s="1117"/>
      <c r="G51" s="1117"/>
      <c r="H51" s="1117"/>
      <c r="I51" s="1117"/>
      <c r="J51" s="1117"/>
      <c r="K51" s="1117"/>
      <c r="L51" s="1117"/>
      <c r="M51" s="1117"/>
      <c r="N51" s="1117"/>
      <c r="O51" s="1117"/>
      <c r="P51" s="1117"/>
      <c r="Q51" s="1117"/>
      <c r="R51" s="1117"/>
      <c r="S51" s="1117"/>
      <c r="T51" s="1117"/>
      <c r="U51" s="1117"/>
      <c r="V51" s="1117"/>
      <c r="W51" s="1117"/>
      <c r="X51" s="1117"/>
      <c r="Y51" s="1117"/>
      <c r="Z51" s="1117"/>
      <c r="AA51" s="1117"/>
      <c r="AB51" s="1117"/>
      <c r="AC51" s="1117"/>
      <c r="AD51" s="1117"/>
      <c r="AE51" s="1117"/>
      <c r="AF51" s="1117"/>
      <c r="AG51" s="1117"/>
      <c r="AH51" s="1117"/>
      <c r="AI51" s="1117"/>
      <c r="AJ51" s="1117"/>
      <c r="AK51" s="1117"/>
      <c r="AL51" s="1117"/>
      <c r="AM51" s="1117"/>
      <c r="AN51" s="1117"/>
      <c r="AO51" s="1117"/>
      <c r="AP51" s="1117"/>
      <c r="AQ51" s="1117"/>
      <c r="AR51" s="1117"/>
      <c r="AS51" s="1117"/>
    </row>
    <row r="52" spans="1:45" s="1142" customFormat="1" ht="12" customHeight="1" x14ac:dyDescent="0.2">
      <c r="A52" s="1139" t="s">
        <v>782</v>
      </c>
      <c r="B52" s="1140" t="s">
        <v>783</v>
      </c>
      <c r="C52" s="1160">
        <f>SUM(E52:AS52)</f>
        <v>0</v>
      </c>
      <c r="D52" s="1136">
        <f t="shared" si="10"/>
        <v>0</v>
      </c>
      <c r="E52" s="1117"/>
      <c r="F52" s="1117"/>
      <c r="G52" s="1117"/>
      <c r="H52" s="1117"/>
      <c r="I52" s="1117"/>
      <c r="J52" s="1117"/>
      <c r="K52" s="1117"/>
      <c r="L52" s="1117"/>
      <c r="M52" s="1117"/>
      <c r="N52" s="1117"/>
      <c r="O52" s="1117"/>
      <c r="P52" s="1117"/>
      <c r="Q52" s="1117"/>
      <c r="R52" s="1117"/>
      <c r="S52" s="1117"/>
      <c r="T52" s="1117"/>
      <c r="U52" s="1117"/>
      <c r="V52" s="1117"/>
      <c r="W52" s="1117"/>
      <c r="X52" s="1117"/>
      <c r="Y52" s="1117"/>
      <c r="Z52" s="1117"/>
      <c r="AA52" s="1117"/>
      <c r="AB52" s="1117"/>
      <c r="AC52" s="1117"/>
      <c r="AD52" s="1117"/>
      <c r="AE52" s="1117"/>
      <c r="AF52" s="1117"/>
      <c r="AG52" s="1117"/>
      <c r="AH52" s="1117"/>
      <c r="AI52" s="1117"/>
      <c r="AJ52" s="1117"/>
      <c r="AK52" s="1117"/>
      <c r="AL52" s="1117"/>
      <c r="AM52" s="1117"/>
      <c r="AN52" s="1117"/>
      <c r="AO52" s="1117"/>
      <c r="AP52" s="1117"/>
      <c r="AQ52" s="1117"/>
      <c r="AR52" s="1117"/>
      <c r="AS52" s="1117"/>
    </row>
    <row r="53" spans="1:45" s="1142" customFormat="1" ht="12" customHeight="1" thickBot="1" x14ac:dyDescent="0.25">
      <c r="A53" s="1143" t="s">
        <v>784</v>
      </c>
      <c r="B53" s="1144" t="s">
        <v>785</v>
      </c>
      <c r="C53" s="1160">
        <f>SUM(E53:AS53)</f>
        <v>0</v>
      </c>
      <c r="D53" s="1136">
        <f t="shared" si="10"/>
        <v>0</v>
      </c>
      <c r="E53" s="1117"/>
      <c r="F53" s="1117"/>
      <c r="G53" s="1117"/>
      <c r="H53" s="1117"/>
      <c r="I53" s="1117"/>
      <c r="J53" s="1117"/>
      <c r="K53" s="1117"/>
      <c r="L53" s="1117"/>
      <c r="M53" s="1117"/>
      <c r="N53" s="1117"/>
      <c r="O53" s="1117"/>
      <c r="P53" s="1117"/>
      <c r="Q53" s="1117"/>
      <c r="R53" s="1117"/>
      <c r="S53" s="1117"/>
      <c r="T53" s="1117"/>
      <c r="U53" s="1117"/>
      <c r="V53" s="1117"/>
      <c r="W53" s="1117"/>
      <c r="X53" s="1117"/>
      <c r="Y53" s="1117"/>
      <c r="Z53" s="1117"/>
      <c r="AA53" s="1117"/>
      <c r="AB53" s="1117"/>
      <c r="AC53" s="1117"/>
      <c r="AD53" s="1117"/>
      <c r="AE53" s="1117"/>
      <c r="AF53" s="1117"/>
      <c r="AG53" s="1117"/>
      <c r="AH53" s="1117"/>
      <c r="AI53" s="1117"/>
      <c r="AJ53" s="1117"/>
      <c r="AK53" s="1117"/>
      <c r="AL53" s="1117"/>
      <c r="AM53" s="1117"/>
      <c r="AN53" s="1117"/>
      <c r="AO53" s="1117"/>
      <c r="AP53" s="1117"/>
      <c r="AQ53" s="1117"/>
      <c r="AR53" s="1117"/>
      <c r="AS53" s="1117"/>
    </row>
    <row r="54" spans="1:45" s="1142" customFormat="1" ht="12" customHeight="1" thickBot="1" x14ac:dyDescent="0.3">
      <c r="A54" s="1128" t="s">
        <v>786</v>
      </c>
      <c r="B54" s="1129" t="s">
        <v>787</v>
      </c>
      <c r="C54" s="1130">
        <f>SUM(C55:C57)</f>
        <v>0</v>
      </c>
      <c r="D54" s="1131">
        <f>SUM(D55:D57)</f>
        <v>250000</v>
      </c>
      <c r="E54" s="1117"/>
      <c r="F54" s="1117"/>
      <c r="G54" s="1117"/>
      <c r="H54" s="1117"/>
      <c r="I54" s="1117"/>
      <c r="J54" s="1117"/>
      <c r="K54" s="1117"/>
      <c r="L54" s="1117"/>
      <c r="M54" s="1117"/>
      <c r="N54" s="1117"/>
      <c r="O54" s="1117"/>
      <c r="P54" s="1117"/>
      <c r="Q54" s="1117"/>
      <c r="R54" s="1117"/>
      <c r="S54" s="1117"/>
      <c r="T54" s="1117"/>
      <c r="U54" s="1117"/>
      <c r="V54" s="1117"/>
      <c r="W54" s="1117"/>
      <c r="X54" s="1117"/>
      <c r="Y54" s="1117"/>
      <c r="Z54" s="1117"/>
      <c r="AA54" s="1117"/>
      <c r="AB54" s="1117"/>
      <c r="AC54" s="1117"/>
      <c r="AD54" s="1117"/>
      <c r="AE54" s="1117"/>
      <c r="AF54" s="1117"/>
      <c r="AG54" s="1117"/>
      <c r="AH54" s="1117"/>
      <c r="AI54" s="1117"/>
      <c r="AJ54" s="1117"/>
      <c r="AK54" s="1117"/>
      <c r="AL54" s="1117"/>
      <c r="AM54" s="1117"/>
      <c r="AN54" s="1117"/>
      <c r="AO54" s="1117"/>
      <c r="AP54" s="1117"/>
      <c r="AQ54" s="1117"/>
      <c r="AR54" s="1117"/>
      <c r="AS54" s="1117"/>
    </row>
    <row r="55" spans="1:45" s="1142" customFormat="1" ht="12" customHeight="1" x14ac:dyDescent="0.2">
      <c r="A55" s="1133" t="s">
        <v>788</v>
      </c>
      <c r="B55" s="1134" t="s">
        <v>789</v>
      </c>
      <c r="C55" s="1146">
        <f>SUM(E55:AS55)</f>
        <v>0</v>
      </c>
      <c r="D55" s="1136">
        <f t="shared" ref="D55:D58" si="11">C55</f>
        <v>0</v>
      </c>
      <c r="E55" s="1117"/>
      <c r="F55" s="1117"/>
      <c r="G55" s="1117"/>
      <c r="H55" s="1117"/>
      <c r="I55" s="1117"/>
      <c r="J55" s="1117"/>
      <c r="K55" s="1117"/>
      <c r="L55" s="1117"/>
      <c r="M55" s="1117"/>
      <c r="N55" s="1117"/>
      <c r="O55" s="1117"/>
      <c r="P55" s="1117"/>
      <c r="Q55" s="1117"/>
      <c r="R55" s="1117"/>
      <c r="S55" s="1117"/>
      <c r="T55" s="1117"/>
      <c r="U55" s="1117"/>
      <c r="V55" s="1117"/>
      <c r="W55" s="1117"/>
      <c r="X55" s="1117"/>
      <c r="Y55" s="1117"/>
      <c r="Z55" s="1117"/>
      <c r="AA55" s="1117"/>
      <c r="AB55" s="1117"/>
      <c r="AC55" s="1117"/>
      <c r="AD55" s="1117"/>
      <c r="AE55" s="1117"/>
      <c r="AF55" s="1117"/>
      <c r="AG55" s="1117"/>
      <c r="AH55" s="1117"/>
      <c r="AI55" s="1117"/>
      <c r="AJ55" s="1117"/>
      <c r="AK55" s="1117"/>
      <c r="AL55" s="1117"/>
      <c r="AM55" s="1117"/>
      <c r="AN55" s="1117"/>
      <c r="AO55" s="1117"/>
      <c r="AP55" s="1117"/>
      <c r="AQ55" s="1117"/>
      <c r="AR55" s="1117"/>
      <c r="AS55" s="1117"/>
    </row>
    <row r="56" spans="1:45" s="1142" customFormat="1" ht="12" customHeight="1" x14ac:dyDescent="0.2">
      <c r="A56" s="1139" t="s">
        <v>790</v>
      </c>
      <c r="B56" s="1140" t="s">
        <v>791</v>
      </c>
      <c r="C56" s="1146">
        <f>SUM(E56:AS56)</f>
        <v>0</v>
      </c>
      <c r="D56" s="1136">
        <f t="shared" si="11"/>
        <v>0</v>
      </c>
      <c r="E56" s="1117"/>
      <c r="F56" s="1117"/>
      <c r="G56" s="1117"/>
      <c r="H56" s="1117"/>
      <c r="I56" s="1117"/>
      <c r="J56" s="1117"/>
      <c r="K56" s="1117"/>
      <c r="L56" s="1117"/>
      <c r="M56" s="1117"/>
      <c r="N56" s="1117"/>
      <c r="O56" s="1117"/>
      <c r="P56" s="1117"/>
      <c r="Q56" s="1117"/>
      <c r="R56" s="1117"/>
      <c r="S56" s="1117"/>
      <c r="T56" s="1117"/>
      <c r="U56" s="1117"/>
      <c r="V56" s="1117"/>
      <c r="W56" s="1117"/>
      <c r="X56" s="1117"/>
      <c r="Y56" s="1117"/>
      <c r="Z56" s="1117"/>
      <c r="AA56" s="1117"/>
      <c r="AB56" s="1117"/>
      <c r="AC56" s="1117"/>
      <c r="AD56" s="1117"/>
      <c r="AE56" s="1117"/>
      <c r="AF56" s="1117"/>
      <c r="AG56" s="1117"/>
      <c r="AH56" s="1117"/>
      <c r="AI56" s="1117"/>
      <c r="AJ56" s="1117"/>
      <c r="AK56" s="1117"/>
      <c r="AL56" s="1117"/>
      <c r="AM56" s="1117"/>
      <c r="AN56" s="1117"/>
      <c r="AO56" s="1117"/>
      <c r="AP56" s="1117"/>
      <c r="AQ56" s="1117"/>
      <c r="AR56" s="1117"/>
      <c r="AS56" s="1117"/>
    </row>
    <row r="57" spans="1:45" s="1142" customFormat="1" ht="12" customHeight="1" x14ac:dyDescent="0.2">
      <c r="A57" s="1139" t="s">
        <v>792</v>
      </c>
      <c r="B57" s="1140" t="s">
        <v>793</v>
      </c>
      <c r="C57" s="1146">
        <f>SUM(E57:AS57)</f>
        <v>0</v>
      </c>
      <c r="D57" s="1136">
        <f>C57+250000</f>
        <v>250000</v>
      </c>
      <c r="E57" s="1117"/>
      <c r="F57" s="1117"/>
      <c r="G57" s="1117"/>
      <c r="H57" s="1117"/>
      <c r="I57" s="1117"/>
      <c r="J57" s="1117"/>
      <c r="K57" s="1117"/>
      <c r="L57" s="1117"/>
      <c r="M57" s="1117"/>
      <c r="N57" s="1117"/>
      <c r="O57" s="1117"/>
      <c r="P57" s="1117"/>
      <c r="Q57" s="1117"/>
      <c r="R57" s="1117"/>
      <c r="S57" s="1117"/>
      <c r="T57" s="1117"/>
      <c r="U57" s="1117"/>
      <c r="V57" s="1117"/>
      <c r="W57" s="1117"/>
      <c r="X57" s="1117"/>
      <c r="Y57" s="1117"/>
      <c r="Z57" s="1117"/>
      <c r="AA57" s="1117"/>
      <c r="AB57" s="1117"/>
      <c r="AC57" s="1117"/>
      <c r="AD57" s="1117"/>
      <c r="AE57" s="1117"/>
      <c r="AF57" s="1117"/>
      <c r="AG57" s="1117"/>
      <c r="AH57" s="1117"/>
      <c r="AI57" s="1117"/>
      <c r="AJ57" s="1117"/>
      <c r="AK57" s="1117"/>
      <c r="AL57" s="1117"/>
      <c r="AM57" s="1117"/>
      <c r="AN57" s="1117"/>
      <c r="AO57" s="1117"/>
      <c r="AP57" s="1117"/>
      <c r="AQ57" s="1117"/>
      <c r="AR57" s="1117"/>
      <c r="AS57" s="1117"/>
    </row>
    <row r="58" spans="1:45" s="1142" customFormat="1" ht="12" customHeight="1" thickBot="1" x14ac:dyDescent="0.25">
      <c r="A58" s="1143" t="s">
        <v>794</v>
      </c>
      <c r="B58" s="1144" t="s">
        <v>795</v>
      </c>
      <c r="C58" s="1146">
        <f>SUM(E58:AS58)</f>
        <v>0</v>
      </c>
      <c r="D58" s="1136">
        <f t="shared" si="11"/>
        <v>0</v>
      </c>
      <c r="E58" s="1117"/>
      <c r="F58" s="1117"/>
      <c r="G58" s="1117"/>
      <c r="H58" s="1117"/>
      <c r="I58" s="1117"/>
      <c r="J58" s="1117"/>
      <c r="K58" s="1117"/>
      <c r="L58" s="1117"/>
      <c r="M58" s="1117"/>
      <c r="N58" s="1117"/>
      <c r="O58" s="1117"/>
      <c r="P58" s="1117"/>
      <c r="Q58" s="1117"/>
      <c r="R58" s="1117"/>
      <c r="S58" s="1117"/>
      <c r="T58" s="1117"/>
      <c r="U58" s="1117"/>
      <c r="V58" s="1117"/>
      <c r="W58" s="1117"/>
      <c r="X58" s="1117"/>
      <c r="Y58" s="1117"/>
      <c r="Z58" s="1117"/>
      <c r="AA58" s="1117"/>
      <c r="AB58" s="1117"/>
      <c r="AC58" s="1117"/>
      <c r="AD58" s="1117"/>
      <c r="AE58" s="1117"/>
      <c r="AF58" s="1117"/>
      <c r="AG58" s="1117"/>
      <c r="AH58" s="1117"/>
      <c r="AI58" s="1117"/>
      <c r="AJ58" s="1117"/>
      <c r="AK58" s="1117"/>
      <c r="AL58" s="1117"/>
      <c r="AM58" s="1117"/>
      <c r="AN58" s="1117"/>
      <c r="AO58" s="1117"/>
      <c r="AP58" s="1117"/>
      <c r="AQ58" s="1117"/>
      <c r="AR58" s="1117"/>
      <c r="AS58" s="1117"/>
    </row>
    <row r="59" spans="1:45" s="1142" customFormat="1" ht="12" customHeight="1" thickBot="1" x14ac:dyDescent="0.3">
      <c r="A59" s="1128" t="s">
        <v>796</v>
      </c>
      <c r="B59" s="1145" t="s">
        <v>797</v>
      </c>
      <c r="C59" s="1130">
        <f>SUM(C60:C62)</f>
        <v>0</v>
      </c>
      <c r="D59" s="1162">
        <f>SUM(D60:D62)</f>
        <v>0</v>
      </c>
      <c r="E59" s="1117"/>
      <c r="F59" s="1117"/>
      <c r="G59" s="1117"/>
      <c r="H59" s="1117"/>
      <c r="I59" s="1117"/>
      <c r="J59" s="1117"/>
      <c r="K59" s="1117"/>
      <c r="L59" s="1117"/>
      <c r="M59" s="1117"/>
      <c r="N59" s="1117"/>
      <c r="O59" s="1117"/>
      <c r="P59" s="1117"/>
      <c r="Q59" s="1117"/>
      <c r="R59" s="1117"/>
      <c r="S59" s="1117"/>
      <c r="T59" s="1117"/>
      <c r="U59" s="1117"/>
      <c r="V59" s="1117"/>
      <c r="W59" s="1117"/>
      <c r="X59" s="1117"/>
      <c r="Y59" s="1117"/>
      <c r="Z59" s="1117"/>
      <c r="AA59" s="1117"/>
      <c r="AB59" s="1117"/>
      <c r="AC59" s="1117"/>
      <c r="AD59" s="1117"/>
      <c r="AE59" s="1117"/>
      <c r="AF59" s="1117"/>
      <c r="AG59" s="1117"/>
      <c r="AH59" s="1117"/>
      <c r="AI59" s="1117"/>
      <c r="AJ59" s="1117"/>
      <c r="AK59" s="1117"/>
      <c r="AL59" s="1117"/>
      <c r="AM59" s="1117"/>
      <c r="AN59" s="1117"/>
      <c r="AO59" s="1117"/>
      <c r="AP59" s="1117"/>
      <c r="AQ59" s="1117"/>
      <c r="AR59" s="1117"/>
      <c r="AS59" s="1117"/>
    </row>
    <row r="60" spans="1:45" s="1142" customFormat="1" ht="12" customHeight="1" x14ac:dyDescent="0.2">
      <c r="A60" s="1133" t="s">
        <v>798</v>
      </c>
      <c r="B60" s="1134" t="s">
        <v>799</v>
      </c>
      <c r="C60" s="1163">
        <f>SUM(E60:AS60)</f>
        <v>0</v>
      </c>
      <c r="D60" s="1136">
        <f t="shared" ref="D60:D63" si="12">C60</f>
        <v>0</v>
      </c>
      <c r="E60" s="1117"/>
      <c r="F60" s="1117"/>
      <c r="G60" s="1117"/>
      <c r="H60" s="1117"/>
      <c r="I60" s="1117"/>
      <c r="J60" s="1117"/>
      <c r="K60" s="1117"/>
      <c r="L60" s="1117"/>
      <c r="M60" s="1117"/>
      <c r="N60" s="1117"/>
      <c r="O60" s="1117"/>
      <c r="P60" s="1117"/>
      <c r="Q60" s="1117"/>
      <c r="R60" s="1117"/>
      <c r="S60" s="1117"/>
      <c r="T60" s="1117"/>
      <c r="U60" s="1117"/>
      <c r="V60" s="1117"/>
      <c r="W60" s="1117"/>
      <c r="X60" s="1117"/>
      <c r="Y60" s="1117"/>
      <c r="Z60" s="1117"/>
      <c r="AA60" s="1117"/>
      <c r="AB60" s="1117"/>
      <c r="AC60" s="1117"/>
      <c r="AD60" s="1117"/>
      <c r="AE60" s="1117"/>
      <c r="AF60" s="1117"/>
      <c r="AG60" s="1117"/>
      <c r="AH60" s="1117"/>
      <c r="AI60" s="1117"/>
      <c r="AJ60" s="1117"/>
      <c r="AK60" s="1117"/>
      <c r="AL60" s="1117"/>
      <c r="AM60" s="1117"/>
      <c r="AN60" s="1117"/>
      <c r="AO60" s="1117"/>
      <c r="AP60" s="1117"/>
      <c r="AQ60" s="1117"/>
      <c r="AR60" s="1117"/>
      <c r="AS60" s="1117"/>
    </row>
    <row r="61" spans="1:45" s="1142" customFormat="1" ht="12" customHeight="1" x14ac:dyDescent="0.2">
      <c r="A61" s="1139" t="s">
        <v>800</v>
      </c>
      <c r="B61" s="1140" t="s">
        <v>801</v>
      </c>
      <c r="C61" s="1163">
        <f>SUM(E61:AS61)</f>
        <v>0</v>
      </c>
      <c r="D61" s="1136">
        <f t="shared" si="12"/>
        <v>0</v>
      </c>
      <c r="E61" s="1117"/>
      <c r="F61" s="1117"/>
      <c r="G61" s="1117"/>
      <c r="H61" s="1117"/>
      <c r="I61" s="1117"/>
      <c r="J61" s="1117"/>
      <c r="K61" s="1117"/>
      <c r="L61" s="1117"/>
      <c r="M61" s="1117"/>
      <c r="N61" s="1117"/>
      <c r="O61" s="1117"/>
      <c r="P61" s="1117"/>
      <c r="Q61" s="1117"/>
      <c r="R61" s="1117"/>
      <c r="S61" s="1117"/>
      <c r="T61" s="1117"/>
      <c r="U61" s="1117"/>
      <c r="V61" s="1117"/>
      <c r="W61" s="1117"/>
      <c r="X61" s="1117"/>
      <c r="Y61" s="1117"/>
      <c r="Z61" s="1117"/>
      <c r="AA61" s="1117"/>
      <c r="AB61" s="1117"/>
      <c r="AC61" s="1117"/>
      <c r="AD61" s="1117"/>
      <c r="AE61" s="1117"/>
      <c r="AF61" s="1117"/>
      <c r="AG61" s="1117"/>
      <c r="AH61" s="1117"/>
      <c r="AI61" s="1117"/>
      <c r="AJ61" s="1117"/>
      <c r="AK61" s="1117"/>
      <c r="AL61" s="1117"/>
      <c r="AM61" s="1117"/>
      <c r="AN61" s="1117"/>
      <c r="AO61" s="1117"/>
      <c r="AP61" s="1117"/>
      <c r="AQ61" s="1117"/>
      <c r="AR61" s="1117"/>
      <c r="AS61" s="1117"/>
    </row>
    <row r="62" spans="1:45" s="1142" customFormat="1" ht="12" customHeight="1" x14ac:dyDescent="0.2">
      <c r="A62" s="1139" t="s">
        <v>802</v>
      </c>
      <c r="B62" s="1140" t="s">
        <v>803</v>
      </c>
      <c r="C62" s="1163">
        <f>SUM(E62:AS62)</f>
        <v>0</v>
      </c>
      <c r="D62" s="1136">
        <f t="shared" si="12"/>
        <v>0</v>
      </c>
      <c r="E62" s="1117"/>
      <c r="F62" s="1117"/>
      <c r="G62" s="1117"/>
      <c r="H62" s="1117"/>
      <c r="I62" s="1117"/>
      <c r="J62" s="1117"/>
      <c r="K62" s="1117"/>
      <c r="L62" s="1117"/>
      <c r="M62" s="1117"/>
      <c r="N62" s="1117"/>
      <c r="O62" s="1117"/>
      <c r="P62" s="1117"/>
      <c r="Q62" s="1117"/>
      <c r="R62" s="1117"/>
      <c r="S62" s="1117"/>
      <c r="T62" s="1117"/>
      <c r="U62" s="1117"/>
      <c r="V62" s="1117"/>
      <c r="W62" s="1117"/>
      <c r="X62" s="1117"/>
      <c r="Y62" s="1117"/>
      <c r="Z62" s="1117"/>
      <c r="AA62" s="1117"/>
      <c r="AB62" s="1117"/>
      <c r="AC62" s="1117"/>
      <c r="AD62" s="1117"/>
      <c r="AE62" s="1117"/>
      <c r="AF62" s="1117"/>
      <c r="AG62" s="1117"/>
      <c r="AH62" s="1117"/>
      <c r="AI62" s="1117"/>
      <c r="AJ62" s="1117"/>
      <c r="AK62" s="1117"/>
      <c r="AL62" s="1117"/>
      <c r="AM62" s="1117"/>
      <c r="AN62" s="1117"/>
      <c r="AO62" s="1117"/>
      <c r="AP62" s="1117"/>
      <c r="AQ62" s="1117"/>
      <c r="AR62" s="1117"/>
      <c r="AS62" s="1117"/>
    </row>
    <row r="63" spans="1:45" s="1142" customFormat="1" ht="12" customHeight="1" thickBot="1" x14ac:dyDescent="0.25">
      <c r="A63" s="1143" t="s">
        <v>804</v>
      </c>
      <c r="B63" s="1144" t="s">
        <v>805</v>
      </c>
      <c r="C63" s="1163">
        <f>SUM(E63:AS63)</f>
        <v>0</v>
      </c>
      <c r="D63" s="1136">
        <f t="shared" si="12"/>
        <v>0</v>
      </c>
      <c r="E63" s="1117"/>
      <c r="F63" s="1117"/>
      <c r="G63" s="1117"/>
      <c r="H63" s="1117"/>
      <c r="I63" s="1117"/>
      <c r="J63" s="1117"/>
      <c r="K63" s="1117"/>
      <c r="L63" s="1117"/>
      <c r="M63" s="1117"/>
      <c r="N63" s="1117"/>
      <c r="O63" s="1117"/>
      <c r="P63" s="1117"/>
      <c r="Q63" s="1117"/>
      <c r="R63" s="1117"/>
      <c r="S63" s="1117"/>
      <c r="T63" s="1117"/>
      <c r="U63" s="1117"/>
      <c r="V63" s="1117"/>
      <c r="W63" s="1117"/>
      <c r="X63" s="1117"/>
      <c r="Y63" s="1117"/>
      <c r="Z63" s="1117"/>
      <c r="AA63" s="1117"/>
      <c r="AB63" s="1117"/>
      <c r="AC63" s="1117"/>
      <c r="AD63" s="1117"/>
      <c r="AE63" s="1117"/>
      <c r="AF63" s="1117"/>
      <c r="AG63" s="1117"/>
      <c r="AH63" s="1117"/>
      <c r="AI63" s="1117"/>
      <c r="AJ63" s="1117"/>
      <c r="AK63" s="1117"/>
      <c r="AL63" s="1117"/>
      <c r="AM63" s="1117"/>
      <c r="AN63" s="1117"/>
      <c r="AO63" s="1117"/>
      <c r="AP63" s="1117"/>
      <c r="AQ63" s="1117"/>
      <c r="AR63" s="1117"/>
      <c r="AS63" s="1117"/>
    </row>
    <row r="64" spans="1:45" s="1142" customFormat="1" ht="12" customHeight="1" thickBot="1" x14ac:dyDescent="0.3">
      <c r="A64" s="1128" t="s">
        <v>806</v>
      </c>
      <c r="B64" s="1129" t="s">
        <v>807</v>
      </c>
      <c r="C64" s="1150">
        <f>+C8+C15+C22+C29+C37+C48+C54+C59</f>
        <v>286426886</v>
      </c>
      <c r="D64" s="1151">
        <f>+D8+D15+D22+D29+D37+D48+D54+D59</f>
        <v>283722489</v>
      </c>
      <c r="E64" s="1117"/>
      <c r="F64" s="1117"/>
      <c r="G64" s="1117"/>
      <c r="H64" s="1117"/>
      <c r="I64" s="1117"/>
      <c r="J64" s="1117"/>
      <c r="K64" s="1117"/>
      <c r="L64" s="1117"/>
      <c r="M64" s="1117"/>
      <c r="N64" s="1117"/>
      <c r="O64" s="1117"/>
      <c r="P64" s="1117"/>
      <c r="Q64" s="1117"/>
      <c r="R64" s="1117"/>
      <c r="S64" s="1117"/>
      <c r="T64" s="1117"/>
      <c r="U64" s="1117"/>
      <c r="V64" s="1117"/>
      <c r="W64" s="1117"/>
      <c r="X64" s="1117"/>
      <c r="Y64" s="1117"/>
      <c r="Z64" s="1117"/>
      <c r="AA64" s="1117"/>
      <c r="AB64" s="1117"/>
      <c r="AC64" s="1117"/>
      <c r="AD64" s="1117"/>
      <c r="AE64" s="1117"/>
      <c r="AF64" s="1117"/>
      <c r="AG64" s="1117"/>
      <c r="AH64" s="1117"/>
      <c r="AI64" s="1117"/>
      <c r="AJ64" s="1117"/>
      <c r="AK64" s="1117"/>
      <c r="AL64" s="1117"/>
      <c r="AM64" s="1117"/>
      <c r="AN64" s="1117"/>
      <c r="AO64" s="1117"/>
      <c r="AP64" s="1117"/>
      <c r="AQ64" s="1117"/>
      <c r="AR64" s="1117"/>
      <c r="AS64" s="1117"/>
    </row>
    <row r="65" spans="1:45" s="1142" customFormat="1" ht="12" customHeight="1" thickBot="1" x14ac:dyDescent="0.2">
      <c r="A65" s="1164" t="s">
        <v>808</v>
      </c>
      <c r="B65" s="1145" t="s">
        <v>809</v>
      </c>
      <c r="C65" s="1130">
        <f>SUM(C66:C68)</f>
        <v>0</v>
      </c>
      <c r="D65" s="1131">
        <f>SUM(D66:D68)</f>
        <v>0</v>
      </c>
      <c r="E65" s="1117"/>
      <c r="F65" s="1117"/>
      <c r="G65" s="1117"/>
      <c r="H65" s="1117"/>
      <c r="I65" s="1117"/>
      <c r="J65" s="1117"/>
      <c r="K65" s="1117"/>
      <c r="L65" s="1117"/>
      <c r="M65" s="1117"/>
      <c r="N65" s="1117"/>
      <c r="O65" s="1117"/>
      <c r="P65" s="1117"/>
      <c r="Q65" s="1117"/>
      <c r="R65" s="1117"/>
      <c r="S65" s="1117"/>
      <c r="T65" s="1117"/>
      <c r="U65" s="1117"/>
      <c r="V65" s="1117"/>
      <c r="W65" s="1117"/>
      <c r="X65" s="1117"/>
      <c r="Y65" s="1117"/>
      <c r="Z65" s="1117"/>
      <c r="AA65" s="1117"/>
      <c r="AB65" s="1117"/>
      <c r="AC65" s="1117"/>
      <c r="AD65" s="1117"/>
      <c r="AE65" s="1117"/>
      <c r="AF65" s="1117"/>
      <c r="AG65" s="1117"/>
      <c r="AH65" s="1117"/>
      <c r="AI65" s="1117"/>
      <c r="AJ65" s="1117"/>
      <c r="AK65" s="1117"/>
      <c r="AL65" s="1117"/>
      <c r="AM65" s="1117"/>
      <c r="AN65" s="1117"/>
      <c r="AO65" s="1117"/>
      <c r="AP65" s="1117"/>
      <c r="AQ65" s="1117"/>
      <c r="AR65" s="1117"/>
      <c r="AS65" s="1117"/>
    </row>
    <row r="66" spans="1:45" s="1142" customFormat="1" ht="12" customHeight="1" x14ac:dyDescent="0.2">
      <c r="A66" s="1133" t="s">
        <v>810</v>
      </c>
      <c r="B66" s="1134" t="s">
        <v>811</v>
      </c>
      <c r="C66" s="1163">
        <f>SUM(E66:AS66)</f>
        <v>0</v>
      </c>
      <c r="D66" s="1136">
        <f t="shared" ref="D66:D68" si="13">C66</f>
        <v>0</v>
      </c>
      <c r="E66" s="1117"/>
      <c r="F66" s="1117"/>
      <c r="G66" s="1117"/>
      <c r="H66" s="1117"/>
      <c r="I66" s="1117"/>
      <c r="J66" s="1117"/>
      <c r="K66" s="1117"/>
      <c r="L66" s="1117"/>
      <c r="M66" s="1117"/>
      <c r="N66" s="1117"/>
      <c r="O66" s="1117"/>
      <c r="P66" s="1117"/>
      <c r="Q66" s="1117"/>
      <c r="R66" s="1117"/>
      <c r="S66" s="1117"/>
      <c r="T66" s="1117"/>
      <c r="U66" s="1117"/>
      <c r="V66" s="1117"/>
      <c r="W66" s="1117"/>
      <c r="X66" s="1117"/>
      <c r="Y66" s="1117"/>
      <c r="Z66" s="1117"/>
      <c r="AA66" s="1117"/>
      <c r="AB66" s="1117"/>
      <c r="AC66" s="1117"/>
      <c r="AD66" s="1117"/>
      <c r="AE66" s="1117"/>
      <c r="AF66" s="1117"/>
      <c r="AG66" s="1117"/>
      <c r="AH66" s="1117"/>
      <c r="AI66" s="1117"/>
      <c r="AJ66" s="1117"/>
      <c r="AK66" s="1117"/>
      <c r="AL66" s="1117"/>
      <c r="AM66" s="1117"/>
      <c r="AN66" s="1117"/>
      <c r="AO66" s="1117"/>
      <c r="AP66" s="1117"/>
      <c r="AQ66" s="1117"/>
      <c r="AR66" s="1117"/>
      <c r="AS66" s="1117"/>
    </row>
    <row r="67" spans="1:45" s="1142" customFormat="1" ht="12" customHeight="1" x14ac:dyDescent="0.2">
      <c r="A67" s="1139" t="s">
        <v>812</v>
      </c>
      <c r="B67" s="1140" t="s">
        <v>813</v>
      </c>
      <c r="C67" s="1163">
        <f>SUM(E67:AS67)</f>
        <v>0</v>
      </c>
      <c r="D67" s="1136">
        <f t="shared" si="13"/>
        <v>0</v>
      </c>
      <c r="E67" s="1117"/>
      <c r="F67" s="1117"/>
      <c r="G67" s="1117"/>
      <c r="H67" s="1117"/>
      <c r="I67" s="1117"/>
      <c r="J67" s="1117"/>
      <c r="K67" s="1117"/>
      <c r="L67" s="1117"/>
      <c r="M67" s="1117"/>
      <c r="N67" s="1117"/>
      <c r="O67" s="1117"/>
      <c r="P67" s="1117"/>
      <c r="Q67" s="1117"/>
      <c r="R67" s="1117"/>
      <c r="S67" s="1117"/>
      <c r="T67" s="1117"/>
      <c r="U67" s="1117"/>
      <c r="V67" s="1117"/>
      <c r="W67" s="1117"/>
      <c r="X67" s="1117"/>
      <c r="Y67" s="1117"/>
      <c r="Z67" s="1117"/>
      <c r="AA67" s="1117"/>
      <c r="AB67" s="1117"/>
      <c r="AC67" s="1117"/>
      <c r="AD67" s="1117"/>
      <c r="AE67" s="1117"/>
      <c r="AF67" s="1117"/>
      <c r="AG67" s="1117"/>
      <c r="AH67" s="1117"/>
      <c r="AI67" s="1117"/>
      <c r="AJ67" s="1117"/>
      <c r="AK67" s="1117"/>
      <c r="AL67" s="1117"/>
      <c r="AM67" s="1117"/>
      <c r="AN67" s="1117"/>
      <c r="AO67" s="1117"/>
      <c r="AP67" s="1117"/>
      <c r="AQ67" s="1117"/>
      <c r="AR67" s="1117"/>
      <c r="AS67" s="1117"/>
    </row>
    <row r="68" spans="1:45" s="1142" customFormat="1" ht="12" customHeight="1" thickBot="1" x14ac:dyDescent="0.25">
      <c r="A68" s="1143" t="s">
        <v>814</v>
      </c>
      <c r="B68" s="1165" t="s">
        <v>815</v>
      </c>
      <c r="C68" s="1163">
        <f>SUM(E68:AS68)</f>
        <v>0</v>
      </c>
      <c r="D68" s="1136">
        <f t="shared" si="13"/>
        <v>0</v>
      </c>
      <c r="E68" s="1117"/>
      <c r="F68" s="1117"/>
      <c r="G68" s="1117"/>
      <c r="H68" s="1117"/>
      <c r="I68" s="1117"/>
      <c r="J68" s="1117"/>
      <c r="K68" s="1117"/>
      <c r="L68" s="1117"/>
      <c r="M68" s="1117"/>
      <c r="N68" s="1117"/>
      <c r="O68" s="1117"/>
      <c r="P68" s="1117"/>
      <c r="Q68" s="1117"/>
      <c r="R68" s="1117"/>
      <c r="S68" s="1117"/>
      <c r="T68" s="1117"/>
      <c r="U68" s="1117"/>
      <c r="V68" s="1117"/>
      <c r="W68" s="1117"/>
      <c r="X68" s="1117"/>
      <c r="Y68" s="1117"/>
      <c r="Z68" s="1117"/>
      <c r="AA68" s="1117"/>
      <c r="AB68" s="1117"/>
      <c r="AC68" s="1117"/>
      <c r="AD68" s="1117"/>
      <c r="AE68" s="1117"/>
      <c r="AF68" s="1117"/>
      <c r="AG68" s="1117"/>
      <c r="AH68" s="1117"/>
      <c r="AI68" s="1117"/>
      <c r="AJ68" s="1117"/>
      <c r="AK68" s="1117"/>
      <c r="AL68" s="1117"/>
      <c r="AM68" s="1117"/>
      <c r="AN68" s="1117"/>
      <c r="AO68" s="1117"/>
      <c r="AP68" s="1117"/>
      <c r="AQ68" s="1117"/>
      <c r="AR68" s="1117"/>
      <c r="AS68" s="1117"/>
    </row>
    <row r="69" spans="1:45" s="1142" customFormat="1" ht="12" customHeight="1" thickBot="1" x14ac:dyDescent="0.2">
      <c r="A69" s="1164" t="s">
        <v>816</v>
      </c>
      <c r="B69" s="1145" t="s">
        <v>817</v>
      </c>
      <c r="C69" s="1130">
        <f>SUM(C70:C73)</f>
        <v>0</v>
      </c>
      <c r="D69" s="1131">
        <f>SUM(D70:D73)</f>
        <v>0</v>
      </c>
      <c r="E69" s="1117"/>
      <c r="F69" s="1117"/>
      <c r="G69" s="1117"/>
      <c r="H69" s="1117"/>
      <c r="I69" s="1117"/>
      <c r="J69" s="1117"/>
      <c r="K69" s="1117"/>
      <c r="L69" s="1117"/>
      <c r="M69" s="1117"/>
      <c r="N69" s="1117"/>
      <c r="O69" s="1117"/>
      <c r="P69" s="1117"/>
      <c r="Q69" s="1117"/>
      <c r="R69" s="1117"/>
      <c r="S69" s="1117"/>
      <c r="T69" s="1117"/>
      <c r="U69" s="1117"/>
      <c r="V69" s="1117"/>
      <c r="W69" s="1117"/>
      <c r="X69" s="1117"/>
      <c r="Y69" s="1117"/>
      <c r="Z69" s="1117"/>
      <c r="AA69" s="1117"/>
      <c r="AB69" s="1117"/>
      <c r="AC69" s="1117"/>
      <c r="AD69" s="1117"/>
      <c r="AE69" s="1117"/>
      <c r="AF69" s="1117"/>
      <c r="AG69" s="1117"/>
      <c r="AH69" s="1117"/>
      <c r="AI69" s="1117"/>
      <c r="AJ69" s="1117"/>
      <c r="AK69" s="1117"/>
      <c r="AL69" s="1117"/>
      <c r="AM69" s="1117"/>
      <c r="AN69" s="1117"/>
      <c r="AO69" s="1117"/>
      <c r="AP69" s="1117"/>
      <c r="AQ69" s="1117"/>
      <c r="AR69" s="1117"/>
      <c r="AS69" s="1117"/>
    </row>
    <row r="70" spans="1:45" s="1142" customFormat="1" ht="12" customHeight="1" x14ac:dyDescent="0.2">
      <c r="A70" s="1190" t="s">
        <v>818</v>
      </c>
      <c r="B70" s="1706" t="s">
        <v>819</v>
      </c>
      <c r="C70" s="1707">
        <f>SUM(E70:AS70)</f>
        <v>0</v>
      </c>
      <c r="D70" s="1705">
        <f t="shared" ref="D70:D73" si="14">C70</f>
        <v>0</v>
      </c>
      <c r="E70" s="1117"/>
      <c r="F70" s="1117"/>
      <c r="G70" s="1117"/>
      <c r="H70" s="1117"/>
      <c r="I70" s="1117"/>
      <c r="J70" s="1117"/>
      <c r="K70" s="1117"/>
      <c r="L70" s="1117"/>
      <c r="M70" s="1117"/>
      <c r="N70" s="1117"/>
      <c r="O70" s="1117"/>
      <c r="P70" s="1117"/>
      <c r="Q70" s="1117"/>
      <c r="R70" s="1117"/>
      <c r="S70" s="1117"/>
      <c r="T70" s="1117"/>
      <c r="U70" s="1117"/>
      <c r="V70" s="1117"/>
      <c r="W70" s="1117"/>
      <c r="X70" s="1117"/>
      <c r="Y70" s="1117"/>
      <c r="Z70" s="1117"/>
      <c r="AA70" s="1117"/>
      <c r="AB70" s="1117"/>
      <c r="AC70" s="1117"/>
      <c r="AD70" s="1117"/>
      <c r="AE70" s="1117"/>
      <c r="AF70" s="1117"/>
      <c r="AG70" s="1117"/>
      <c r="AH70" s="1117"/>
      <c r="AI70" s="1117"/>
      <c r="AJ70" s="1117"/>
      <c r="AK70" s="1117"/>
      <c r="AL70" s="1117"/>
      <c r="AM70" s="1117"/>
      <c r="AN70" s="1117"/>
      <c r="AO70" s="1117"/>
      <c r="AP70" s="1117"/>
      <c r="AQ70" s="1117"/>
      <c r="AR70" s="1117"/>
      <c r="AS70" s="1117"/>
    </row>
    <row r="71" spans="1:45" s="1142" customFormat="1" ht="12" customHeight="1" x14ac:dyDescent="0.2">
      <c r="A71" s="1139" t="s">
        <v>820</v>
      </c>
      <c r="B71" s="1140" t="s">
        <v>821</v>
      </c>
      <c r="C71" s="1163">
        <f>SUM(E71:AS71)</f>
        <v>0</v>
      </c>
      <c r="D71" s="1136">
        <f t="shared" si="14"/>
        <v>0</v>
      </c>
      <c r="E71" s="1117"/>
      <c r="F71" s="1117"/>
      <c r="G71" s="1117"/>
      <c r="H71" s="1117"/>
      <c r="I71" s="1117"/>
      <c r="J71" s="1117"/>
      <c r="K71" s="1117"/>
      <c r="L71" s="1117"/>
      <c r="M71" s="1117"/>
      <c r="N71" s="1117"/>
      <c r="O71" s="1117"/>
      <c r="P71" s="1117"/>
      <c r="Q71" s="1117"/>
      <c r="R71" s="1117"/>
      <c r="S71" s="1117"/>
      <c r="T71" s="1117"/>
      <c r="U71" s="1117"/>
      <c r="V71" s="1117"/>
      <c r="W71" s="1117"/>
      <c r="X71" s="1117"/>
      <c r="Y71" s="1117"/>
      <c r="Z71" s="1117"/>
      <c r="AA71" s="1117"/>
      <c r="AB71" s="1117"/>
      <c r="AC71" s="1117"/>
      <c r="AD71" s="1117"/>
      <c r="AE71" s="1117"/>
      <c r="AF71" s="1117"/>
      <c r="AG71" s="1117"/>
      <c r="AH71" s="1117"/>
      <c r="AI71" s="1117"/>
      <c r="AJ71" s="1117"/>
      <c r="AK71" s="1117"/>
      <c r="AL71" s="1117"/>
      <c r="AM71" s="1117"/>
      <c r="AN71" s="1117"/>
      <c r="AO71" s="1117"/>
      <c r="AP71" s="1117"/>
      <c r="AQ71" s="1117"/>
      <c r="AR71" s="1117"/>
      <c r="AS71" s="1117"/>
    </row>
    <row r="72" spans="1:45" s="1142" customFormat="1" ht="12" customHeight="1" x14ac:dyDescent="0.2">
      <c r="A72" s="1139" t="s">
        <v>822</v>
      </c>
      <c r="B72" s="1140" t="s">
        <v>823</v>
      </c>
      <c r="C72" s="1163">
        <f>SUM(E72:AS72)</f>
        <v>0</v>
      </c>
      <c r="D72" s="1136">
        <f t="shared" si="14"/>
        <v>0</v>
      </c>
      <c r="E72" s="1117"/>
      <c r="F72" s="1117"/>
      <c r="G72" s="1117"/>
      <c r="H72" s="1117"/>
      <c r="I72" s="1117"/>
      <c r="J72" s="1117"/>
      <c r="K72" s="1117"/>
      <c r="L72" s="1117"/>
      <c r="M72" s="1117"/>
      <c r="N72" s="1117"/>
      <c r="O72" s="1117"/>
      <c r="P72" s="1117"/>
      <c r="Q72" s="1117"/>
      <c r="R72" s="1117"/>
      <c r="S72" s="1117"/>
      <c r="T72" s="1117"/>
      <c r="U72" s="1117"/>
      <c r="V72" s="1117"/>
      <c r="W72" s="1117"/>
      <c r="X72" s="1117"/>
      <c r="Y72" s="1117"/>
      <c r="Z72" s="1117"/>
      <c r="AA72" s="1117"/>
      <c r="AB72" s="1117"/>
      <c r="AC72" s="1117"/>
      <c r="AD72" s="1117"/>
      <c r="AE72" s="1117"/>
      <c r="AF72" s="1117"/>
      <c r="AG72" s="1117"/>
      <c r="AH72" s="1117"/>
      <c r="AI72" s="1117"/>
      <c r="AJ72" s="1117"/>
      <c r="AK72" s="1117"/>
      <c r="AL72" s="1117"/>
      <c r="AM72" s="1117"/>
      <c r="AN72" s="1117"/>
      <c r="AO72" s="1117"/>
      <c r="AP72" s="1117"/>
      <c r="AQ72" s="1117"/>
      <c r="AR72" s="1117"/>
      <c r="AS72" s="1117"/>
    </row>
    <row r="73" spans="1:45" s="1142" customFormat="1" ht="12" customHeight="1" thickBot="1" x14ac:dyDescent="0.25">
      <c r="A73" s="1166" t="s">
        <v>824</v>
      </c>
      <c r="B73" s="1167" t="s">
        <v>825</v>
      </c>
      <c r="C73" s="1163">
        <f>SUM(E73:AS73)</f>
        <v>0</v>
      </c>
      <c r="D73" s="1136">
        <f t="shared" si="14"/>
        <v>0</v>
      </c>
      <c r="E73" s="1117"/>
      <c r="F73" s="1117"/>
      <c r="G73" s="1117"/>
      <c r="H73" s="1117"/>
      <c r="I73" s="1117"/>
      <c r="J73" s="1117"/>
      <c r="K73" s="1117"/>
      <c r="L73" s="1117"/>
      <c r="M73" s="1117"/>
      <c r="N73" s="1117"/>
      <c r="O73" s="1117"/>
      <c r="P73" s="1117"/>
      <c r="Q73" s="1117"/>
      <c r="R73" s="1117"/>
      <c r="S73" s="1117"/>
      <c r="T73" s="1117"/>
      <c r="U73" s="1117"/>
      <c r="V73" s="1117"/>
      <c r="W73" s="1117"/>
      <c r="X73" s="1117"/>
      <c r="Y73" s="1117"/>
      <c r="Z73" s="1117"/>
      <c r="AA73" s="1117"/>
      <c r="AB73" s="1117"/>
      <c r="AC73" s="1117"/>
      <c r="AD73" s="1117"/>
      <c r="AE73" s="1117"/>
      <c r="AF73" s="1117"/>
      <c r="AG73" s="1117"/>
      <c r="AH73" s="1117"/>
      <c r="AI73" s="1117"/>
      <c r="AJ73" s="1117"/>
      <c r="AK73" s="1117"/>
      <c r="AL73" s="1117"/>
      <c r="AM73" s="1117"/>
      <c r="AN73" s="1117"/>
      <c r="AO73" s="1117"/>
      <c r="AP73" s="1117"/>
      <c r="AQ73" s="1117"/>
      <c r="AR73" s="1117"/>
      <c r="AS73" s="1117"/>
    </row>
    <row r="74" spans="1:45" s="1142" customFormat="1" ht="12" customHeight="1" thickBot="1" x14ac:dyDescent="0.2">
      <c r="A74" s="1164" t="s">
        <v>826</v>
      </c>
      <c r="B74" s="1145" t="s">
        <v>827</v>
      </c>
      <c r="C74" s="1130">
        <f>SUM(C75:C76)</f>
        <v>97354513</v>
      </c>
      <c r="D74" s="1131">
        <f>SUM(D75:D76)</f>
        <v>107881785</v>
      </c>
      <c r="E74" s="1117"/>
      <c r="F74" s="1117"/>
      <c r="G74" s="1117"/>
      <c r="H74" s="1117"/>
      <c r="I74" s="1117"/>
      <c r="J74" s="1117"/>
      <c r="K74" s="1117"/>
      <c r="L74" s="1117"/>
      <c r="M74" s="1117"/>
      <c r="N74" s="1117"/>
      <c r="O74" s="1117"/>
      <c r="P74" s="1117"/>
      <c r="Q74" s="1117"/>
      <c r="R74" s="1117"/>
      <c r="S74" s="1117"/>
      <c r="T74" s="1117"/>
      <c r="U74" s="1117"/>
      <c r="V74" s="1117"/>
      <c r="W74" s="1117"/>
      <c r="X74" s="1117"/>
      <c r="Y74" s="1117"/>
      <c r="Z74" s="1117"/>
      <c r="AA74" s="1117"/>
      <c r="AB74" s="1117"/>
      <c r="AC74" s="1117"/>
      <c r="AD74" s="1117"/>
      <c r="AE74" s="1117"/>
      <c r="AF74" s="1117"/>
      <c r="AG74" s="1117"/>
      <c r="AH74" s="1117"/>
      <c r="AI74" s="1117"/>
      <c r="AJ74" s="1117"/>
      <c r="AK74" s="1117"/>
      <c r="AL74" s="1117"/>
      <c r="AM74" s="1117"/>
      <c r="AN74" s="1117"/>
      <c r="AO74" s="1117"/>
      <c r="AP74" s="1117"/>
      <c r="AQ74" s="1117"/>
      <c r="AR74" s="1117"/>
      <c r="AS74" s="1117"/>
    </row>
    <row r="75" spans="1:45" s="1142" customFormat="1" ht="12" customHeight="1" x14ac:dyDescent="0.2">
      <c r="A75" s="1133" t="s">
        <v>828</v>
      </c>
      <c r="B75" s="1134" t="s">
        <v>829</v>
      </c>
      <c r="C75" s="1163">
        <f>SUM(E75:AS75)</f>
        <v>97354513</v>
      </c>
      <c r="D75" s="1136">
        <f>C75+10527272</f>
        <v>107881785</v>
      </c>
      <c r="E75" s="1117"/>
      <c r="F75" s="1117"/>
      <c r="G75" s="1117"/>
      <c r="H75" s="1117"/>
      <c r="I75" s="1117"/>
      <c r="J75" s="1117"/>
      <c r="K75" s="1117"/>
      <c r="L75" s="1117">
        <v>97354513</v>
      </c>
      <c r="M75" s="1117"/>
      <c r="N75" s="1117"/>
      <c r="O75" s="1117"/>
      <c r="P75" s="1117"/>
      <c r="Q75" s="1117"/>
      <c r="R75" s="1117"/>
      <c r="S75" s="1117"/>
      <c r="T75" s="1117"/>
      <c r="U75" s="1117"/>
      <c r="V75" s="1117"/>
      <c r="W75" s="1117"/>
      <c r="X75" s="1117"/>
      <c r="Y75" s="1117"/>
      <c r="Z75" s="1117"/>
      <c r="AA75" s="1117"/>
      <c r="AB75" s="1117"/>
      <c r="AC75" s="1117"/>
      <c r="AD75" s="1117"/>
      <c r="AE75" s="1117"/>
      <c r="AF75" s="1117"/>
      <c r="AG75" s="1117"/>
      <c r="AH75" s="1117"/>
      <c r="AI75" s="1117"/>
      <c r="AJ75" s="1117"/>
      <c r="AK75" s="1117"/>
      <c r="AL75" s="1117"/>
      <c r="AM75" s="1117"/>
      <c r="AN75" s="1117"/>
      <c r="AO75" s="1117"/>
      <c r="AP75" s="1117"/>
      <c r="AQ75" s="1117"/>
      <c r="AR75" s="1117"/>
      <c r="AS75" s="1117"/>
    </row>
    <row r="76" spans="1:45" s="1142" customFormat="1" ht="12" customHeight="1" thickBot="1" x14ac:dyDescent="0.25">
      <c r="A76" s="1143" t="s">
        <v>830</v>
      </c>
      <c r="B76" s="1144" t="s">
        <v>831</v>
      </c>
      <c r="C76" s="1163">
        <f>SUM(E76:AS76)</f>
        <v>0</v>
      </c>
      <c r="D76" s="1136">
        <f t="shared" ref="D76" si="15">C76</f>
        <v>0</v>
      </c>
      <c r="E76" s="1117"/>
      <c r="F76" s="1117"/>
      <c r="G76" s="1117"/>
      <c r="H76" s="1117"/>
      <c r="I76" s="1117"/>
      <c r="J76" s="1117"/>
      <c r="K76" s="1117"/>
      <c r="L76" s="1117"/>
      <c r="M76" s="1117"/>
      <c r="N76" s="1117"/>
      <c r="O76" s="1117"/>
      <c r="P76" s="1117"/>
      <c r="Q76" s="1117"/>
      <c r="R76" s="1117"/>
      <c r="S76" s="1117"/>
      <c r="T76" s="1117"/>
      <c r="U76" s="1117"/>
      <c r="V76" s="1117"/>
      <c r="W76" s="1117"/>
      <c r="X76" s="1117"/>
      <c r="Y76" s="1117"/>
      <c r="Z76" s="1117"/>
      <c r="AA76" s="1117"/>
      <c r="AB76" s="1117"/>
      <c r="AC76" s="1117"/>
      <c r="AD76" s="1117"/>
      <c r="AE76" s="1117"/>
      <c r="AF76" s="1117"/>
      <c r="AG76" s="1117"/>
      <c r="AH76" s="1117"/>
      <c r="AI76" s="1117"/>
      <c r="AJ76" s="1117"/>
      <c r="AK76" s="1117"/>
      <c r="AL76" s="1117"/>
      <c r="AM76" s="1117"/>
      <c r="AN76" s="1117"/>
      <c r="AO76" s="1117"/>
      <c r="AP76" s="1117"/>
      <c r="AQ76" s="1117"/>
      <c r="AR76" s="1117"/>
      <c r="AS76" s="1117"/>
    </row>
    <row r="77" spans="1:45" s="1138" customFormat="1" ht="12" customHeight="1" thickBot="1" x14ac:dyDescent="0.2">
      <c r="A77" s="1164" t="s">
        <v>832</v>
      </c>
      <c r="B77" s="1145" t="s">
        <v>833</v>
      </c>
      <c r="C77" s="1130">
        <f>SUM(C78:C80)</f>
        <v>0</v>
      </c>
      <c r="D77" s="1131">
        <f>SUM(D78:D80)</f>
        <v>0</v>
      </c>
      <c r="E77" s="1117"/>
      <c r="F77" s="1117"/>
      <c r="G77" s="1117"/>
      <c r="H77" s="1117"/>
      <c r="I77" s="1117"/>
      <c r="J77" s="1117"/>
      <c r="K77" s="1117"/>
      <c r="L77" s="1117"/>
      <c r="M77" s="1117"/>
      <c r="N77" s="1117"/>
      <c r="O77" s="1117"/>
      <c r="P77" s="1117"/>
      <c r="Q77" s="1117"/>
      <c r="R77" s="1117"/>
      <c r="S77" s="1117"/>
      <c r="T77" s="1117"/>
      <c r="U77" s="1117"/>
      <c r="V77" s="1117"/>
      <c r="W77" s="1117"/>
      <c r="X77" s="1117"/>
      <c r="Y77" s="1117"/>
      <c r="Z77" s="1137"/>
      <c r="AA77" s="1137"/>
      <c r="AB77" s="1137"/>
      <c r="AC77" s="1137"/>
      <c r="AD77" s="1137"/>
      <c r="AE77" s="1137"/>
      <c r="AF77" s="1137"/>
      <c r="AG77" s="1137"/>
      <c r="AH77" s="1137"/>
      <c r="AI77" s="1137"/>
      <c r="AJ77" s="1137"/>
      <c r="AK77" s="1137"/>
      <c r="AL77" s="1137"/>
      <c r="AM77" s="1137"/>
      <c r="AN77" s="1137"/>
      <c r="AO77" s="1137"/>
      <c r="AP77" s="1137"/>
      <c r="AQ77" s="1137"/>
      <c r="AR77" s="1137"/>
      <c r="AS77" s="1137"/>
    </row>
    <row r="78" spans="1:45" s="1142" customFormat="1" ht="12" customHeight="1" x14ac:dyDescent="0.2">
      <c r="A78" s="1133" t="s">
        <v>834</v>
      </c>
      <c r="B78" s="1134" t="s">
        <v>835</v>
      </c>
      <c r="C78" s="1163">
        <f>SUM(E78:AS78)</f>
        <v>0</v>
      </c>
      <c r="D78" s="1136">
        <f t="shared" ref="D78:D80" si="16">C78</f>
        <v>0</v>
      </c>
      <c r="E78" s="1117"/>
      <c r="F78" s="1117"/>
      <c r="G78" s="1117"/>
      <c r="H78" s="1117"/>
      <c r="I78" s="1117"/>
      <c r="J78" s="1117"/>
      <c r="K78" s="1117"/>
      <c r="L78" s="1117"/>
      <c r="M78" s="1117"/>
      <c r="N78" s="1117"/>
      <c r="O78" s="1117"/>
      <c r="P78" s="1117"/>
      <c r="Q78" s="1117"/>
      <c r="R78" s="1117"/>
      <c r="S78" s="1117"/>
      <c r="T78" s="1117"/>
      <c r="U78" s="1117"/>
      <c r="V78" s="1117"/>
      <c r="W78" s="1117"/>
      <c r="X78" s="1117"/>
      <c r="Y78" s="1117"/>
      <c r="Z78" s="1117"/>
      <c r="AA78" s="1117"/>
      <c r="AB78" s="1117"/>
      <c r="AC78" s="1117"/>
      <c r="AD78" s="1117"/>
      <c r="AE78" s="1117"/>
      <c r="AF78" s="1117"/>
      <c r="AG78" s="1117"/>
      <c r="AH78" s="1117"/>
      <c r="AI78" s="1117"/>
      <c r="AJ78" s="1117"/>
      <c r="AK78" s="1117"/>
      <c r="AL78" s="1117"/>
      <c r="AM78" s="1117"/>
      <c r="AN78" s="1117"/>
      <c r="AO78" s="1117"/>
      <c r="AP78" s="1117"/>
      <c r="AQ78" s="1117"/>
      <c r="AR78" s="1117"/>
      <c r="AS78" s="1117"/>
    </row>
    <row r="79" spans="1:45" s="1142" customFormat="1" ht="12" customHeight="1" x14ac:dyDescent="0.2">
      <c r="A79" s="1139" t="s">
        <v>836</v>
      </c>
      <c r="B79" s="1140" t="s">
        <v>837</v>
      </c>
      <c r="C79" s="1163">
        <f>SUM(E79:AS79)</f>
        <v>0</v>
      </c>
      <c r="D79" s="1136">
        <f t="shared" si="16"/>
        <v>0</v>
      </c>
      <c r="E79" s="1117"/>
      <c r="F79" s="1117"/>
      <c r="G79" s="1117"/>
      <c r="H79" s="1117"/>
      <c r="I79" s="1117"/>
      <c r="J79" s="1117"/>
      <c r="K79" s="1117"/>
      <c r="L79" s="1117"/>
      <c r="M79" s="1117"/>
      <c r="N79" s="1117"/>
      <c r="O79" s="1117"/>
      <c r="P79" s="1117"/>
      <c r="Q79" s="1117"/>
      <c r="R79" s="1117"/>
      <c r="S79" s="1117"/>
      <c r="T79" s="1117"/>
      <c r="U79" s="1117"/>
      <c r="V79" s="1117"/>
      <c r="W79" s="1117"/>
      <c r="X79" s="1117"/>
      <c r="Y79" s="1117"/>
      <c r="Z79" s="1117"/>
      <c r="AA79" s="1117"/>
      <c r="AB79" s="1117"/>
      <c r="AC79" s="1117"/>
      <c r="AD79" s="1117"/>
      <c r="AE79" s="1117"/>
      <c r="AF79" s="1117"/>
      <c r="AG79" s="1117"/>
      <c r="AH79" s="1117"/>
      <c r="AI79" s="1117"/>
      <c r="AJ79" s="1117"/>
      <c r="AK79" s="1117"/>
      <c r="AL79" s="1117"/>
      <c r="AM79" s="1117"/>
      <c r="AN79" s="1117"/>
      <c r="AO79" s="1117"/>
      <c r="AP79" s="1117"/>
      <c r="AQ79" s="1117"/>
      <c r="AR79" s="1117"/>
      <c r="AS79" s="1117"/>
    </row>
    <row r="80" spans="1:45" s="1142" customFormat="1" ht="12" customHeight="1" thickBot="1" x14ac:dyDescent="0.25">
      <c r="A80" s="1143" t="s">
        <v>838</v>
      </c>
      <c r="B80" s="1144" t="s">
        <v>839</v>
      </c>
      <c r="C80" s="1163">
        <f>SUM(E80:AS80)</f>
        <v>0</v>
      </c>
      <c r="D80" s="1136">
        <f t="shared" si="16"/>
        <v>0</v>
      </c>
      <c r="E80" s="1117"/>
      <c r="F80" s="1117"/>
      <c r="G80" s="1117"/>
      <c r="H80" s="1117"/>
      <c r="I80" s="1117"/>
      <c r="J80" s="1117"/>
      <c r="K80" s="1117"/>
      <c r="L80" s="1117"/>
      <c r="M80" s="1117"/>
      <c r="N80" s="1117"/>
      <c r="O80" s="1117"/>
      <c r="P80" s="1117"/>
      <c r="Q80" s="1117"/>
      <c r="R80" s="1117"/>
      <c r="S80" s="1117"/>
      <c r="T80" s="1117"/>
      <c r="U80" s="1117"/>
      <c r="V80" s="1117"/>
      <c r="W80" s="1117"/>
      <c r="X80" s="1117"/>
      <c r="Y80" s="1117"/>
      <c r="Z80" s="1117"/>
      <c r="AA80" s="1117"/>
      <c r="AB80" s="1117"/>
      <c r="AC80" s="1117"/>
      <c r="AD80" s="1117"/>
      <c r="AE80" s="1117"/>
      <c r="AF80" s="1117"/>
      <c r="AG80" s="1117"/>
      <c r="AH80" s="1117"/>
      <c r="AI80" s="1117"/>
      <c r="AJ80" s="1117"/>
      <c r="AK80" s="1117"/>
      <c r="AL80" s="1117"/>
      <c r="AM80" s="1117"/>
      <c r="AN80" s="1117"/>
      <c r="AO80" s="1117"/>
      <c r="AP80" s="1117"/>
      <c r="AQ80" s="1117"/>
      <c r="AR80" s="1117"/>
      <c r="AS80" s="1117"/>
    </row>
    <row r="81" spans="1:53" s="1142" customFormat="1" ht="12" customHeight="1" thickBot="1" x14ac:dyDescent="0.2">
      <c r="A81" s="1164" t="s">
        <v>840</v>
      </c>
      <c r="B81" s="1145" t="s">
        <v>841</v>
      </c>
      <c r="C81" s="1130">
        <f>SUM(C82:C85)</f>
        <v>0</v>
      </c>
      <c r="D81" s="1131">
        <f>SUM(D82:D85)</f>
        <v>0</v>
      </c>
      <c r="E81" s="1117"/>
      <c r="F81" s="1117"/>
      <c r="G81" s="1117"/>
      <c r="H81" s="1117"/>
      <c r="I81" s="1117"/>
      <c r="J81" s="1117"/>
      <c r="K81" s="1117"/>
      <c r="L81" s="1117"/>
      <c r="M81" s="1117"/>
      <c r="N81" s="1117"/>
      <c r="O81" s="1117"/>
      <c r="P81" s="1117"/>
      <c r="Q81" s="1117"/>
      <c r="R81" s="1117"/>
      <c r="S81" s="1117"/>
      <c r="T81" s="1117"/>
      <c r="U81" s="1117"/>
      <c r="V81" s="1117"/>
      <c r="W81" s="1117"/>
      <c r="X81" s="1117"/>
      <c r="Y81" s="1117"/>
      <c r="Z81" s="1117"/>
      <c r="AA81" s="1117"/>
      <c r="AB81" s="1117"/>
      <c r="AC81" s="1117"/>
      <c r="AD81" s="1117"/>
      <c r="AE81" s="1117"/>
      <c r="AF81" s="1117"/>
      <c r="AG81" s="1117"/>
      <c r="AH81" s="1117"/>
      <c r="AI81" s="1117"/>
      <c r="AJ81" s="1117"/>
      <c r="AK81" s="1117"/>
      <c r="AL81" s="1117"/>
      <c r="AM81" s="1117"/>
      <c r="AN81" s="1117"/>
      <c r="AO81" s="1117"/>
      <c r="AP81" s="1117"/>
      <c r="AQ81" s="1117"/>
      <c r="AR81" s="1117"/>
      <c r="AS81" s="1117"/>
    </row>
    <row r="82" spans="1:53" s="1142" customFormat="1" ht="12" customHeight="1" x14ac:dyDescent="0.2">
      <c r="A82" s="1169" t="s">
        <v>842</v>
      </c>
      <c r="B82" s="1134" t="s">
        <v>843</v>
      </c>
      <c r="C82" s="1163">
        <f>SUM(E82:AS82)</f>
        <v>0</v>
      </c>
      <c r="D82" s="1136">
        <f t="shared" ref="D82:D85" si="17">C82</f>
        <v>0</v>
      </c>
      <c r="E82" s="1117"/>
      <c r="F82" s="1117"/>
      <c r="G82" s="1117"/>
      <c r="H82" s="1117"/>
      <c r="I82" s="1117"/>
      <c r="J82" s="1117"/>
      <c r="K82" s="1117"/>
      <c r="L82" s="1117"/>
      <c r="M82" s="1117"/>
      <c r="N82" s="1117"/>
      <c r="O82" s="1117"/>
      <c r="P82" s="1117"/>
      <c r="Q82" s="1117"/>
      <c r="R82" s="1117"/>
      <c r="S82" s="1117"/>
      <c r="T82" s="1117"/>
      <c r="U82" s="1117"/>
      <c r="V82" s="1117"/>
      <c r="W82" s="1117"/>
      <c r="X82" s="1117"/>
      <c r="Y82" s="1117"/>
      <c r="Z82" s="1117"/>
      <c r="AA82" s="1117"/>
      <c r="AB82" s="1117"/>
      <c r="AC82" s="1117"/>
      <c r="AD82" s="1117"/>
      <c r="AE82" s="1117"/>
      <c r="AF82" s="1117"/>
      <c r="AG82" s="1117"/>
      <c r="AH82" s="1117"/>
      <c r="AI82" s="1117"/>
      <c r="AJ82" s="1117"/>
      <c r="AK82" s="1117"/>
      <c r="AL82" s="1117"/>
      <c r="AM82" s="1117"/>
      <c r="AN82" s="1117"/>
      <c r="AO82" s="1117"/>
      <c r="AP82" s="1117"/>
      <c r="AQ82" s="1117"/>
      <c r="AR82" s="1117"/>
      <c r="AS82" s="1117"/>
    </row>
    <row r="83" spans="1:53" s="1142" customFormat="1" ht="12" customHeight="1" x14ac:dyDescent="0.2">
      <c r="A83" s="1170" t="s">
        <v>844</v>
      </c>
      <c r="B83" s="1140" t="s">
        <v>845</v>
      </c>
      <c r="C83" s="1163">
        <f>SUM(E83:AS83)</f>
        <v>0</v>
      </c>
      <c r="D83" s="1136">
        <f t="shared" si="17"/>
        <v>0</v>
      </c>
      <c r="E83" s="1117"/>
      <c r="F83" s="1117"/>
      <c r="G83" s="1117"/>
      <c r="H83" s="1117"/>
      <c r="I83" s="1117"/>
      <c r="J83" s="1117"/>
      <c r="K83" s="1117"/>
      <c r="L83" s="1117"/>
      <c r="M83" s="1117"/>
      <c r="N83" s="1117"/>
      <c r="O83" s="1117"/>
      <c r="P83" s="1117"/>
      <c r="Q83" s="1117"/>
      <c r="R83" s="1117"/>
      <c r="S83" s="1117"/>
      <c r="T83" s="1117"/>
      <c r="U83" s="1117"/>
      <c r="V83" s="1117"/>
      <c r="W83" s="1117"/>
      <c r="X83" s="1117"/>
      <c r="Y83" s="1117"/>
      <c r="Z83" s="1117"/>
      <c r="AA83" s="1117"/>
      <c r="AB83" s="1117"/>
      <c r="AC83" s="1117"/>
      <c r="AD83" s="1117"/>
      <c r="AE83" s="1117"/>
      <c r="AF83" s="1117"/>
      <c r="AG83" s="1117"/>
      <c r="AH83" s="1117"/>
      <c r="AI83" s="1117"/>
      <c r="AJ83" s="1117"/>
      <c r="AK83" s="1117"/>
      <c r="AL83" s="1117"/>
      <c r="AM83" s="1117"/>
      <c r="AN83" s="1117"/>
      <c r="AO83" s="1117"/>
      <c r="AP83" s="1117"/>
      <c r="AQ83" s="1117"/>
      <c r="AR83" s="1117"/>
      <c r="AS83" s="1117"/>
    </row>
    <row r="84" spans="1:53" s="1142" customFormat="1" ht="12" customHeight="1" x14ac:dyDescent="0.2">
      <c r="A84" s="1170" t="s">
        <v>846</v>
      </c>
      <c r="B84" s="1140" t="s">
        <v>847</v>
      </c>
      <c r="C84" s="1163">
        <f>SUM(E84:AS84)</f>
        <v>0</v>
      </c>
      <c r="D84" s="1136">
        <f t="shared" si="17"/>
        <v>0</v>
      </c>
      <c r="E84" s="1117"/>
      <c r="F84" s="1117"/>
      <c r="G84" s="1117"/>
      <c r="H84" s="1117"/>
      <c r="I84" s="1117"/>
      <c r="J84" s="1117"/>
      <c r="K84" s="1117"/>
      <c r="L84" s="1117"/>
      <c r="M84" s="1117"/>
      <c r="N84" s="1117"/>
      <c r="O84" s="1117"/>
      <c r="P84" s="1117"/>
      <c r="Q84" s="1117"/>
      <c r="R84" s="1117"/>
      <c r="S84" s="1117"/>
      <c r="T84" s="1117"/>
      <c r="U84" s="1117"/>
      <c r="V84" s="1117"/>
      <c r="W84" s="1117"/>
      <c r="X84" s="1117"/>
      <c r="Y84" s="1117"/>
      <c r="Z84" s="1117"/>
      <c r="AA84" s="1117"/>
      <c r="AB84" s="1117"/>
      <c r="AC84" s="1117"/>
      <c r="AD84" s="1117"/>
      <c r="AE84" s="1117"/>
      <c r="AF84" s="1117"/>
      <c r="AG84" s="1117"/>
      <c r="AH84" s="1117"/>
      <c r="AI84" s="1117"/>
      <c r="AJ84" s="1117"/>
      <c r="AK84" s="1117"/>
      <c r="AL84" s="1117"/>
      <c r="AM84" s="1117"/>
      <c r="AN84" s="1117"/>
      <c r="AO84" s="1117"/>
      <c r="AP84" s="1117"/>
      <c r="AQ84" s="1117"/>
      <c r="AR84" s="1117"/>
      <c r="AS84" s="1117"/>
    </row>
    <row r="85" spans="1:53" s="1138" customFormat="1" ht="12" customHeight="1" thickBot="1" x14ac:dyDescent="0.25">
      <c r="A85" s="1171" t="s">
        <v>848</v>
      </c>
      <c r="B85" s="1144" t="s">
        <v>849</v>
      </c>
      <c r="C85" s="1163">
        <f>SUM(E85:AS85)</f>
        <v>0</v>
      </c>
      <c r="D85" s="1136">
        <f t="shared" si="17"/>
        <v>0</v>
      </c>
      <c r="E85" s="1117"/>
      <c r="F85" s="1117"/>
      <c r="G85" s="1117"/>
      <c r="H85" s="1117"/>
      <c r="I85" s="1117"/>
      <c r="J85" s="1117"/>
      <c r="K85" s="1117"/>
      <c r="L85" s="1117"/>
      <c r="M85" s="1117"/>
      <c r="N85" s="1117"/>
      <c r="O85" s="1117"/>
      <c r="P85" s="1117"/>
      <c r="Q85" s="1117"/>
      <c r="R85" s="1117"/>
      <c r="S85" s="1117"/>
      <c r="T85" s="1117"/>
      <c r="U85" s="1117"/>
      <c r="V85" s="1117"/>
      <c r="W85" s="1117"/>
      <c r="X85" s="1117"/>
      <c r="Y85" s="1117"/>
      <c r="Z85" s="1137"/>
      <c r="AA85" s="1137"/>
      <c r="AB85" s="1137"/>
      <c r="AC85" s="1137"/>
      <c r="AD85" s="1137"/>
      <c r="AE85" s="1137"/>
      <c r="AF85" s="1137"/>
      <c r="AG85" s="1137"/>
      <c r="AH85" s="1137"/>
      <c r="AI85" s="1137"/>
      <c r="AJ85" s="1137"/>
      <c r="AK85" s="1137"/>
      <c r="AL85" s="1137"/>
      <c r="AM85" s="1137"/>
      <c r="AN85" s="1137"/>
      <c r="AO85" s="1137"/>
      <c r="AP85" s="1137"/>
      <c r="AQ85" s="1137"/>
      <c r="AR85" s="1137"/>
      <c r="AS85" s="1137"/>
    </row>
    <row r="86" spans="1:53" s="1138" customFormat="1" ht="12" customHeight="1" thickBot="1" x14ac:dyDescent="0.2">
      <c r="A86" s="1164" t="s">
        <v>850</v>
      </c>
      <c r="B86" s="1145" t="s">
        <v>851</v>
      </c>
      <c r="C86" s="1172"/>
      <c r="D86" s="1173"/>
      <c r="E86" s="1117"/>
      <c r="F86" s="1117"/>
      <c r="G86" s="1117"/>
      <c r="H86" s="1117"/>
      <c r="I86" s="1117"/>
      <c r="J86" s="1117"/>
      <c r="K86" s="1117"/>
      <c r="L86" s="1117"/>
      <c r="M86" s="1117"/>
      <c r="N86" s="1117"/>
      <c r="O86" s="1117"/>
      <c r="P86" s="1117"/>
      <c r="Q86" s="1117"/>
      <c r="R86" s="1117"/>
      <c r="S86" s="1117"/>
      <c r="T86" s="1117"/>
      <c r="U86" s="1117"/>
      <c r="V86" s="1117"/>
      <c r="W86" s="1117"/>
      <c r="X86" s="1117"/>
      <c r="Y86" s="1117"/>
      <c r="Z86" s="1137"/>
      <c r="AA86" s="1137"/>
      <c r="AB86" s="1137"/>
      <c r="AC86" s="1137"/>
      <c r="AD86" s="1137"/>
      <c r="AE86" s="1137"/>
      <c r="AF86" s="1137"/>
      <c r="AG86" s="1137"/>
      <c r="AH86" s="1137"/>
      <c r="AI86" s="1137"/>
      <c r="AJ86" s="1137"/>
      <c r="AK86" s="1137"/>
      <c r="AL86" s="1137"/>
      <c r="AM86" s="1137"/>
      <c r="AN86" s="1137"/>
      <c r="AO86" s="1137"/>
      <c r="AP86" s="1137"/>
      <c r="AQ86" s="1137"/>
      <c r="AR86" s="1137"/>
      <c r="AS86" s="1137"/>
    </row>
    <row r="87" spans="1:53" s="1138" customFormat="1" ht="12" customHeight="1" thickBot="1" x14ac:dyDescent="0.2">
      <c r="A87" s="1164" t="s">
        <v>852</v>
      </c>
      <c r="B87" s="1174" t="s">
        <v>853</v>
      </c>
      <c r="C87" s="1150">
        <f>+C65+C69+C74+C77+C81+C86</f>
        <v>97354513</v>
      </c>
      <c r="D87" s="1151">
        <f>+D65+D69+D74+D77+D81+D86</f>
        <v>107881785</v>
      </c>
      <c r="E87" s="1117"/>
      <c r="F87" s="1117"/>
      <c r="G87" s="1117"/>
      <c r="H87" s="1117"/>
      <c r="I87" s="1117"/>
      <c r="J87" s="1117"/>
      <c r="K87" s="1117"/>
      <c r="L87" s="1117"/>
      <c r="M87" s="1117"/>
      <c r="N87" s="1117"/>
      <c r="O87" s="1117"/>
      <c r="P87" s="1117"/>
      <c r="Q87" s="1117"/>
      <c r="R87" s="1117"/>
      <c r="S87" s="1117"/>
      <c r="T87" s="1117"/>
      <c r="U87" s="1117"/>
      <c r="V87" s="1117"/>
      <c r="W87" s="1117"/>
      <c r="X87" s="1117"/>
      <c r="Y87" s="1117"/>
      <c r="Z87" s="1137"/>
      <c r="AA87" s="1137"/>
      <c r="AB87" s="1137"/>
      <c r="AC87" s="1137"/>
      <c r="AD87" s="1137"/>
      <c r="AE87" s="1137"/>
      <c r="AF87" s="1137"/>
      <c r="AG87" s="1137"/>
      <c r="AH87" s="1137"/>
      <c r="AI87" s="1137"/>
      <c r="AJ87" s="1137"/>
      <c r="AK87" s="1137"/>
      <c r="AL87" s="1137"/>
      <c r="AM87" s="1137"/>
      <c r="AN87" s="1137"/>
      <c r="AO87" s="1137"/>
      <c r="AP87" s="1137"/>
      <c r="AQ87" s="1137"/>
      <c r="AR87" s="1137"/>
      <c r="AS87" s="1137"/>
    </row>
    <row r="88" spans="1:53" s="1138" customFormat="1" ht="12" customHeight="1" thickBot="1" x14ac:dyDescent="0.2">
      <c r="A88" s="1175" t="s">
        <v>854</v>
      </c>
      <c r="B88" s="1176" t="s">
        <v>855</v>
      </c>
      <c r="C88" s="1150">
        <f>+C64+C87</f>
        <v>383781399</v>
      </c>
      <c r="D88" s="1151">
        <f>D64+D87</f>
        <v>391604274</v>
      </c>
      <c r="E88" s="1177">
        <f>SUM(E8:E87)</f>
        <v>599800</v>
      </c>
      <c r="F88" s="1177">
        <f t="shared" ref="F88:AS88" si="18">SUM(F8:F87)</f>
        <v>5635000</v>
      </c>
      <c r="G88" s="1177">
        <f t="shared" si="18"/>
        <v>5958000</v>
      </c>
      <c r="H88" s="1177">
        <f t="shared" si="18"/>
        <v>0</v>
      </c>
      <c r="I88" s="1177">
        <f>SUM(I8:I87)</f>
        <v>0</v>
      </c>
      <c r="J88" s="1177">
        <f t="shared" si="18"/>
        <v>0</v>
      </c>
      <c r="K88" s="1177">
        <f t="shared" si="18"/>
        <v>175037086</v>
      </c>
      <c r="L88" s="1177">
        <f t="shared" si="18"/>
        <v>97354513</v>
      </c>
      <c r="M88" s="1177">
        <f t="shared" si="18"/>
        <v>1450000</v>
      </c>
      <c r="N88" s="1177">
        <f t="shared" si="18"/>
        <v>0</v>
      </c>
      <c r="O88" s="1177">
        <f t="shared" si="18"/>
        <v>0</v>
      </c>
      <c r="P88" s="1177">
        <f t="shared" si="18"/>
        <v>0</v>
      </c>
      <c r="Q88" s="1177">
        <f t="shared" si="18"/>
        <v>0</v>
      </c>
      <c r="R88" s="1177">
        <f t="shared" si="18"/>
        <v>0</v>
      </c>
      <c r="S88" s="1177">
        <f t="shared" si="18"/>
        <v>239000</v>
      </c>
      <c r="T88" s="1177">
        <f t="shared" si="18"/>
        <v>0</v>
      </c>
      <c r="U88" s="1177">
        <f t="shared" si="18"/>
        <v>0</v>
      </c>
      <c r="V88" s="1177">
        <f t="shared" si="18"/>
        <v>0</v>
      </c>
      <c r="W88" s="1177">
        <f t="shared" si="18"/>
        <v>0</v>
      </c>
      <c r="X88" s="1177">
        <f t="shared" si="18"/>
        <v>2032000</v>
      </c>
      <c r="Y88" s="1177">
        <f t="shared" si="18"/>
        <v>4036000</v>
      </c>
      <c r="Z88" s="1177">
        <f t="shared" si="18"/>
        <v>0</v>
      </c>
      <c r="AA88" s="1177">
        <f t="shared" si="18"/>
        <v>0</v>
      </c>
      <c r="AB88" s="1177">
        <f t="shared" si="18"/>
        <v>0</v>
      </c>
      <c r="AC88" s="1177">
        <f t="shared" si="18"/>
        <v>0</v>
      </c>
      <c r="AD88" s="1177">
        <f t="shared" si="18"/>
        <v>0</v>
      </c>
      <c r="AE88" s="1177">
        <f t="shared" si="18"/>
        <v>0</v>
      </c>
      <c r="AF88" s="1177">
        <f t="shared" si="18"/>
        <v>0</v>
      </c>
      <c r="AG88" s="1177">
        <f>SUM(AG8:AG87)</f>
        <v>0</v>
      </c>
      <c r="AH88" s="1177">
        <f t="shared" si="18"/>
        <v>0</v>
      </c>
      <c r="AI88" s="1177">
        <f t="shared" si="18"/>
        <v>0</v>
      </c>
      <c r="AJ88" s="1177">
        <f t="shared" si="18"/>
        <v>0</v>
      </c>
      <c r="AK88" s="1177">
        <f t="shared" si="18"/>
        <v>0</v>
      </c>
      <c r="AL88" s="1177">
        <f>SUM(AL8:AL87)</f>
        <v>0</v>
      </c>
      <c r="AM88" s="1177">
        <f t="shared" si="18"/>
        <v>0</v>
      </c>
      <c r="AN88" s="1177">
        <f t="shared" si="18"/>
        <v>0</v>
      </c>
      <c r="AO88" s="1177">
        <f t="shared" si="18"/>
        <v>0</v>
      </c>
      <c r="AP88" s="1177">
        <f t="shared" si="18"/>
        <v>0</v>
      </c>
      <c r="AQ88" s="1177">
        <f t="shared" si="18"/>
        <v>0</v>
      </c>
      <c r="AR88" s="1177">
        <f t="shared" si="18"/>
        <v>91440000</v>
      </c>
      <c r="AS88" s="1177">
        <f t="shared" si="18"/>
        <v>0</v>
      </c>
      <c r="AT88" s="1177"/>
      <c r="AU88" s="1177"/>
      <c r="AV88" s="1177"/>
      <c r="AW88" s="1177"/>
      <c r="AX88" s="1177"/>
      <c r="AY88" s="1177"/>
      <c r="AZ88" s="1177"/>
      <c r="BA88" s="1177"/>
    </row>
    <row r="89" spans="1:53" s="1142" customFormat="1" ht="15" customHeight="1" x14ac:dyDescent="0.25">
      <c r="A89" s="1178"/>
      <c r="B89" s="1179"/>
      <c r="C89" s="1180"/>
      <c r="D89" s="1180"/>
      <c r="E89" s="1181"/>
      <c r="F89" s="1181"/>
      <c r="G89" s="1181"/>
      <c r="H89" s="1181"/>
      <c r="I89" s="1181"/>
      <c r="J89" s="1181"/>
      <c r="K89" s="1181"/>
      <c r="L89" s="1181"/>
      <c r="M89" s="1181"/>
      <c r="N89" s="1181"/>
      <c r="O89" s="1181"/>
      <c r="P89" s="1181"/>
      <c r="Q89" s="1181"/>
      <c r="R89" s="1181"/>
      <c r="S89" s="1181"/>
      <c r="T89" s="1181"/>
      <c r="U89" s="1181"/>
      <c r="V89" s="1181"/>
      <c r="W89" s="1181"/>
      <c r="X89" s="1181"/>
      <c r="Y89" s="1181"/>
      <c r="Z89" s="1182"/>
      <c r="AA89" s="1182"/>
      <c r="AB89" s="1182"/>
      <c r="AC89" s="1182"/>
      <c r="AD89" s="1182"/>
      <c r="AE89" s="1182"/>
      <c r="AF89" s="1182"/>
      <c r="AG89" s="1182"/>
      <c r="AH89" s="1182"/>
      <c r="AI89" s="1182"/>
      <c r="AJ89" s="1182"/>
      <c r="AK89" s="1182"/>
      <c r="AL89" s="1182"/>
      <c r="AM89" s="1182"/>
      <c r="AN89" s="1182"/>
      <c r="AO89" s="1182"/>
      <c r="AP89" s="1182"/>
      <c r="AQ89" s="1182"/>
      <c r="AR89" s="1182"/>
      <c r="AS89" s="1182"/>
    </row>
    <row r="90" spans="1:53" ht="13.5" thickBot="1" x14ac:dyDescent="0.3">
      <c r="A90" s="1178"/>
      <c r="B90" s="1183"/>
      <c r="C90" s="1184"/>
      <c r="D90" s="1184"/>
      <c r="AS90" s="1117">
        <f>SUM(E88:AS88)</f>
        <v>383781399</v>
      </c>
    </row>
    <row r="91" spans="1:53" s="1125" customFormat="1" ht="16.5" customHeight="1" thickBot="1" x14ac:dyDescent="0.3">
      <c r="A91" s="1814" t="s">
        <v>856</v>
      </c>
      <c r="B91" s="1815"/>
      <c r="C91" s="1815"/>
      <c r="D91" s="1816"/>
      <c r="E91" s="1123"/>
      <c r="F91" s="1123"/>
      <c r="G91" s="1123"/>
      <c r="H91" s="1123"/>
      <c r="I91" s="1123"/>
      <c r="J91" s="1123"/>
      <c r="K91" s="1123"/>
      <c r="L91" s="1123"/>
      <c r="M91" s="1123"/>
      <c r="N91" s="1123"/>
      <c r="O91" s="1123"/>
      <c r="P91" s="1123"/>
      <c r="Q91" s="1123"/>
      <c r="R91" s="1123"/>
      <c r="S91" s="1123"/>
      <c r="T91" s="1123"/>
      <c r="U91" s="1123"/>
      <c r="V91" s="1123"/>
      <c r="W91" s="1123"/>
      <c r="X91" s="1123"/>
      <c r="Y91" s="1123"/>
      <c r="Z91" s="1124"/>
      <c r="AA91" s="1124"/>
      <c r="AB91" s="1124"/>
      <c r="AC91" s="1124"/>
      <c r="AD91" s="1124"/>
      <c r="AE91" s="1124"/>
      <c r="AF91" s="1124"/>
      <c r="AG91" s="1124"/>
      <c r="AH91" s="1124"/>
      <c r="AI91" s="1124"/>
      <c r="AJ91" s="1124"/>
      <c r="AK91" s="1124"/>
      <c r="AL91" s="1124"/>
      <c r="AM91" s="1124"/>
      <c r="AN91" s="1124"/>
      <c r="AO91" s="1124"/>
      <c r="AP91" s="1124"/>
      <c r="AQ91" s="1124"/>
      <c r="AR91" s="1124"/>
      <c r="AS91" s="1124"/>
    </row>
    <row r="92" spans="1:53" s="1189" customFormat="1" ht="12" customHeight="1" thickBot="1" x14ac:dyDescent="0.3">
      <c r="A92" s="1185" t="s">
        <v>696</v>
      </c>
      <c r="B92" s="1186" t="s">
        <v>857</v>
      </c>
      <c r="C92" s="1187">
        <f>SUM(C93:C97)</f>
        <v>105922100</v>
      </c>
      <c r="D92" s="1188">
        <f>SUM(D93:D97)</f>
        <v>106990439</v>
      </c>
      <c r="E92" s="1117"/>
      <c r="F92" s="1117"/>
      <c r="G92" s="1117"/>
      <c r="H92" s="1117"/>
      <c r="I92" s="1117"/>
      <c r="J92" s="1117"/>
      <c r="K92" s="1117"/>
      <c r="L92" s="1117"/>
      <c r="M92" s="1117"/>
      <c r="N92" s="1117"/>
      <c r="O92" s="1117"/>
      <c r="P92" s="1117"/>
      <c r="Q92" s="1117"/>
      <c r="R92" s="1117"/>
      <c r="S92" s="1117"/>
      <c r="T92" s="1117"/>
      <c r="U92" s="1117"/>
      <c r="V92" s="1117"/>
      <c r="W92" s="1117"/>
      <c r="X92" s="1117"/>
      <c r="Y92" s="1117"/>
      <c r="Z92" s="1137"/>
      <c r="AA92" s="1137"/>
      <c r="AB92" s="1137"/>
      <c r="AC92" s="1137"/>
      <c r="AD92" s="1137"/>
      <c r="AE92" s="1137"/>
      <c r="AF92" s="1137"/>
      <c r="AG92" s="1137"/>
      <c r="AH92" s="1137"/>
      <c r="AI92" s="1137"/>
      <c r="AJ92" s="1137"/>
      <c r="AK92" s="1137"/>
      <c r="AL92" s="1137"/>
      <c r="AM92" s="1137"/>
      <c r="AN92" s="1137"/>
      <c r="AO92" s="1137"/>
      <c r="AP92" s="1137"/>
      <c r="AQ92" s="1137"/>
      <c r="AR92" s="1137"/>
      <c r="AS92" s="1137"/>
    </row>
    <row r="93" spans="1:53" ht="12" customHeight="1" x14ac:dyDescent="0.25">
      <c r="A93" s="1190" t="s">
        <v>698</v>
      </c>
      <c r="B93" s="1191" t="s">
        <v>858</v>
      </c>
      <c r="C93" s="1192">
        <f>SUM(E93:AS93)</f>
        <v>33999000</v>
      </c>
      <c r="D93" s="1705">
        <f>C93+1000000+4402620-972000</f>
        <v>38429620</v>
      </c>
      <c r="E93" s="1117">
        <v>14772000</v>
      </c>
      <c r="F93" s="1117">
        <v>3191000</v>
      </c>
      <c r="G93" s="1117">
        <v>2678000</v>
      </c>
      <c r="J93" s="1117">
        <v>400000</v>
      </c>
      <c r="M93" s="1117">
        <v>1468000</v>
      </c>
      <c r="T93" s="1117">
        <v>6861000</v>
      </c>
      <c r="X93" s="1117">
        <v>4149000</v>
      </c>
      <c r="AB93" s="1117">
        <v>480000</v>
      </c>
    </row>
    <row r="94" spans="1:53" ht="12" customHeight="1" x14ac:dyDescent="0.25">
      <c r="A94" s="1139" t="s">
        <v>700</v>
      </c>
      <c r="B94" s="1194" t="s">
        <v>25</v>
      </c>
      <c r="C94" s="1195">
        <f>SUM(E94:AS94)</f>
        <v>6168100</v>
      </c>
      <c r="D94" s="1136">
        <f>C94+155000+385229-170010</f>
        <v>6538319</v>
      </c>
      <c r="E94" s="1117">
        <v>2675000</v>
      </c>
      <c r="F94" s="1117">
        <v>594000</v>
      </c>
      <c r="G94" s="1117">
        <v>485000</v>
      </c>
      <c r="J94" s="1117">
        <v>154000</v>
      </c>
      <c r="M94" s="1117">
        <v>144000</v>
      </c>
      <c r="T94" s="1117">
        <v>1269100</v>
      </c>
      <c r="X94" s="1117">
        <v>763000</v>
      </c>
      <c r="AB94" s="1117">
        <v>84000</v>
      </c>
    </row>
    <row r="95" spans="1:53" ht="12" customHeight="1" x14ac:dyDescent="0.25">
      <c r="A95" s="1139" t="s">
        <v>702</v>
      </c>
      <c r="B95" s="1194" t="s">
        <v>859</v>
      </c>
      <c r="C95" s="1196">
        <f>SUM(E95:AS95)</f>
        <v>44502000</v>
      </c>
      <c r="D95" s="1136">
        <f t="shared" ref="D95:D96" si="19">C95</f>
        <v>44502000</v>
      </c>
      <c r="E95" s="1117">
        <v>6269000</v>
      </c>
      <c r="F95" s="1117">
        <v>825000</v>
      </c>
      <c r="G95" s="1117">
        <v>8368000</v>
      </c>
      <c r="J95" s="1117">
        <v>635000</v>
      </c>
      <c r="N95" s="1117">
        <v>762000</v>
      </c>
      <c r="O95" s="1117">
        <v>1524000</v>
      </c>
      <c r="Q95" s="1117">
        <v>150000</v>
      </c>
      <c r="R95" s="1117">
        <v>8836000</v>
      </c>
      <c r="S95" s="1117">
        <v>3554000</v>
      </c>
      <c r="T95" s="1117">
        <v>2530000</v>
      </c>
      <c r="U95" s="1117">
        <v>387000</v>
      </c>
      <c r="V95" s="1117">
        <v>601000</v>
      </c>
      <c r="W95" s="1117">
        <v>261000</v>
      </c>
      <c r="X95" s="1117">
        <v>243000</v>
      </c>
      <c r="Y95" s="1117">
        <v>838000</v>
      </c>
      <c r="AB95" s="1117">
        <v>4000</v>
      </c>
      <c r="AC95" s="1117">
        <v>7572000</v>
      </c>
      <c r="AD95" s="1117">
        <v>1143000</v>
      </c>
    </row>
    <row r="96" spans="1:53" ht="12" customHeight="1" x14ac:dyDescent="0.25">
      <c r="A96" s="1139" t="s">
        <v>704</v>
      </c>
      <c r="B96" s="1197" t="s">
        <v>216</v>
      </c>
      <c r="C96" s="1196">
        <f>SUM(E96:AS96)</f>
        <v>2758000</v>
      </c>
      <c r="D96" s="1136">
        <f t="shared" si="19"/>
        <v>2758000</v>
      </c>
      <c r="AK96" s="1117">
        <v>128000</v>
      </c>
      <c r="AN96" s="1117">
        <v>150000</v>
      </c>
      <c r="AQ96" s="1117">
        <v>2480000</v>
      </c>
    </row>
    <row r="97" spans="1:34" ht="12" customHeight="1" x14ac:dyDescent="0.25">
      <c r="A97" s="1139" t="s">
        <v>860</v>
      </c>
      <c r="B97" s="1734" t="s">
        <v>55</v>
      </c>
      <c r="C97" s="1199">
        <f>SUM(C98:C107)</f>
        <v>18495000</v>
      </c>
      <c r="D97" s="1149">
        <f>SUM(D98:D107)</f>
        <v>14762500</v>
      </c>
    </row>
    <row r="98" spans="1:34" ht="12" customHeight="1" x14ac:dyDescent="0.25">
      <c r="A98" s="1139" t="s">
        <v>708</v>
      </c>
      <c r="B98" s="1194" t="s">
        <v>861</v>
      </c>
      <c r="C98" s="1200">
        <f>SUM(E98:AS98)</f>
        <v>0</v>
      </c>
      <c r="D98" s="1141">
        <f>C98+10000</f>
        <v>10000</v>
      </c>
    </row>
    <row r="99" spans="1:34" ht="12" customHeight="1" x14ac:dyDescent="0.2">
      <c r="A99" s="1139" t="s">
        <v>862</v>
      </c>
      <c r="B99" s="1201" t="s">
        <v>863</v>
      </c>
      <c r="C99" s="1200">
        <f t="shared" ref="C99:C107" si="20">SUM(E99:AS99)</f>
        <v>0</v>
      </c>
      <c r="D99" s="1136">
        <f t="shared" ref="D99:D106" si="21">C99</f>
        <v>0</v>
      </c>
    </row>
    <row r="100" spans="1:34" ht="12" customHeight="1" x14ac:dyDescent="0.25">
      <c r="A100" s="1139" t="s">
        <v>864</v>
      </c>
      <c r="B100" s="1202" t="s">
        <v>865</v>
      </c>
      <c r="C100" s="1200">
        <f t="shared" si="20"/>
        <v>0</v>
      </c>
      <c r="D100" s="1136">
        <f t="shared" si="21"/>
        <v>0</v>
      </c>
    </row>
    <row r="101" spans="1:34" ht="20.25" customHeight="1" x14ac:dyDescent="0.25">
      <c r="A101" s="1139" t="s">
        <v>866</v>
      </c>
      <c r="B101" s="1202" t="s">
        <v>867</v>
      </c>
      <c r="C101" s="1200">
        <f t="shared" si="20"/>
        <v>0</v>
      </c>
      <c r="D101" s="1136">
        <f t="shared" si="21"/>
        <v>0</v>
      </c>
    </row>
    <row r="102" spans="1:34" ht="12" customHeight="1" x14ac:dyDescent="0.2">
      <c r="A102" s="1139" t="s">
        <v>868</v>
      </c>
      <c r="B102" s="1201" t="s">
        <v>869</v>
      </c>
      <c r="C102" s="1200">
        <f t="shared" si="20"/>
        <v>4255000</v>
      </c>
      <c r="D102" s="1136">
        <f t="shared" si="21"/>
        <v>4255000</v>
      </c>
      <c r="E102" s="1117">
        <v>855000</v>
      </c>
      <c r="L102" s="1117">
        <v>3000000</v>
      </c>
      <c r="AH102" s="1117">
        <v>400000</v>
      </c>
    </row>
    <row r="103" spans="1:34" ht="12" customHeight="1" x14ac:dyDescent="0.2">
      <c r="A103" s="1139" t="s">
        <v>870</v>
      </c>
      <c r="B103" s="1201" t="s">
        <v>871</v>
      </c>
      <c r="C103" s="1200">
        <f t="shared" si="20"/>
        <v>0</v>
      </c>
      <c r="D103" s="1136">
        <f t="shared" si="21"/>
        <v>0</v>
      </c>
    </row>
    <row r="104" spans="1:34" ht="12" customHeight="1" x14ac:dyDescent="0.25">
      <c r="A104" s="1139" t="s">
        <v>872</v>
      </c>
      <c r="B104" s="1202" t="s">
        <v>873</v>
      </c>
      <c r="C104" s="1200">
        <f t="shared" si="20"/>
        <v>0</v>
      </c>
      <c r="D104" s="1136">
        <f t="shared" si="21"/>
        <v>0</v>
      </c>
    </row>
    <row r="105" spans="1:34" ht="12" customHeight="1" x14ac:dyDescent="0.25">
      <c r="A105" s="1203" t="s">
        <v>874</v>
      </c>
      <c r="B105" s="1204" t="s">
        <v>875</v>
      </c>
      <c r="C105" s="1200">
        <f t="shared" si="20"/>
        <v>0</v>
      </c>
      <c r="D105" s="1136">
        <f t="shared" si="21"/>
        <v>0</v>
      </c>
    </row>
    <row r="106" spans="1:34" ht="12" customHeight="1" x14ac:dyDescent="0.25">
      <c r="A106" s="1139" t="s">
        <v>876</v>
      </c>
      <c r="B106" s="1204" t="s">
        <v>877</v>
      </c>
      <c r="C106" s="1200">
        <f t="shared" si="20"/>
        <v>0</v>
      </c>
      <c r="D106" s="1136">
        <f t="shared" si="21"/>
        <v>0</v>
      </c>
    </row>
    <row r="107" spans="1:34" ht="12" customHeight="1" thickBot="1" x14ac:dyDescent="0.3">
      <c r="A107" s="1166" t="s">
        <v>878</v>
      </c>
      <c r="B107" s="1205" t="s">
        <v>879</v>
      </c>
      <c r="C107" s="1200">
        <f t="shared" si="20"/>
        <v>14240000</v>
      </c>
      <c r="D107" s="1136">
        <f>C107-3742500</f>
        <v>10497500</v>
      </c>
      <c r="Z107" s="1117">
        <v>1850000</v>
      </c>
      <c r="AA107" s="1117">
        <v>450000</v>
      </c>
      <c r="AC107" s="1117">
        <v>6120000</v>
      </c>
      <c r="AE107" s="1117">
        <v>1020000</v>
      </c>
      <c r="AF107" s="1117">
        <v>4800000</v>
      </c>
    </row>
    <row r="108" spans="1:34" ht="12" customHeight="1" thickBot="1" x14ac:dyDescent="0.3">
      <c r="A108" s="1128" t="s">
        <v>710</v>
      </c>
      <c r="B108" s="1207" t="s">
        <v>880</v>
      </c>
      <c r="C108" s="1130">
        <f>+C109+C111+C113</f>
        <v>55995602</v>
      </c>
      <c r="D108" s="1131">
        <f>+D109+D111+D113</f>
        <v>59686602</v>
      </c>
    </row>
    <row r="109" spans="1:34" ht="12" customHeight="1" x14ac:dyDescent="0.25">
      <c r="A109" s="1133" t="s">
        <v>712</v>
      </c>
      <c r="B109" s="1194" t="s">
        <v>63</v>
      </c>
      <c r="C109" s="1146">
        <f>SUM(E109:AS109)</f>
        <v>3685740</v>
      </c>
      <c r="D109" s="1136">
        <f>C109+200000+100000+300000+162000</f>
        <v>4447740</v>
      </c>
      <c r="E109" s="1117">
        <v>1080490</v>
      </c>
      <c r="P109" s="1117">
        <v>428500</v>
      </c>
      <c r="S109" s="1117">
        <v>2176750</v>
      </c>
    </row>
    <row r="110" spans="1:34" ht="12" customHeight="1" x14ac:dyDescent="0.25">
      <c r="A110" s="1133" t="s">
        <v>714</v>
      </c>
      <c r="B110" s="1208" t="s">
        <v>881</v>
      </c>
      <c r="C110" s="1146">
        <f>SUM(E110:AS110)</f>
        <v>0</v>
      </c>
      <c r="D110" s="1136">
        <f t="shared" ref="D110:D112" si="22">C110</f>
        <v>0</v>
      </c>
    </row>
    <row r="111" spans="1:34" ht="12" customHeight="1" x14ac:dyDescent="0.25">
      <c r="A111" s="1133" t="s">
        <v>716</v>
      </c>
      <c r="B111" s="1208" t="s">
        <v>153</v>
      </c>
      <c r="C111" s="1146">
        <f>SUM(E111:AS111)</f>
        <v>52309862</v>
      </c>
      <c r="D111" s="1136">
        <f>C111+200000+54000</f>
        <v>52563862</v>
      </c>
      <c r="G111" s="1117">
        <v>30529412</v>
      </c>
      <c r="O111" s="1117">
        <v>21780450</v>
      </c>
    </row>
    <row r="112" spans="1:34" ht="12" customHeight="1" x14ac:dyDescent="0.25">
      <c r="A112" s="1133" t="s">
        <v>718</v>
      </c>
      <c r="B112" s="1208" t="s">
        <v>882</v>
      </c>
      <c r="C112" s="1146">
        <f>SUM(E112:AS112)</f>
        <v>0</v>
      </c>
      <c r="D112" s="1136">
        <f t="shared" si="22"/>
        <v>0</v>
      </c>
    </row>
    <row r="113" spans="1:45" ht="12" customHeight="1" x14ac:dyDescent="0.25">
      <c r="A113" s="1133" t="s">
        <v>720</v>
      </c>
      <c r="B113" s="1209" t="s">
        <v>883</v>
      </c>
      <c r="C113" s="1210">
        <f>SUM(C114:C121)</f>
        <v>0</v>
      </c>
      <c r="D113" s="1148">
        <f>SUM(D114:D121)</f>
        <v>2675000</v>
      </c>
    </row>
    <row r="114" spans="1:45" ht="12" customHeight="1" x14ac:dyDescent="0.25">
      <c r="A114" s="1133" t="s">
        <v>722</v>
      </c>
      <c r="B114" s="1211" t="s">
        <v>884</v>
      </c>
      <c r="C114" s="1210">
        <f>SUM(E114:AS114)</f>
        <v>0</v>
      </c>
      <c r="D114" s="1136">
        <f t="shared" ref="D114:D120" si="23">C114</f>
        <v>0</v>
      </c>
    </row>
    <row r="115" spans="1:45" ht="12" customHeight="1" x14ac:dyDescent="0.25">
      <c r="A115" s="1133" t="s">
        <v>885</v>
      </c>
      <c r="B115" s="1212" t="s">
        <v>886</v>
      </c>
      <c r="C115" s="1210">
        <f t="shared" ref="C115:C121" si="24">SUM(E115:AS115)</f>
        <v>0</v>
      </c>
      <c r="D115" s="1136">
        <f t="shared" si="23"/>
        <v>0</v>
      </c>
    </row>
    <row r="116" spans="1:45" ht="12" customHeight="1" x14ac:dyDescent="0.25">
      <c r="A116" s="1133" t="s">
        <v>887</v>
      </c>
      <c r="B116" s="1202" t="s">
        <v>867</v>
      </c>
      <c r="C116" s="1210">
        <f t="shared" si="24"/>
        <v>0</v>
      </c>
      <c r="D116" s="1136">
        <f t="shared" si="23"/>
        <v>0</v>
      </c>
    </row>
    <row r="117" spans="1:45" ht="12" customHeight="1" x14ac:dyDescent="0.25">
      <c r="A117" s="1133" t="s">
        <v>888</v>
      </c>
      <c r="B117" s="1202" t="s">
        <v>889</v>
      </c>
      <c r="C117" s="1210">
        <f t="shared" si="24"/>
        <v>0</v>
      </c>
      <c r="D117" s="1136">
        <f>C117+575000</f>
        <v>575000</v>
      </c>
    </row>
    <row r="118" spans="1:45" ht="12" customHeight="1" x14ac:dyDescent="0.25">
      <c r="A118" s="1133" t="s">
        <v>890</v>
      </c>
      <c r="B118" s="1202" t="s">
        <v>891</v>
      </c>
      <c r="C118" s="1210">
        <f t="shared" si="24"/>
        <v>0</v>
      </c>
      <c r="D118" s="1136">
        <f t="shared" si="23"/>
        <v>0</v>
      </c>
    </row>
    <row r="119" spans="1:45" ht="12" customHeight="1" x14ac:dyDescent="0.25">
      <c r="A119" s="1133" t="s">
        <v>892</v>
      </c>
      <c r="B119" s="1202" t="s">
        <v>873</v>
      </c>
      <c r="C119" s="1210">
        <f t="shared" si="24"/>
        <v>0</v>
      </c>
      <c r="D119" s="1136">
        <f t="shared" si="23"/>
        <v>0</v>
      </c>
    </row>
    <row r="120" spans="1:45" ht="12" customHeight="1" x14ac:dyDescent="0.25">
      <c r="A120" s="1133" t="s">
        <v>893</v>
      </c>
      <c r="B120" s="1202" t="s">
        <v>894</v>
      </c>
      <c r="C120" s="1210">
        <f t="shared" si="24"/>
        <v>0</v>
      </c>
      <c r="D120" s="1136">
        <f t="shared" si="23"/>
        <v>0</v>
      </c>
    </row>
    <row r="121" spans="1:45" ht="12" customHeight="1" thickBot="1" x14ac:dyDescent="0.3">
      <c r="A121" s="1203" t="s">
        <v>895</v>
      </c>
      <c r="B121" s="1202" t="s">
        <v>896</v>
      </c>
      <c r="C121" s="1210">
        <f t="shared" si="24"/>
        <v>0</v>
      </c>
      <c r="D121" s="1136">
        <f>C121+2100000</f>
        <v>2100000</v>
      </c>
    </row>
    <row r="122" spans="1:45" ht="12" customHeight="1" thickBot="1" x14ac:dyDescent="0.3">
      <c r="A122" s="1128" t="s">
        <v>724</v>
      </c>
      <c r="B122" s="1213" t="s">
        <v>897</v>
      </c>
      <c r="C122" s="1130">
        <f>+C123+C124</f>
        <v>47810980</v>
      </c>
      <c r="D122" s="1131">
        <f>+D123+D124</f>
        <v>48278516</v>
      </c>
    </row>
    <row r="123" spans="1:45" ht="12" customHeight="1" x14ac:dyDescent="0.25">
      <c r="A123" s="1133" t="s">
        <v>726</v>
      </c>
      <c r="B123" s="1214" t="s">
        <v>898</v>
      </c>
      <c r="C123" s="1146">
        <f>SUM(E123:AS123)</f>
        <v>5661481</v>
      </c>
      <c r="D123" s="1136">
        <f>C123-957575+944042-1329713+6826272-11000000</f>
        <v>144507</v>
      </c>
      <c r="E123" s="1117">
        <v>5661481</v>
      </c>
    </row>
    <row r="124" spans="1:45" ht="12" customHeight="1" thickBot="1" x14ac:dyDescent="0.3">
      <c r="A124" s="1143" t="s">
        <v>728</v>
      </c>
      <c r="B124" s="1208" t="s">
        <v>899</v>
      </c>
      <c r="C124" s="1146">
        <f>SUM(E124:AS124)</f>
        <v>42149499</v>
      </c>
      <c r="D124" s="1136">
        <f>C124+1142010+3742500-2607400+2607400+600000+500000</f>
        <v>48134009</v>
      </c>
      <c r="E124" s="1117">
        <v>42149499</v>
      </c>
    </row>
    <row r="125" spans="1:45" ht="12" customHeight="1" thickBot="1" x14ac:dyDescent="0.3">
      <c r="A125" s="1128" t="s">
        <v>900</v>
      </c>
      <c r="B125" s="1213" t="s">
        <v>901</v>
      </c>
      <c r="C125" s="1130">
        <f>+C92+C108+C122</f>
        <v>209728682</v>
      </c>
      <c r="D125" s="1131">
        <f>+D92+D108+D122</f>
        <v>214955557</v>
      </c>
    </row>
    <row r="126" spans="1:45" ht="12" customHeight="1" thickBot="1" x14ac:dyDescent="0.3">
      <c r="A126" s="1128" t="s">
        <v>753</v>
      </c>
      <c r="B126" s="1213" t="s">
        <v>902</v>
      </c>
      <c r="C126" s="1130">
        <f>+C127+C128+C129</f>
        <v>0</v>
      </c>
      <c r="D126" s="1131">
        <f>+D127+D128+D129</f>
        <v>0</v>
      </c>
    </row>
    <row r="127" spans="1:45" s="1189" customFormat="1" ht="12" customHeight="1" x14ac:dyDescent="0.25">
      <c r="A127" s="1133" t="s">
        <v>755</v>
      </c>
      <c r="B127" s="1214" t="s">
        <v>903</v>
      </c>
      <c r="C127" s="1210">
        <f>SUM(E127:AS127)</f>
        <v>0</v>
      </c>
      <c r="D127" s="1136">
        <f t="shared" ref="D127:D129" si="25">C127</f>
        <v>0</v>
      </c>
      <c r="E127" s="1117"/>
      <c r="F127" s="1117"/>
      <c r="G127" s="1117"/>
      <c r="H127" s="1117"/>
      <c r="I127" s="1117"/>
      <c r="J127" s="1117"/>
      <c r="K127" s="1117"/>
      <c r="L127" s="1117"/>
      <c r="M127" s="1117"/>
      <c r="N127" s="1117"/>
      <c r="O127" s="1117"/>
      <c r="P127" s="1117"/>
      <c r="Q127" s="1117"/>
      <c r="R127" s="1117"/>
      <c r="S127" s="1117"/>
      <c r="T127" s="1117"/>
      <c r="U127" s="1117"/>
      <c r="V127" s="1117"/>
      <c r="W127" s="1117"/>
      <c r="X127" s="1117"/>
      <c r="Y127" s="1117"/>
      <c r="Z127" s="1137"/>
      <c r="AA127" s="1137"/>
      <c r="AB127" s="1137"/>
      <c r="AC127" s="1137"/>
      <c r="AD127" s="1137"/>
      <c r="AE127" s="1137"/>
      <c r="AF127" s="1137"/>
      <c r="AG127" s="1137"/>
      <c r="AH127" s="1137"/>
      <c r="AI127" s="1137"/>
      <c r="AJ127" s="1137"/>
      <c r="AK127" s="1137"/>
      <c r="AL127" s="1137"/>
      <c r="AM127" s="1137"/>
      <c r="AN127" s="1137"/>
      <c r="AO127" s="1137"/>
      <c r="AP127" s="1137"/>
      <c r="AQ127" s="1137"/>
      <c r="AR127" s="1137"/>
      <c r="AS127" s="1117"/>
    </row>
    <row r="128" spans="1:45" ht="12" customHeight="1" x14ac:dyDescent="0.25">
      <c r="A128" s="1133" t="s">
        <v>757</v>
      </c>
      <c r="B128" s="1214" t="s">
        <v>904</v>
      </c>
      <c r="C128" s="1210">
        <f>SUM(E128:AS128)</f>
        <v>0</v>
      </c>
      <c r="D128" s="1136">
        <f t="shared" si="25"/>
        <v>0</v>
      </c>
    </row>
    <row r="129" spans="1:45" ht="12" customHeight="1" thickBot="1" x14ac:dyDescent="0.3">
      <c r="A129" s="1203" t="s">
        <v>759</v>
      </c>
      <c r="B129" s="1215" t="s">
        <v>905</v>
      </c>
      <c r="C129" s="1210">
        <f>SUM(E129:AS129)</f>
        <v>0</v>
      </c>
      <c r="D129" s="1136">
        <f t="shared" si="25"/>
        <v>0</v>
      </c>
    </row>
    <row r="130" spans="1:45" ht="12" customHeight="1" thickBot="1" x14ac:dyDescent="0.3">
      <c r="A130" s="1128" t="s">
        <v>775</v>
      </c>
      <c r="B130" s="1213" t="s">
        <v>906</v>
      </c>
      <c r="C130" s="1130">
        <f>+C131+C132+C133+C134</f>
        <v>0</v>
      </c>
      <c r="D130" s="1131">
        <f>+D131+D132+D133+D134</f>
        <v>0</v>
      </c>
    </row>
    <row r="131" spans="1:45" ht="12" customHeight="1" x14ac:dyDescent="0.25">
      <c r="A131" s="1133" t="s">
        <v>777</v>
      </c>
      <c r="B131" s="1214" t="s">
        <v>907</v>
      </c>
      <c r="C131" s="1210">
        <f>SUM(E131:AS131)</f>
        <v>0</v>
      </c>
      <c r="D131" s="1136">
        <f t="shared" ref="D131:D134" si="26">C131</f>
        <v>0</v>
      </c>
    </row>
    <row r="132" spans="1:45" ht="12" customHeight="1" x14ac:dyDescent="0.25">
      <c r="A132" s="1133" t="s">
        <v>779</v>
      </c>
      <c r="B132" s="1214" t="s">
        <v>908</v>
      </c>
      <c r="C132" s="1210">
        <f>SUM(E132:AS132)</f>
        <v>0</v>
      </c>
      <c r="D132" s="1136">
        <f t="shared" si="26"/>
        <v>0</v>
      </c>
    </row>
    <row r="133" spans="1:45" ht="12" customHeight="1" x14ac:dyDescent="0.25">
      <c r="A133" s="1133" t="s">
        <v>780</v>
      </c>
      <c r="B133" s="1214" t="s">
        <v>909</v>
      </c>
      <c r="C133" s="1210">
        <f>SUM(E133:AS133)</f>
        <v>0</v>
      </c>
      <c r="D133" s="1136">
        <f t="shared" si="26"/>
        <v>0</v>
      </c>
    </row>
    <row r="134" spans="1:45" s="1189" customFormat="1" ht="12" customHeight="1" thickBot="1" x14ac:dyDescent="0.3">
      <c r="A134" s="1203" t="s">
        <v>782</v>
      </c>
      <c r="B134" s="1215" t="s">
        <v>910</v>
      </c>
      <c r="C134" s="1210">
        <f>SUM(E134:AS134)</f>
        <v>0</v>
      </c>
      <c r="D134" s="1136">
        <f t="shared" si="26"/>
        <v>0</v>
      </c>
      <c r="E134" s="1117"/>
      <c r="F134" s="1117"/>
      <c r="G134" s="1117"/>
      <c r="H134" s="1117"/>
      <c r="I134" s="1117"/>
      <c r="J134" s="1117"/>
      <c r="K134" s="1117"/>
      <c r="L134" s="1117"/>
      <c r="M134" s="1117"/>
      <c r="N134" s="1117"/>
      <c r="O134" s="1117"/>
      <c r="P134" s="1117"/>
      <c r="Q134" s="1117"/>
      <c r="R134" s="1117"/>
      <c r="S134" s="1117"/>
      <c r="T134" s="1117"/>
      <c r="U134" s="1117"/>
      <c r="V134" s="1117"/>
      <c r="W134" s="1117"/>
      <c r="X134" s="1117"/>
      <c r="Y134" s="1117"/>
      <c r="Z134" s="1137"/>
      <c r="AA134" s="1137"/>
      <c r="AB134" s="1137"/>
      <c r="AC134" s="1137"/>
      <c r="AD134" s="1137"/>
      <c r="AE134" s="1137"/>
      <c r="AF134" s="1137"/>
      <c r="AG134" s="1137"/>
      <c r="AH134" s="1137"/>
      <c r="AI134" s="1137"/>
      <c r="AJ134" s="1137"/>
      <c r="AK134" s="1137"/>
      <c r="AL134" s="1137"/>
      <c r="AM134" s="1137"/>
      <c r="AN134" s="1137"/>
      <c r="AO134" s="1137"/>
      <c r="AP134" s="1137"/>
      <c r="AQ134" s="1137"/>
      <c r="AR134" s="1137"/>
      <c r="AS134" s="1137"/>
    </row>
    <row r="135" spans="1:45" ht="12" customHeight="1" thickBot="1" x14ac:dyDescent="0.3">
      <c r="A135" s="1128" t="s">
        <v>911</v>
      </c>
      <c r="B135" s="1213" t="s">
        <v>912</v>
      </c>
      <c r="C135" s="1150">
        <f>+C136+C137+C138+C139</f>
        <v>174052717</v>
      </c>
      <c r="D135" s="1151">
        <f>+D136+D137+D138+D139</f>
        <v>176648717</v>
      </c>
    </row>
    <row r="136" spans="1:45" x14ac:dyDescent="0.25">
      <c r="A136" s="1133" t="s">
        <v>788</v>
      </c>
      <c r="B136" s="1214" t="s">
        <v>913</v>
      </c>
      <c r="C136" s="1210">
        <f>SUM(E136:AS136)</f>
        <v>167339122</v>
      </c>
      <c r="D136" s="1136">
        <f>C136-600000-500000+3696000</f>
        <v>169935122</v>
      </c>
      <c r="L136" s="1117">
        <v>167339122</v>
      </c>
    </row>
    <row r="137" spans="1:45" ht="12" customHeight="1" x14ac:dyDescent="0.25">
      <c r="A137" s="1133" t="s">
        <v>790</v>
      </c>
      <c r="B137" s="1214" t="s">
        <v>914</v>
      </c>
      <c r="C137" s="1210">
        <f>SUM(E137:AS137)</f>
        <v>6713595</v>
      </c>
      <c r="D137" s="1136">
        <f t="shared" ref="D137:D139" si="27">C137</f>
        <v>6713595</v>
      </c>
      <c r="L137" s="1117">
        <v>6713595</v>
      </c>
    </row>
    <row r="138" spans="1:45" s="1189" customFormat="1" ht="12" customHeight="1" x14ac:dyDescent="0.25">
      <c r="A138" s="1133" t="s">
        <v>792</v>
      </c>
      <c r="B138" s="1214" t="s">
        <v>915</v>
      </c>
      <c r="C138" s="1210">
        <f>SUM(E138:AS138)</f>
        <v>0</v>
      </c>
      <c r="D138" s="1136">
        <f t="shared" si="27"/>
        <v>0</v>
      </c>
      <c r="E138" s="1117"/>
      <c r="F138" s="1117"/>
      <c r="G138" s="1117"/>
      <c r="H138" s="1117"/>
      <c r="I138" s="1117"/>
      <c r="J138" s="1117"/>
      <c r="K138" s="1117"/>
      <c r="L138" s="1117"/>
      <c r="M138" s="1117"/>
      <c r="N138" s="1117"/>
      <c r="O138" s="1117"/>
      <c r="P138" s="1117"/>
      <c r="Q138" s="1117"/>
      <c r="R138" s="1117"/>
      <c r="S138" s="1117"/>
      <c r="T138" s="1117"/>
      <c r="U138" s="1117"/>
      <c r="V138" s="1117"/>
      <c r="W138" s="1117"/>
      <c r="X138" s="1117"/>
      <c r="Y138" s="1117"/>
      <c r="Z138" s="1137"/>
      <c r="AA138" s="1137"/>
      <c r="AB138" s="1137"/>
      <c r="AC138" s="1137"/>
      <c r="AD138" s="1137"/>
      <c r="AE138" s="1137"/>
      <c r="AF138" s="1137"/>
      <c r="AG138" s="1137"/>
      <c r="AH138" s="1137"/>
      <c r="AI138" s="1137"/>
      <c r="AJ138" s="1137"/>
      <c r="AK138" s="1137"/>
      <c r="AL138" s="1137"/>
      <c r="AM138" s="1137"/>
      <c r="AN138" s="1137"/>
      <c r="AO138" s="1137"/>
      <c r="AP138" s="1137"/>
      <c r="AQ138" s="1137"/>
      <c r="AR138" s="1137"/>
      <c r="AS138" s="1137"/>
    </row>
    <row r="139" spans="1:45" s="1189" customFormat="1" ht="12" customHeight="1" thickBot="1" x14ac:dyDescent="0.3">
      <c r="A139" s="1203" t="s">
        <v>794</v>
      </c>
      <c r="B139" s="1215" t="s">
        <v>916</v>
      </c>
      <c r="C139" s="1210">
        <f>SUM(E139:AS139)</f>
        <v>0</v>
      </c>
      <c r="D139" s="1136">
        <f t="shared" si="27"/>
        <v>0</v>
      </c>
      <c r="E139" s="1117"/>
      <c r="F139" s="1117"/>
      <c r="G139" s="1117"/>
      <c r="H139" s="1117"/>
      <c r="I139" s="1117"/>
      <c r="J139" s="1117"/>
      <c r="K139" s="1117"/>
      <c r="L139" s="1117"/>
      <c r="M139" s="1117"/>
      <c r="N139" s="1117"/>
      <c r="O139" s="1117"/>
      <c r="P139" s="1117"/>
      <c r="Q139" s="1117"/>
      <c r="R139" s="1117"/>
      <c r="S139" s="1117"/>
      <c r="T139" s="1117"/>
      <c r="U139" s="1117"/>
      <c r="V139" s="1117"/>
      <c r="W139" s="1117"/>
      <c r="X139" s="1117"/>
      <c r="Y139" s="1117"/>
      <c r="Z139" s="1137"/>
      <c r="AA139" s="1137"/>
      <c r="AB139" s="1137"/>
      <c r="AC139" s="1137"/>
      <c r="AD139" s="1137"/>
      <c r="AE139" s="1137"/>
      <c r="AF139" s="1137"/>
      <c r="AG139" s="1137"/>
      <c r="AH139" s="1137"/>
      <c r="AI139" s="1137"/>
      <c r="AJ139" s="1137"/>
      <c r="AK139" s="1137"/>
      <c r="AL139" s="1137"/>
      <c r="AM139" s="1137"/>
      <c r="AN139" s="1137"/>
      <c r="AO139" s="1137"/>
      <c r="AP139" s="1137"/>
      <c r="AQ139" s="1137"/>
      <c r="AR139" s="1137"/>
      <c r="AS139" s="1137"/>
    </row>
    <row r="140" spans="1:45" s="1189" customFormat="1" ht="12" customHeight="1" thickBot="1" x14ac:dyDescent="0.3">
      <c r="A140" s="1128" t="s">
        <v>796</v>
      </c>
      <c r="B140" s="1213" t="s">
        <v>917</v>
      </c>
      <c r="C140" s="1216">
        <f>+C141+C142+C143+C144</f>
        <v>0</v>
      </c>
      <c r="D140" s="1217">
        <f>+D141+D142+D143+D144</f>
        <v>0</v>
      </c>
      <c r="E140" s="1117"/>
      <c r="F140" s="1117"/>
      <c r="G140" s="1117"/>
      <c r="H140" s="1117"/>
      <c r="I140" s="1117"/>
      <c r="J140" s="1117"/>
      <c r="K140" s="1117"/>
      <c r="L140" s="1117"/>
      <c r="M140" s="1117"/>
      <c r="N140" s="1117"/>
      <c r="O140" s="1117"/>
      <c r="P140" s="1117"/>
      <c r="Q140" s="1117"/>
      <c r="R140" s="1117"/>
      <c r="S140" s="1117"/>
      <c r="T140" s="1117"/>
      <c r="U140" s="1117"/>
      <c r="V140" s="1117"/>
      <c r="W140" s="1117"/>
      <c r="X140" s="1117"/>
      <c r="Y140" s="1117"/>
      <c r="Z140" s="1137"/>
      <c r="AA140" s="1137"/>
      <c r="AB140" s="1137"/>
      <c r="AC140" s="1137"/>
      <c r="AD140" s="1137"/>
      <c r="AE140" s="1137"/>
      <c r="AF140" s="1137"/>
      <c r="AG140" s="1137"/>
      <c r="AH140" s="1137"/>
      <c r="AI140" s="1137"/>
      <c r="AJ140" s="1137"/>
      <c r="AK140" s="1137"/>
      <c r="AL140" s="1137"/>
      <c r="AM140" s="1137"/>
      <c r="AN140" s="1137"/>
      <c r="AO140" s="1137"/>
      <c r="AP140" s="1137"/>
      <c r="AQ140" s="1137"/>
      <c r="AR140" s="1137"/>
      <c r="AS140" s="1137"/>
    </row>
    <row r="141" spans="1:45" s="1189" customFormat="1" ht="12" customHeight="1" x14ac:dyDescent="0.25">
      <c r="A141" s="1133" t="s">
        <v>798</v>
      </c>
      <c r="B141" s="1214" t="s">
        <v>918</v>
      </c>
      <c r="C141" s="1210">
        <f>SUM(E141:AS141)</f>
        <v>0</v>
      </c>
      <c r="D141" s="1136">
        <f t="shared" ref="D141:D144" si="28">C141</f>
        <v>0</v>
      </c>
      <c r="E141" s="1117"/>
      <c r="F141" s="1117"/>
      <c r="G141" s="1117"/>
      <c r="H141" s="1117"/>
      <c r="I141" s="1117"/>
      <c r="J141" s="1117"/>
      <c r="K141" s="1117"/>
      <c r="L141" s="1117"/>
      <c r="M141" s="1117"/>
      <c r="N141" s="1117"/>
      <c r="O141" s="1117"/>
      <c r="P141" s="1117"/>
      <c r="Q141" s="1117"/>
      <c r="R141" s="1117"/>
      <c r="S141" s="1117"/>
      <c r="T141" s="1117"/>
      <c r="U141" s="1117"/>
      <c r="V141" s="1117"/>
      <c r="W141" s="1117"/>
      <c r="X141" s="1117"/>
      <c r="Y141" s="1117"/>
      <c r="Z141" s="1137"/>
      <c r="AA141" s="1137"/>
      <c r="AB141" s="1137"/>
      <c r="AC141" s="1137"/>
      <c r="AD141" s="1137"/>
      <c r="AE141" s="1137"/>
      <c r="AF141" s="1137"/>
      <c r="AG141" s="1137"/>
      <c r="AH141" s="1137"/>
      <c r="AI141" s="1137"/>
      <c r="AJ141" s="1137"/>
      <c r="AK141" s="1137"/>
      <c r="AL141" s="1137"/>
      <c r="AM141" s="1137"/>
      <c r="AN141" s="1137"/>
      <c r="AO141" s="1137"/>
      <c r="AP141" s="1137"/>
      <c r="AQ141" s="1137"/>
      <c r="AR141" s="1137"/>
      <c r="AS141" s="1137"/>
    </row>
    <row r="142" spans="1:45" s="1189" customFormat="1" ht="12" customHeight="1" x14ac:dyDescent="0.25">
      <c r="A142" s="1133" t="s">
        <v>800</v>
      </c>
      <c r="B142" s="1214" t="s">
        <v>919</v>
      </c>
      <c r="C142" s="1210">
        <f>SUM(E142:AS142)</f>
        <v>0</v>
      </c>
      <c r="D142" s="1136">
        <f t="shared" si="28"/>
        <v>0</v>
      </c>
      <c r="E142" s="1117"/>
      <c r="F142" s="1117"/>
      <c r="G142" s="1117"/>
      <c r="H142" s="1117"/>
      <c r="I142" s="1117"/>
      <c r="J142" s="1117"/>
      <c r="K142" s="1117"/>
      <c r="L142" s="1117"/>
      <c r="M142" s="1117"/>
      <c r="N142" s="1117"/>
      <c r="O142" s="1117"/>
      <c r="P142" s="1117"/>
      <c r="Q142" s="1117"/>
      <c r="R142" s="1117"/>
      <c r="S142" s="1117"/>
      <c r="T142" s="1117"/>
      <c r="U142" s="1117"/>
      <c r="V142" s="1117"/>
      <c r="W142" s="1117"/>
      <c r="X142" s="1117"/>
      <c r="Y142" s="1117"/>
      <c r="Z142" s="1137"/>
      <c r="AA142" s="1137"/>
      <c r="AB142" s="1137"/>
      <c r="AC142" s="1137"/>
      <c r="AD142" s="1137"/>
      <c r="AE142" s="1137"/>
      <c r="AF142" s="1137"/>
      <c r="AG142" s="1137"/>
      <c r="AH142" s="1137"/>
      <c r="AI142" s="1137"/>
      <c r="AJ142" s="1137"/>
      <c r="AK142" s="1137"/>
      <c r="AL142" s="1137"/>
      <c r="AM142" s="1137"/>
      <c r="AN142" s="1137"/>
      <c r="AO142" s="1137"/>
      <c r="AP142" s="1137"/>
      <c r="AQ142" s="1137"/>
      <c r="AR142" s="1137"/>
      <c r="AS142" s="1137"/>
    </row>
    <row r="143" spans="1:45" s="1189" customFormat="1" ht="12" customHeight="1" x14ac:dyDescent="0.25">
      <c r="A143" s="1133" t="s">
        <v>802</v>
      </c>
      <c r="B143" s="1214" t="s">
        <v>920</v>
      </c>
      <c r="C143" s="1210">
        <f>SUM(E143:AS143)</f>
        <v>0</v>
      </c>
      <c r="D143" s="1136">
        <f t="shared" si="28"/>
        <v>0</v>
      </c>
      <c r="E143" s="1117"/>
      <c r="F143" s="1117"/>
      <c r="G143" s="1117"/>
      <c r="H143" s="1117"/>
      <c r="I143" s="1117"/>
      <c r="J143" s="1117"/>
      <c r="K143" s="1117"/>
      <c r="L143" s="1117"/>
      <c r="M143" s="1117"/>
      <c r="N143" s="1117"/>
      <c r="O143" s="1117"/>
      <c r="P143" s="1117"/>
      <c r="Q143" s="1117"/>
      <c r="R143" s="1117"/>
      <c r="S143" s="1117"/>
      <c r="T143" s="1117"/>
      <c r="U143" s="1117"/>
      <c r="V143" s="1117"/>
      <c r="W143" s="1117"/>
      <c r="X143" s="1117"/>
      <c r="Y143" s="1117"/>
      <c r="Z143" s="1137"/>
      <c r="AA143" s="1137"/>
      <c r="AB143" s="1137"/>
      <c r="AC143" s="1137"/>
      <c r="AD143" s="1137"/>
      <c r="AE143" s="1137"/>
      <c r="AF143" s="1137"/>
      <c r="AG143" s="1137"/>
      <c r="AH143" s="1137"/>
      <c r="AI143" s="1137"/>
      <c r="AJ143" s="1137"/>
      <c r="AK143" s="1137"/>
      <c r="AL143" s="1137"/>
      <c r="AM143" s="1137"/>
      <c r="AN143" s="1137"/>
      <c r="AO143" s="1137"/>
      <c r="AP143" s="1137"/>
      <c r="AQ143" s="1137"/>
      <c r="AR143" s="1137"/>
      <c r="AS143" s="1137"/>
    </row>
    <row r="144" spans="1:45" ht="12.75" customHeight="1" thickBot="1" x14ac:dyDescent="0.3">
      <c r="A144" s="1133" t="s">
        <v>804</v>
      </c>
      <c r="B144" s="1214" t="s">
        <v>921</v>
      </c>
      <c r="C144" s="1210">
        <f>SUM(E144:AS144)</f>
        <v>0</v>
      </c>
      <c r="D144" s="1136">
        <f t="shared" si="28"/>
        <v>0</v>
      </c>
    </row>
    <row r="145" spans="1:53" ht="12" customHeight="1" thickBot="1" x14ac:dyDescent="0.3">
      <c r="A145" s="1128" t="s">
        <v>806</v>
      </c>
      <c r="B145" s="1213" t="s">
        <v>922</v>
      </c>
      <c r="C145" s="1218">
        <f>+C126+C130+C135+C140</f>
        <v>174052717</v>
      </c>
      <c r="D145" s="1219">
        <f>+D126+D130+D135+D140</f>
        <v>176648717</v>
      </c>
    </row>
    <row r="146" spans="1:53" s="1223" customFormat="1" ht="15" customHeight="1" thickBot="1" x14ac:dyDescent="0.3">
      <c r="A146" s="1220" t="s">
        <v>923</v>
      </c>
      <c r="B146" s="1221" t="s">
        <v>924</v>
      </c>
      <c r="C146" s="1218">
        <f>+C125+C145</f>
        <v>383781399</v>
      </c>
      <c r="D146" s="1219">
        <f>D125+D145</f>
        <v>391604274</v>
      </c>
      <c r="E146" s="1222">
        <f>SUM(E93:E145)</f>
        <v>73462470</v>
      </c>
      <c r="F146" s="1222">
        <f t="shared" ref="F146:AS146" si="29">SUM(F93:F145)</f>
        <v>4610000</v>
      </c>
      <c r="G146" s="1222">
        <f t="shared" si="29"/>
        <v>42060412</v>
      </c>
      <c r="H146" s="1222">
        <f t="shared" si="29"/>
        <v>0</v>
      </c>
      <c r="I146" s="1222">
        <f>SUM(I93:I145)</f>
        <v>0</v>
      </c>
      <c r="J146" s="1222">
        <f t="shared" si="29"/>
        <v>1189000</v>
      </c>
      <c r="K146" s="1222">
        <f t="shared" si="29"/>
        <v>0</v>
      </c>
      <c r="L146" s="1222">
        <f>SUM(L93:L145)</f>
        <v>177052717</v>
      </c>
      <c r="M146" s="1222">
        <f t="shared" si="29"/>
        <v>1612000</v>
      </c>
      <c r="N146" s="1222">
        <f t="shared" si="29"/>
        <v>762000</v>
      </c>
      <c r="O146" s="1222">
        <f t="shared" si="29"/>
        <v>23304450</v>
      </c>
      <c r="P146" s="1222">
        <f t="shared" si="29"/>
        <v>428500</v>
      </c>
      <c r="Q146" s="1222">
        <f t="shared" si="29"/>
        <v>150000</v>
      </c>
      <c r="R146" s="1222">
        <f t="shared" si="29"/>
        <v>8836000</v>
      </c>
      <c r="S146" s="1222">
        <f t="shared" si="29"/>
        <v>5730750</v>
      </c>
      <c r="T146" s="1222">
        <f t="shared" si="29"/>
        <v>10660100</v>
      </c>
      <c r="U146" s="1222">
        <f t="shared" si="29"/>
        <v>387000</v>
      </c>
      <c r="V146" s="1222">
        <f t="shared" si="29"/>
        <v>601000</v>
      </c>
      <c r="W146" s="1222">
        <f t="shared" si="29"/>
        <v>261000</v>
      </c>
      <c r="X146" s="1222">
        <f t="shared" si="29"/>
        <v>5155000</v>
      </c>
      <c r="Y146" s="1222">
        <f t="shared" si="29"/>
        <v>838000</v>
      </c>
      <c r="Z146" s="1222">
        <f t="shared" si="29"/>
        <v>1850000</v>
      </c>
      <c r="AA146" s="1222">
        <f t="shared" si="29"/>
        <v>450000</v>
      </c>
      <c r="AB146" s="1222">
        <f t="shared" si="29"/>
        <v>568000</v>
      </c>
      <c r="AC146" s="1222">
        <f t="shared" si="29"/>
        <v>13692000</v>
      </c>
      <c r="AD146" s="1222">
        <f t="shared" si="29"/>
        <v>1143000</v>
      </c>
      <c r="AE146" s="1222">
        <f t="shared" si="29"/>
        <v>1020000</v>
      </c>
      <c r="AF146" s="1222">
        <f t="shared" si="29"/>
        <v>4800000</v>
      </c>
      <c r="AG146" s="1222">
        <f>SUM(AG93:AG145)</f>
        <v>0</v>
      </c>
      <c r="AH146" s="1222">
        <f t="shared" si="29"/>
        <v>400000</v>
      </c>
      <c r="AI146" s="1222">
        <f t="shared" si="29"/>
        <v>0</v>
      </c>
      <c r="AJ146" s="1222">
        <f t="shared" si="29"/>
        <v>0</v>
      </c>
      <c r="AK146" s="1222">
        <f t="shared" si="29"/>
        <v>128000</v>
      </c>
      <c r="AL146" s="1222">
        <f>SUM(AL93:AL145)</f>
        <v>0</v>
      </c>
      <c r="AM146" s="1222">
        <f t="shared" si="29"/>
        <v>0</v>
      </c>
      <c r="AN146" s="1222">
        <f t="shared" si="29"/>
        <v>150000</v>
      </c>
      <c r="AO146" s="1222">
        <f t="shared" si="29"/>
        <v>0</v>
      </c>
      <c r="AP146" s="1222">
        <f t="shared" si="29"/>
        <v>0</v>
      </c>
      <c r="AQ146" s="1222">
        <f t="shared" si="29"/>
        <v>2480000</v>
      </c>
      <c r="AR146" s="1222">
        <f t="shared" si="29"/>
        <v>0</v>
      </c>
      <c r="AS146" s="1222">
        <f t="shared" si="29"/>
        <v>0</v>
      </c>
      <c r="AT146" s="1222"/>
      <c r="AU146" s="1222"/>
      <c r="AV146" s="1222"/>
      <c r="AW146" s="1222"/>
      <c r="AX146" s="1222"/>
      <c r="AY146" s="1222"/>
      <c r="AZ146" s="1222"/>
      <c r="BA146" s="1222"/>
    </row>
    <row r="147" spans="1:53" ht="13.5" thickBot="1" x14ac:dyDescent="0.3"/>
    <row r="148" spans="1:53" ht="15" customHeight="1" thickBot="1" x14ac:dyDescent="0.3">
      <c r="A148" s="1227" t="s">
        <v>925</v>
      </c>
      <c r="B148" s="1228"/>
      <c r="C148" s="1229">
        <v>6</v>
      </c>
      <c r="D148" s="1230">
        <v>6</v>
      </c>
      <c r="AS148" s="1117">
        <f>SUM(E146:AS146)</f>
        <v>383781399</v>
      </c>
    </row>
    <row r="149" spans="1:53" ht="14.25" customHeight="1" thickBot="1" x14ac:dyDescent="0.3">
      <c r="A149" s="1227" t="s">
        <v>926</v>
      </c>
      <c r="B149" s="1228"/>
      <c r="C149" s="1229">
        <v>7</v>
      </c>
      <c r="D149" s="1230">
        <v>7</v>
      </c>
    </row>
    <row r="150" spans="1:53" x14ac:dyDescent="0.2">
      <c r="A150" s="1231"/>
    </row>
    <row r="153" spans="1:53" x14ac:dyDescent="0.25">
      <c r="C153" s="1232">
        <f>C88-C146</f>
        <v>0</v>
      </c>
    </row>
  </sheetData>
  <sheetProtection selectLockedCells="1" selectUnlockedCells="1"/>
  <mergeCells count="5">
    <mergeCell ref="A1:D1"/>
    <mergeCell ref="C2:D3"/>
    <mergeCell ref="C4:D4"/>
    <mergeCell ref="A7:D7"/>
    <mergeCell ref="A91:D9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2" manualBreakCount="2">
    <brk id="69" max="3" man="1"/>
    <brk id="8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BA153"/>
  <sheetViews>
    <sheetView view="pageBreakPreview" zoomScaleNormal="100" zoomScaleSheetLayoutView="100" workbookViewId="0">
      <selection activeCell="E1" sqref="E1:AS1048576"/>
    </sheetView>
  </sheetViews>
  <sheetFormatPr defaultRowHeight="12.75" x14ac:dyDescent="0.25"/>
  <cols>
    <col min="1" max="1" width="16.7109375" style="1224" customWidth="1"/>
    <col min="2" max="2" width="52.5703125" style="1225" customWidth="1"/>
    <col min="3" max="3" width="11" style="1226" customWidth="1"/>
    <col min="4" max="4" width="13.42578125" style="1226" customWidth="1"/>
    <col min="5" max="5" width="11.28515625" style="1117" hidden="1" customWidth="1"/>
    <col min="6" max="6" width="10.28515625" style="1117" hidden="1" customWidth="1"/>
    <col min="7" max="7" width="13.85546875" style="1117" hidden="1" customWidth="1"/>
    <col min="8" max="9" width="7.85546875" style="1117" hidden="1" customWidth="1"/>
    <col min="10" max="10" width="10.85546875" style="1117" hidden="1" customWidth="1"/>
    <col min="11" max="11" width="13" style="1117" hidden="1" customWidth="1"/>
    <col min="12" max="12" width="11.42578125" style="1117" hidden="1" customWidth="1"/>
    <col min="13" max="13" width="10" style="1117" hidden="1" customWidth="1"/>
    <col min="14" max="14" width="7.85546875" style="1117" hidden="1" customWidth="1"/>
    <col min="15" max="15" width="10.140625" style="1117" hidden="1" customWidth="1"/>
    <col min="16" max="16" width="10.5703125" style="1117" hidden="1" customWidth="1"/>
    <col min="17" max="17" width="7.85546875" style="1117" hidden="1" customWidth="1"/>
    <col min="18" max="18" width="10.85546875" style="1117" hidden="1" customWidth="1"/>
    <col min="19" max="19" width="10.7109375" style="1117" hidden="1" customWidth="1"/>
    <col min="20" max="20" width="11" style="1117" hidden="1" customWidth="1"/>
    <col min="21" max="23" width="7.85546875" style="1117" hidden="1" customWidth="1"/>
    <col min="24" max="24" width="11.28515625" style="1117" hidden="1" customWidth="1"/>
    <col min="25" max="25" width="12.42578125" style="1117" hidden="1" customWidth="1"/>
    <col min="26" max="26" width="11" style="1117" hidden="1" customWidth="1"/>
    <col min="27" max="28" width="7.85546875" style="1117" hidden="1" customWidth="1"/>
    <col min="29" max="29" width="11" style="1117" hidden="1" customWidth="1"/>
    <col min="30" max="30" width="10.5703125" style="1117" hidden="1" customWidth="1"/>
    <col min="31" max="32" width="11" style="1117" hidden="1" customWidth="1"/>
    <col min="33" max="37" width="7.85546875" style="1117" hidden="1" customWidth="1"/>
    <col min="38" max="38" width="8.42578125" style="1117" hidden="1" customWidth="1"/>
    <col min="39" max="39" width="11.42578125" style="1117" hidden="1" customWidth="1"/>
    <col min="40" max="40" width="7.85546875" style="1117" hidden="1" customWidth="1"/>
    <col min="41" max="41" width="9.5703125" style="1117" hidden="1" customWidth="1"/>
    <col min="42" max="42" width="7.85546875" style="1117" hidden="1" customWidth="1"/>
    <col min="43" max="43" width="12" style="1117" hidden="1" customWidth="1"/>
    <col min="44" max="44" width="13.42578125" style="1117" hidden="1" customWidth="1"/>
    <col min="45" max="45" width="9.5703125" style="1117" hidden="1" customWidth="1"/>
    <col min="46" max="65" width="9.140625" style="1118" customWidth="1"/>
    <col min="66" max="256" width="9.140625" style="1118"/>
    <col min="257" max="257" width="16.7109375" style="1118" customWidth="1"/>
    <col min="258" max="258" width="52.5703125" style="1118" customWidth="1"/>
    <col min="259" max="259" width="11" style="1118" customWidth="1"/>
    <col min="260" max="260" width="13.42578125" style="1118" customWidth="1"/>
    <col min="261" max="261" width="11.28515625" style="1118" customWidth="1"/>
    <col min="262" max="262" width="10.28515625" style="1118" customWidth="1"/>
    <col min="263" max="263" width="13.85546875" style="1118" customWidth="1"/>
    <col min="264" max="265" width="7.85546875" style="1118" customWidth="1"/>
    <col min="266" max="266" width="10.85546875" style="1118" customWidth="1"/>
    <col min="267" max="267" width="13" style="1118" customWidth="1"/>
    <col min="268" max="268" width="11.42578125" style="1118" customWidth="1"/>
    <col min="269" max="269" width="10" style="1118" customWidth="1"/>
    <col min="270" max="270" width="7.85546875" style="1118" customWidth="1"/>
    <col min="271" max="271" width="10.140625" style="1118" customWidth="1"/>
    <col min="272" max="273" width="7.85546875" style="1118" customWidth="1"/>
    <col min="274" max="274" width="10.85546875" style="1118" customWidth="1"/>
    <col min="275" max="275" width="10.7109375" style="1118" customWidth="1"/>
    <col min="276" max="276" width="11" style="1118" customWidth="1"/>
    <col min="277" max="279" width="7.85546875" style="1118" customWidth="1"/>
    <col min="280" max="280" width="11.28515625" style="1118" customWidth="1"/>
    <col min="281" max="281" width="12.42578125" style="1118" customWidth="1"/>
    <col min="282" max="282" width="11" style="1118" customWidth="1"/>
    <col min="283" max="284" width="7.85546875" style="1118" customWidth="1"/>
    <col min="285" max="285" width="11" style="1118" customWidth="1"/>
    <col min="286" max="286" width="10.5703125" style="1118" customWidth="1"/>
    <col min="287" max="288" width="11" style="1118" customWidth="1"/>
    <col min="289" max="293" width="7.85546875" style="1118" bestFit="1" customWidth="1"/>
    <col min="294" max="294" width="8.42578125" style="1118" bestFit="1" customWidth="1"/>
    <col min="295" max="295" width="11.42578125" style="1118" customWidth="1"/>
    <col min="296" max="296" width="7.85546875" style="1118" bestFit="1" customWidth="1"/>
    <col min="297" max="297" width="9.5703125" style="1118" customWidth="1"/>
    <col min="298" max="298" width="7.85546875" style="1118" bestFit="1" customWidth="1"/>
    <col min="299" max="299" width="12" style="1118" customWidth="1"/>
    <col min="300" max="300" width="13.42578125" style="1118" customWidth="1"/>
    <col min="301" max="301" width="9.5703125" style="1118" bestFit="1" customWidth="1"/>
    <col min="302" max="308" width="9.140625" style="1118" customWidth="1"/>
    <col min="309" max="512" width="9.140625" style="1118"/>
    <col min="513" max="513" width="16.7109375" style="1118" customWidth="1"/>
    <col min="514" max="514" width="52.5703125" style="1118" customWidth="1"/>
    <col min="515" max="515" width="11" style="1118" customWidth="1"/>
    <col min="516" max="516" width="13.42578125" style="1118" customWidth="1"/>
    <col min="517" max="517" width="11.28515625" style="1118" customWidth="1"/>
    <col min="518" max="518" width="10.28515625" style="1118" customWidth="1"/>
    <col min="519" max="519" width="13.85546875" style="1118" customWidth="1"/>
    <col min="520" max="521" width="7.85546875" style="1118" customWidth="1"/>
    <col min="522" max="522" width="10.85546875" style="1118" customWidth="1"/>
    <col min="523" max="523" width="13" style="1118" customWidth="1"/>
    <col min="524" max="524" width="11.42578125" style="1118" customWidth="1"/>
    <col min="525" max="525" width="10" style="1118" customWidth="1"/>
    <col min="526" max="526" width="7.85546875" style="1118" customWidth="1"/>
    <col min="527" max="527" width="10.140625" style="1118" customWidth="1"/>
    <col min="528" max="529" width="7.85546875" style="1118" customWidth="1"/>
    <col min="530" max="530" width="10.85546875" style="1118" customWidth="1"/>
    <col min="531" max="531" width="10.7109375" style="1118" customWidth="1"/>
    <col min="532" max="532" width="11" style="1118" customWidth="1"/>
    <col min="533" max="535" width="7.85546875" style="1118" customWidth="1"/>
    <col min="536" max="536" width="11.28515625" style="1118" customWidth="1"/>
    <col min="537" max="537" width="12.42578125" style="1118" customWidth="1"/>
    <col min="538" max="538" width="11" style="1118" customWidth="1"/>
    <col min="539" max="540" width="7.85546875" style="1118" customWidth="1"/>
    <col min="541" max="541" width="11" style="1118" customWidth="1"/>
    <col min="542" max="542" width="10.5703125" style="1118" customWidth="1"/>
    <col min="543" max="544" width="11" style="1118" customWidth="1"/>
    <col min="545" max="549" width="7.85546875" style="1118" bestFit="1" customWidth="1"/>
    <col min="550" max="550" width="8.42578125" style="1118" bestFit="1" customWidth="1"/>
    <col min="551" max="551" width="11.42578125" style="1118" customWidth="1"/>
    <col min="552" max="552" width="7.85546875" style="1118" bestFit="1" customWidth="1"/>
    <col min="553" max="553" width="9.5703125" style="1118" customWidth="1"/>
    <col min="554" max="554" width="7.85546875" style="1118" bestFit="1" customWidth="1"/>
    <col min="555" max="555" width="12" style="1118" customWidth="1"/>
    <col min="556" max="556" width="13.42578125" style="1118" customWidth="1"/>
    <col min="557" max="557" width="9.5703125" style="1118" bestFit="1" customWidth="1"/>
    <col min="558" max="564" width="9.140625" style="1118" customWidth="1"/>
    <col min="565" max="768" width="9.140625" style="1118"/>
    <col min="769" max="769" width="16.7109375" style="1118" customWidth="1"/>
    <col min="770" max="770" width="52.5703125" style="1118" customWidth="1"/>
    <col min="771" max="771" width="11" style="1118" customWidth="1"/>
    <col min="772" max="772" width="13.42578125" style="1118" customWidth="1"/>
    <col min="773" max="773" width="11.28515625" style="1118" customWidth="1"/>
    <col min="774" max="774" width="10.28515625" style="1118" customWidth="1"/>
    <col min="775" max="775" width="13.85546875" style="1118" customWidth="1"/>
    <col min="776" max="777" width="7.85546875" style="1118" customWidth="1"/>
    <col min="778" max="778" width="10.85546875" style="1118" customWidth="1"/>
    <col min="779" max="779" width="13" style="1118" customWidth="1"/>
    <col min="780" max="780" width="11.42578125" style="1118" customWidth="1"/>
    <col min="781" max="781" width="10" style="1118" customWidth="1"/>
    <col min="782" max="782" width="7.85546875" style="1118" customWidth="1"/>
    <col min="783" max="783" width="10.140625" style="1118" customWidth="1"/>
    <col min="784" max="785" width="7.85546875" style="1118" customWidth="1"/>
    <col min="786" max="786" width="10.85546875" style="1118" customWidth="1"/>
    <col min="787" max="787" width="10.7109375" style="1118" customWidth="1"/>
    <col min="788" max="788" width="11" style="1118" customWidth="1"/>
    <col min="789" max="791" width="7.85546875" style="1118" customWidth="1"/>
    <col min="792" max="792" width="11.28515625" style="1118" customWidth="1"/>
    <col min="793" max="793" width="12.42578125" style="1118" customWidth="1"/>
    <col min="794" max="794" width="11" style="1118" customWidth="1"/>
    <col min="795" max="796" width="7.85546875" style="1118" customWidth="1"/>
    <col min="797" max="797" width="11" style="1118" customWidth="1"/>
    <col min="798" max="798" width="10.5703125" style="1118" customWidth="1"/>
    <col min="799" max="800" width="11" style="1118" customWidth="1"/>
    <col min="801" max="805" width="7.85546875" style="1118" bestFit="1" customWidth="1"/>
    <col min="806" max="806" width="8.42578125" style="1118" bestFit="1" customWidth="1"/>
    <col min="807" max="807" width="11.42578125" style="1118" customWidth="1"/>
    <col min="808" max="808" width="7.85546875" style="1118" bestFit="1" customWidth="1"/>
    <col min="809" max="809" width="9.5703125" style="1118" customWidth="1"/>
    <col min="810" max="810" width="7.85546875" style="1118" bestFit="1" customWidth="1"/>
    <col min="811" max="811" width="12" style="1118" customWidth="1"/>
    <col min="812" max="812" width="13.42578125" style="1118" customWidth="1"/>
    <col min="813" max="813" width="9.5703125" style="1118" bestFit="1" customWidth="1"/>
    <col min="814" max="820" width="9.140625" style="1118" customWidth="1"/>
    <col min="821" max="1024" width="9.140625" style="1118"/>
    <col min="1025" max="1025" width="16.7109375" style="1118" customWidth="1"/>
    <col min="1026" max="1026" width="52.5703125" style="1118" customWidth="1"/>
    <col min="1027" max="1027" width="11" style="1118" customWidth="1"/>
    <col min="1028" max="1028" width="13.42578125" style="1118" customWidth="1"/>
    <col min="1029" max="1029" width="11.28515625" style="1118" customWidth="1"/>
    <col min="1030" max="1030" width="10.28515625" style="1118" customWidth="1"/>
    <col min="1031" max="1031" width="13.85546875" style="1118" customWidth="1"/>
    <col min="1032" max="1033" width="7.85546875" style="1118" customWidth="1"/>
    <col min="1034" max="1034" width="10.85546875" style="1118" customWidth="1"/>
    <col min="1035" max="1035" width="13" style="1118" customWidth="1"/>
    <col min="1036" max="1036" width="11.42578125" style="1118" customWidth="1"/>
    <col min="1037" max="1037" width="10" style="1118" customWidth="1"/>
    <col min="1038" max="1038" width="7.85546875" style="1118" customWidth="1"/>
    <col min="1039" max="1039" width="10.140625" style="1118" customWidth="1"/>
    <col min="1040" max="1041" width="7.85546875" style="1118" customWidth="1"/>
    <col min="1042" max="1042" width="10.85546875" style="1118" customWidth="1"/>
    <col min="1043" max="1043" width="10.7109375" style="1118" customWidth="1"/>
    <col min="1044" max="1044" width="11" style="1118" customWidth="1"/>
    <col min="1045" max="1047" width="7.85546875" style="1118" customWidth="1"/>
    <col min="1048" max="1048" width="11.28515625" style="1118" customWidth="1"/>
    <col min="1049" max="1049" width="12.42578125" style="1118" customWidth="1"/>
    <col min="1050" max="1050" width="11" style="1118" customWidth="1"/>
    <col min="1051" max="1052" width="7.85546875" style="1118" customWidth="1"/>
    <col min="1053" max="1053" width="11" style="1118" customWidth="1"/>
    <col min="1054" max="1054" width="10.5703125" style="1118" customWidth="1"/>
    <col min="1055" max="1056" width="11" style="1118" customWidth="1"/>
    <col min="1057" max="1061" width="7.85546875" style="1118" bestFit="1" customWidth="1"/>
    <col min="1062" max="1062" width="8.42578125" style="1118" bestFit="1" customWidth="1"/>
    <col min="1063" max="1063" width="11.42578125" style="1118" customWidth="1"/>
    <col min="1064" max="1064" width="7.85546875" style="1118" bestFit="1" customWidth="1"/>
    <col min="1065" max="1065" width="9.5703125" style="1118" customWidth="1"/>
    <col min="1066" max="1066" width="7.85546875" style="1118" bestFit="1" customWidth="1"/>
    <col min="1067" max="1067" width="12" style="1118" customWidth="1"/>
    <col min="1068" max="1068" width="13.42578125" style="1118" customWidth="1"/>
    <col min="1069" max="1069" width="9.5703125" style="1118" bestFit="1" customWidth="1"/>
    <col min="1070" max="1076" width="9.140625" style="1118" customWidth="1"/>
    <col min="1077" max="1280" width="9.140625" style="1118"/>
    <col min="1281" max="1281" width="16.7109375" style="1118" customWidth="1"/>
    <col min="1282" max="1282" width="52.5703125" style="1118" customWidth="1"/>
    <col min="1283" max="1283" width="11" style="1118" customWidth="1"/>
    <col min="1284" max="1284" width="13.42578125" style="1118" customWidth="1"/>
    <col min="1285" max="1285" width="11.28515625" style="1118" customWidth="1"/>
    <col min="1286" max="1286" width="10.28515625" style="1118" customWidth="1"/>
    <col min="1287" max="1287" width="13.85546875" style="1118" customWidth="1"/>
    <col min="1288" max="1289" width="7.85546875" style="1118" customWidth="1"/>
    <col min="1290" max="1290" width="10.85546875" style="1118" customWidth="1"/>
    <col min="1291" max="1291" width="13" style="1118" customWidth="1"/>
    <col min="1292" max="1292" width="11.42578125" style="1118" customWidth="1"/>
    <col min="1293" max="1293" width="10" style="1118" customWidth="1"/>
    <col min="1294" max="1294" width="7.85546875" style="1118" customWidth="1"/>
    <col min="1295" max="1295" width="10.140625" style="1118" customWidth="1"/>
    <col min="1296" max="1297" width="7.85546875" style="1118" customWidth="1"/>
    <col min="1298" max="1298" width="10.85546875" style="1118" customWidth="1"/>
    <col min="1299" max="1299" width="10.7109375" style="1118" customWidth="1"/>
    <col min="1300" max="1300" width="11" style="1118" customWidth="1"/>
    <col min="1301" max="1303" width="7.85546875" style="1118" customWidth="1"/>
    <col min="1304" max="1304" width="11.28515625" style="1118" customWidth="1"/>
    <col min="1305" max="1305" width="12.42578125" style="1118" customWidth="1"/>
    <col min="1306" max="1306" width="11" style="1118" customWidth="1"/>
    <col min="1307" max="1308" width="7.85546875" style="1118" customWidth="1"/>
    <col min="1309" max="1309" width="11" style="1118" customWidth="1"/>
    <col min="1310" max="1310" width="10.5703125" style="1118" customWidth="1"/>
    <col min="1311" max="1312" width="11" style="1118" customWidth="1"/>
    <col min="1313" max="1317" width="7.85546875" style="1118" bestFit="1" customWidth="1"/>
    <col min="1318" max="1318" width="8.42578125" style="1118" bestFit="1" customWidth="1"/>
    <col min="1319" max="1319" width="11.42578125" style="1118" customWidth="1"/>
    <col min="1320" max="1320" width="7.85546875" style="1118" bestFit="1" customWidth="1"/>
    <col min="1321" max="1321" width="9.5703125" style="1118" customWidth="1"/>
    <col min="1322" max="1322" width="7.85546875" style="1118" bestFit="1" customWidth="1"/>
    <col min="1323" max="1323" width="12" style="1118" customWidth="1"/>
    <col min="1324" max="1324" width="13.42578125" style="1118" customWidth="1"/>
    <col min="1325" max="1325" width="9.5703125" style="1118" bestFit="1" customWidth="1"/>
    <col min="1326" max="1332" width="9.140625" style="1118" customWidth="1"/>
    <col min="1333" max="1536" width="9.140625" style="1118"/>
    <col min="1537" max="1537" width="16.7109375" style="1118" customWidth="1"/>
    <col min="1538" max="1538" width="52.5703125" style="1118" customWidth="1"/>
    <col min="1539" max="1539" width="11" style="1118" customWidth="1"/>
    <col min="1540" max="1540" width="13.42578125" style="1118" customWidth="1"/>
    <col min="1541" max="1541" width="11.28515625" style="1118" customWidth="1"/>
    <col min="1542" max="1542" width="10.28515625" style="1118" customWidth="1"/>
    <col min="1543" max="1543" width="13.85546875" style="1118" customWidth="1"/>
    <col min="1544" max="1545" width="7.85546875" style="1118" customWidth="1"/>
    <col min="1546" max="1546" width="10.85546875" style="1118" customWidth="1"/>
    <col min="1547" max="1547" width="13" style="1118" customWidth="1"/>
    <col min="1548" max="1548" width="11.42578125" style="1118" customWidth="1"/>
    <col min="1549" max="1549" width="10" style="1118" customWidth="1"/>
    <col min="1550" max="1550" width="7.85546875" style="1118" customWidth="1"/>
    <col min="1551" max="1551" width="10.140625" style="1118" customWidth="1"/>
    <col min="1552" max="1553" width="7.85546875" style="1118" customWidth="1"/>
    <col min="1554" max="1554" width="10.85546875" style="1118" customWidth="1"/>
    <col min="1555" max="1555" width="10.7109375" style="1118" customWidth="1"/>
    <col min="1556" max="1556" width="11" style="1118" customWidth="1"/>
    <col min="1557" max="1559" width="7.85546875" style="1118" customWidth="1"/>
    <col min="1560" max="1560" width="11.28515625" style="1118" customWidth="1"/>
    <col min="1561" max="1561" width="12.42578125" style="1118" customWidth="1"/>
    <col min="1562" max="1562" width="11" style="1118" customWidth="1"/>
    <col min="1563" max="1564" width="7.85546875" style="1118" customWidth="1"/>
    <col min="1565" max="1565" width="11" style="1118" customWidth="1"/>
    <col min="1566" max="1566" width="10.5703125" style="1118" customWidth="1"/>
    <col min="1567" max="1568" width="11" style="1118" customWidth="1"/>
    <col min="1569" max="1573" width="7.85546875" style="1118" bestFit="1" customWidth="1"/>
    <col min="1574" max="1574" width="8.42578125" style="1118" bestFit="1" customWidth="1"/>
    <col min="1575" max="1575" width="11.42578125" style="1118" customWidth="1"/>
    <col min="1576" max="1576" width="7.85546875" style="1118" bestFit="1" customWidth="1"/>
    <col min="1577" max="1577" width="9.5703125" style="1118" customWidth="1"/>
    <col min="1578" max="1578" width="7.85546875" style="1118" bestFit="1" customWidth="1"/>
    <col min="1579" max="1579" width="12" style="1118" customWidth="1"/>
    <col min="1580" max="1580" width="13.42578125" style="1118" customWidth="1"/>
    <col min="1581" max="1581" width="9.5703125" style="1118" bestFit="1" customWidth="1"/>
    <col min="1582" max="1588" width="9.140625" style="1118" customWidth="1"/>
    <col min="1589" max="1792" width="9.140625" style="1118"/>
    <col min="1793" max="1793" width="16.7109375" style="1118" customWidth="1"/>
    <col min="1794" max="1794" width="52.5703125" style="1118" customWidth="1"/>
    <col min="1795" max="1795" width="11" style="1118" customWidth="1"/>
    <col min="1796" max="1796" width="13.42578125" style="1118" customWidth="1"/>
    <col min="1797" max="1797" width="11.28515625" style="1118" customWidth="1"/>
    <col min="1798" max="1798" width="10.28515625" style="1118" customWidth="1"/>
    <col min="1799" max="1799" width="13.85546875" style="1118" customWidth="1"/>
    <col min="1800" max="1801" width="7.85546875" style="1118" customWidth="1"/>
    <col min="1802" max="1802" width="10.85546875" style="1118" customWidth="1"/>
    <col min="1803" max="1803" width="13" style="1118" customWidth="1"/>
    <col min="1804" max="1804" width="11.42578125" style="1118" customWidth="1"/>
    <col min="1805" max="1805" width="10" style="1118" customWidth="1"/>
    <col min="1806" max="1806" width="7.85546875" style="1118" customWidth="1"/>
    <col min="1807" max="1807" width="10.140625" style="1118" customWidth="1"/>
    <col min="1808" max="1809" width="7.85546875" style="1118" customWidth="1"/>
    <col min="1810" max="1810" width="10.85546875" style="1118" customWidth="1"/>
    <col min="1811" max="1811" width="10.7109375" style="1118" customWidth="1"/>
    <col min="1812" max="1812" width="11" style="1118" customWidth="1"/>
    <col min="1813" max="1815" width="7.85546875" style="1118" customWidth="1"/>
    <col min="1816" max="1816" width="11.28515625" style="1118" customWidth="1"/>
    <col min="1817" max="1817" width="12.42578125" style="1118" customWidth="1"/>
    <col min="1818" max="1818" width="11" style="1118" customWidth="1"/>
    <col min="1819" max="1820" width="7.85546875" style="1118" customWidth="1"/>
    <col min="1821" max="1821" width="11" style="1118" customWidth="1"/>
    <col min="1822" max="1822" width="10.5703125" style="1118" customWidth="1"/>
    <col min="1823" max="1824" width="11" style="1118" customWidth="1"/>
    <col min="1825" max="1829" width="7.85546875" style="1118" bestFit="1" customWidth="1"/>
    <col min="1830" max="1830" width="8.42578125" style="1118" bestFit="1" customWidth="1"/>
    <col min="1831" max="1831" width="11.42578125" style="1118" customWidth="1"/>
    <col min="1832" max="1832" width="7.85546875" style="1118" bestFit="1" customWidth="1"/>
    <col min="1833" max="1833" width="9.5703125" style="1118" customWidth="1"/>
    <col min="1834" max="1834" width="7.85546875" style="1118" bestFit="1" customWidth="1"/>
    <col min="1835" max="1835" width="12" style="1118" customWidth="1"/>
    <col min="1836" max="1836" width="13.42578125" style="1118" customWidth="1"/>
    <col min="1837" max="1837" width="9.5703125" style="1118" bestFit="1" customWidth="1"/>
    <col min="1838" max="1844" width="9.140625" style="1118" customWidth="1"/>
    <col min="1845" max="2048" width="9.140625" style="1118"/>
    <col min="2049" max="2049" width="16.7109375" style="1118" customWidth="1"/>
    <col min="2050" max="2050" width="52.5703125" style="1118" customWidth="1"/>
    <col min="2051" max="2051" width="11" style="1118" customWidth="1"/>
    <col min="2052" max="2052" width="13.42578125" style="1118" customWidth="1"/>
    <col min="2053" max="2053" width="11.28515625" style="1118" customWidth="1"/>
    <col min="2054" max="2054" width="10.28515625" style="1118" customWidth="1"/>
    <col min="2055" max="2055" width="13.85546875" style="1118" customWidth="1"/>
    <col min="2056" max="2057" width="7.85546875" style="1118" customWidth="1"/>
    <col min="2058" max="2058" width="10.85546875" style="1118" customWidth="1"/>
    <col min="2059" max="2059" width="13" style="1118" customWidth="1"/>
    <col min="2060" max="2060" width="11.42578125" style="1118" customWidth="1"/>
    <col min="2061" max="2061" width="10" style="1118" customWidth="1"/>
    <col min="2062" max="2062" width="7.85546875" style="1118" customWidth="1"/>
    <col min="2063" max="2063" width="10.140625" style="1118" customWidth="1"/>
    <col min="2064" max="2065" width="7.85546875" style="1118" customWidth="1"/>
    <col min="2066" max="2066" width="10.85546875" style="1118" customWidth="1"/>
    <col min="2067" max="2067" width="10.7109375" style="1118" customWidth="1"/>
    <col min="2068" max="2068" width="11" style="1118" customWidth="1"/>
    <col min="2069" max="2071" width="7.85546875" style="1118" customWidth="1"/>
    <col min="2072" max="2072" width="11.28515625" style="1118" customWidth="1"/>
    <col min="2073" max="2073" width="12.42578125" style="1118" customWidth="1"/>
    <col min="2074" max="2074" width="11" style="1118" customWidth="1"/>
    <col min="2075" max="2076" width="7.85546875" style="1118" customWidth="1"/>
    <col min="2077" max="2077" width="11" style="1118" customWidth="1"/>
    <col min="2078" max="2078" width="10.5703125" style="1118" customWidth="1"/>
    <col min="2079" max="2080" width="11" style="1118" customWidth="1"/>
    <col min="2081" max="2085" width="7.85546875" style="1118" bestFit="1" customWidth="1"/>
    <col min="2086" max="2086" width="8.42578125" style="1118" bestFit="1" customWidth="1"/>
    <col min="2087" max="2087" width="11.42578125" style="1118" customWidth="1"/>
    <col min="2088" max="2088" width="7.85546875" style="1118" bestFit="1" customWidth="1"/>
    <col min="2089" max="2089" width="9.5703125" style="1118" customWidth="1"/>
    <col min="2090" max="2090" width="7.85546875" style="1118" bestFit="1" customWidth="1"/>
    <col min="2091" max="2091" width="12" style="1118" customWidth="1"/>
    <col min="2092" max="2092" width="13.42578125" style="1118" customWidth="1"/>
    <col min="2093" max="2093" width="9.5703125" style="1118" bestFit="1" customWidth="1"/>
    <col min="2094" max="2100" width="9.140625" style="1118" customWidth="1"/>
    <col min="2101" max="2304" width="9.140625" style="1118"/>
    <col min="2305" max="2305" width="16.7109375" style="1118" customWidth="1"/>
    <col min="2306" max="2306" width="52.5703125" style="1118" customWidth="1"/>
    <col min="2307" max="2307" width="11" style="1118" customWidth="1"/>
    <col min="2308" max="2308" width="13.42578125" style="1118" customWidth="1"/>
    <col min="2309" max="2309" width="11.28515625" style="1118" customWidth="1"/>
    <col min="2310" max="2310" width="10.28515625" style="1118" customWidth="1"/>
    <col min="2311" max="2311" width="13.85546875" style="1118" customWidth="1"/>
    <col min="2312" max="2313" width="7.85546875" style="1118" customWidth="1"/>
    <col min="2314" max="2314" width="10.85546875" style="1118" customWidth="1"/>
    <col min="2315" max="2315" width="13" style="1118" customWidth="1"/>
    <col min="2316" max="2316" width="11.42578125" style="1118" customWidth="1"/>
    <col min="2317" max="2317" width="10" style="1118" customWidth="1"/>
    <col min="2318" max="2318" width="7.85546875" style="1118" customWidth="1"/>
    <col min="2319" max="2319" width="10.140625" style="1118" customWidth="1"/>
    <col min="2320" max="2321" width="7.85546875" style="1118" customWidth="1"/>
    <col min="2322" max="2322" width="10.85546875" style="1118" customWidth="1"/>
    <col min="2323" max="2323" width="10.7109375" style="1118" customWidth="1"/>
    <col min="2324" max="2324" width="11" style="1118" customWidth="1"/>
    <col min="2325" max="2327" width="7.85546875" style="1118" customWidth="1"/>
    <col min="2328" max="2328" width="11.28515625" style="1118" customWidth="1"/>
    <col min="2329" max="2329" width="12.42578125" style="1118" customWidth="1"/>
    <col min="2330" max="2330" width="11" style="1118" customWidth="1"/>
    <col min="2331" max="2332" width="7.85546875" style="1118" customWidth="1"/>
    <col min="2333" max="2333" width="11" style="1118" customWidth="1"/>
    <col min="2334" max="2334" width="10.5703125" style="1118" customWidth="1"/>
    <col min="2335" max="2336" width="11" style="1118" customWidth="1"/>
    <col min="2337" max="2341" width="7.85546875" style="1118" bestFit="1" customWidth="1"/>
    <col min="2342" max="2342" width="8.42578125" style="1118" bestFit="1" customWidth="1"/>
    <col min="2343" max="2343" width="11.42578125" style="1118" customWidth="1"/>
    <col min="2344" max="2344" width="7.85546875" style="1118" bestFit="1" customWidth="1"/>
    <col min="2345" max="2345" width="9.5703125" style="1118" customWidth="1"/>
    <col min="2346" max="2346" width="7.85546875" style="1118" bestFit="1" customWidth="1"/>
    <col min="2347" max="2347" width="12" style="1118" customWidth="1"/>
    <col min="2348" max="2348" width="13.42578125" style="1118" customWidth="1"/>
    <col min="2349" max="2349" width="9.5703125" style="1118" bestFit="1" customWidth="1"/>
    <col min="2350" max="2356" width="9.140625" style="1118" customWidth="1"/>
    <col min="2357" max="2560" width="9.140625" style="1118"/>
    <col min="2561" max="2561" width="16.7109375" style="1118" customWidth="1"/>
    <col min="2562" max="2562" width="52.5703125" style="1118" customWidth="1"/>
    <col min="2563" max="2563" width="11" style="1118" customWidth="1"/>
    <col min="2564" max="2564" width="13.42578125" style="1118" customWidth="1"/>
    <col min="2565" max="2565" width="11.28515625" style="1118" customWidth="1"/>
    <col min="2566" max="2566" width="10.28515625" style="1118" customWidth="1"/>
    <col min="2567" max="2567" width="13.85546875" style="1118" customWidth="1"/>
    <col min="2568" max="2569" width="7.85546875" style="1118" customWidth="1"/>
    <col min="2570" max="2570" width="10.85546875" style="1118" customWidth="1"/>
    <col min="2571" max="2571" width="13" style="1118" customWidth="1"/>
    <col min="2572" max="2572" width="11.42578125" style="1118" customWidth="1"/>
    <col min="2573" max="2573" width="10" style="1118" customWidth="1"/>
    <col min="2574" max="2574" width="7.85546875" style="1118" customWidth="1"/>
    <col min="2575" max="2575" width="10.140625" style="1118" customWidth="1"/>
    <col min="2576" max="2577" width="7.85546875" style="1118" customWidth="1"/>
    <col min="2578" max="2578" width="10.85546875" style="1118" customWidth="1"/>
    <col min="2579" max="2579" width="10.7109375" style="1118" customWidth="1"/>
    <col min="2580" max="2580" width="11" style="1118" customWidth="1"/>
    <col min="2581" max="2583" width="7.85546875" style="1118" customWidth="1"/>
    <col min="2584" max="2584" width="11.28515625" style="1118" customWidth="1"/>
    <col min="2585" max="2585" width="12.42578125" style="1118" customWidth="1"/>
    <col min="2586" max="2586" width="11" style="1118" customWidth="1"/>
    <col min="2587" max="2588" width="7.85546875" style="1118" customWidth="1"/>
    <col min="2589" max="2589" width="11" style="1118" customWidth="1"/>
    <col min="2590" max="2590" width="10.5703125" style="1118" customWidth="1"/>
    <col min="2591" max="2592" width="11" style="1118" customWidth="1"/>
    <col min="2593" max="2597" width="7.85546875" style="1118" bestFit="1" customWidth="1"/>
    <col min="2598" max="2598" width="8.42578125" style="1118" bestFit="1" customWidth="1"/>
    <col min="2599" max="2599" width="11.42578125" style="1118" customWidth="1"/>
    <col min="2600" max="2600" width="7.85546875" style="1118" bestFit="1" customWidth="1"/>
    <col min="2601" max="2601" width="9.5703125" style="1118" customWidth="1"/>
    <col min="2602" max="2602" width="7.85546875" style="1118" bestFit="1" customWidth="1"/>
    <col min="2603" max="2603" width="12" style="1118" customWidth="1"/>
    <col min="2604" max="2604" width="13.42578125" style="1118" customWidth="1"/>
    <col min="2605" max="2605" width="9.5703125" style="1118" bestFit="1" customWidth="1"/>
    <col min="2606" max="2612" width="9.140625" style="1118" customWidth="1"/>
    <col min="2613" max="2816" width="9.140625" style="1118"/>
    <col min="2817" max="2817" width="16.7109375" style="1118" customWidth="1"/>
    <col min="2818" max="2818" width="52.5703125" style="1118" customWidth="1"/>
    <col min="2819" max="2819" width="11" style="1118" customWidth="1"/>
    <col min="2820" max="2820" width="13.42578125" style="1118" customWidth="1"/>
    <col min="2821" max="2821" width="11.28515625" style="1118" customWidth="1"/>
    <col min="2822" max="2822" width="10.28515625" style="1118" customWidth="1"/>
    <col min="2823" max="2823" width="13.85546875" style="1118" customWidth="1"/>
    <col min="2824" max="2825" width="7.85546875" style="1118" customWidth="1"/>
    <col min="2826" max="2826" width="10.85546875" style="1118" customWidth="1"/>
    <col min="2827" max="2827" width="13" style="1118" customWidth="1"/>
    <col min="2828" max="2828" width="11.42578125" style="1118" customWidth="1"/>
    <col min="2829" max="2829" width="10" style="1118" customWidth="1"/>
    <col min="2830" max="2830" width="7.85546875" style="1118" customWidth="1"/>
    <col min="2831" max="2831" width="10.140625" style="1118" customWidth="1"/>
    <col min="2832" max="2833" width="7.85546875" style="1118" customWidth="1"/>
    <col min="2834" max="2834" width="10.85546875" style="1118" customWidth="1"/>
    <col min="2835" max="2835" width="10.7109375" style="1118" customWidth="1"/>
    <col min="2836" max="2836" width="11" style="1118" customWidth="1"/>
    <col min="2837" max="2839" width="7.85546875" style="1118" customWidth="1"/>
    <col min="2840" max="2840" width="11.28515625" style="1118" customWidth="1"/>
    <col min="2841" max="2841" width="12.42578125" style="1118" customWidth="1"/>
    <col min="2842" max="2842" width="11" style="1118" customWidth="1"/>
    <col min="2843" max="2844" width="7.85546875" style="1118" customWidth="1"/>
    <col min="2845" max="2845" width="11" style="1118" customWidth="1"/>
    <col min="2846" max="2846" width="10.5703125" style="1118" customWidth="1"/>
    <col min="2847" max="2848" width="11" style="1118" customWidth="1"/>
    <col min="2849" max="2853" width="7.85546875" style="1118" bestFit="1" customWidth="1"/>
    <col min="2854" max="2854" width="8.42578125" style="1118" bestFit="1" customWidth="1"/>
    <col min="2855" max="2855" width="11.42578125" style="1118" customWidth="1"/>
    <col min="2856" max="2856" width="7.85546875" style="1118" bestFit="1" customWidth="1"/>
    <col min="2857" max="2857" width="9.5703125" style="1118" customWidth="1"/>
    <col min="2858" max="2858" width="7.85546875" style="1118" bestFit="1" customWidth="1"/>
    <col min="2859" max="2859" width="12" style="1118" customWidth="1"/>
    <col min="2860" max="2860" width="13.42578125" style="1118" customWidth="1"/>
    <col min="2861" max="2861" width="9.5703125" style="1118" bestFit="1" customWidth="1"/>
    <col min="2862" max="2868" width="9.140625" style="1118" customWidth="1"/>
    <col min="2869" max="3072" width="9.140625" style="1118"/>
    <col min="3073" max="3073" width="16.7109375" style="1118" customWidth="1"/>
    <col min="3074" max="3074" width="52.5703125" style="1118" customWidth="1"/>
    <col min="3075" max="3075" width="11" style="1118" customWidth="1"/>
    <col min="3076" max="3076" width="13.42578125" style="1118" customWidth="1"/>
    <col min="3077" max="3077" width="11.28515625" style="1118" customWidth="1"/>
    <col min="3078" max="3078" width="10.28515625" style="1118" customWidth="1"/>
    <col min="3079" max="3079" width="13.85546875" style="1118" customWidth="1"/>
    <col min="3080" max="3081" width="7.85546875" style="1118" customWidth="1"/>
    <col min="3082" max="3082" width="10.85546875" style="1118" customWidth="1"/>
    <col min="3083" max="3083" width="13" style="1118" customWidth="1"/>
    <col min="3084" max="3084" width="11.42578125" style="1118" customWidth="1"/>
    <col min="3085" max="3085" width="10" style="1118" customWidth="1"/>
    <col min="3086" max="3086" width="7.85546875" style="1118" customWidth="1"/>
    <col min="3087" max="3087" width="10.140625" style="1118" customWidth="1"/>
    <col min="3088" max="3089" width="7.85546875" style="1118" customWidth="1"/>
    <col min="3090" max="3090" width="10.85546875" style="1118" customWidth="1"/>
    <col min="3091" max="3091" width="10.7109375" style="1118" customWidth="1"/>
    <col min="3092" max="3092" width="11" style="1118" customWidth="1"/>
    <col min="3093" max="3095" width="7.85546875" style="1118" customWidth="1"/>
    <col min="3096" max="3096" width="11.28515625" style="1118" customWidth="1"/>
    <col min="3097" max="3097" width="12.42578125" style="1118" customWidth="1"/>
    <col min="3098" max="3098" width="11" style="1118" customWidth="1"/>
    <col min="3099" max="3100" width="7.85546875" style="1118" customWidth="1"/>
    <col min="3101" max="3101" width="11" style="1118" customWidth="1"/>
    <col min="3102" max="3102" width="10.5703125" style="1118" customWidth="1"/>
    <col min="3103" max="3104" width="11" style="1118" customWidth="1"/>
    <col min="3105" max="3109" width="7.85546875" style="1118" bestFit="1" customWidth="1"/>
    <col min="3110" max="3110" width="8.42578125" style="1118" bestFit="1" customWidth="1"/>
    <col min="3111" max="3111" width="11.42578125" style="1118" customWidth="1"/>
    <col min="3112" max="3112" width="7.85546875" style="1118" bestFit="1" customWidth="1"/>
    <col min="3113" max="3113" width="9.5703125" style="1118" customWidth="1"/>
    <col min="3114" max="3114" width="7.85546875" style="1118" bestFit="1" customWidth="1"/>
    <col min="3115" max="3115" width="12" style="1118" customWidth="1"/>
    <col min="3116" max="3116" width="13.42578125" style="1118" customWidth="1"/>
    <col min="3117" max="3117" width="9.5703125" style="1118" bestFit="1" customWidth="1"/>
    <col min="3118" max="3124" width="9.140625" style="1118" customWidth="1"/>
    <col min="3125" max="3328" width="9.140625" style="1118"/>
    <col min="3329" max="3329" width="16.7109375" style="1118" customWidth="1"/>
    <col min="3330" max="3330" width="52.5703125" style="1118" customWidth="1"/>
    <col min="3331" max="3331" width="11" style="1118" customWidth="1"/>
    <col min="3332" max="3332" width="13.42578125" style="1118" customWidth="1"/>
    <col min="3333" max="3333" width="11.28515625" style="1118" customWidth="1"/>
    <col min="3334" max="3334" width="10.28515625" style="1118" customWidth="1"/>
    <col min="3335" max="3335" width="13.85546875" style="1118" customWidth="1"/>
    <col min="3336" max="3337" width="7.85546875" style="1118" customWidth="1"/>
    <col min="3338" max="3338" width="10.85546875" style="1118" customWidth="1"/>
    <col min="3339" max="3339" width="13" style="1118" customWidth="1"/>
    <col min="3340" max="3340" width="11.42578125" style="1118" customWidth="1"/>
    <col min="3341" max="3341" width="10" style="1118" customWidth="1"/>
    <col min="3342" max="3342" width="7.85546875" style="1118" customWidth="1"/>
    <col min="3343" max="3343" width="10.140625" style="1118" customWidth="1"/>
    <col min="3344" max="3345" width="7.85546875" style="1118" customWidth="1"/>
    <col min="3346" max="3346" width="10.85546875" style="1118" customWidth="1"/>
    <col min="3347" max="3347" width="10.7109375" style="1118" customWidth="1"/>
    <col min="3348" max="3348" width="11" style="1118" customWidth="1"/>
    <col min="3349" max="3351" width="7.85546875" style="1118" customWidth="1"/>
    <col min="3352" max="3352" width="11.28515625" style="1118" customWidth="1"/>
    <col min="3353" max="3353" width="12.42578125" style="1118" customWidth="1"/>
    <col min="3354" max="3354" width="11" style="1118" customWidth="1"/>
    <col min="3355" max="3356" width="7.85546875" style="1118" customWidth="1"/>
    <col min="3357" max="3357" width="11" style="1118" customWidth="1"/>
    <col min="3358" max="3358" width="10.5703125" style="1118" customWidth="1"/>
    <col min="3359" max="3360" width="11" style="1118" customWidth="1"/>
    <col min="3361" max="3365" width="7.85546875" style="1118" bestFit="1" customWidth="1"/>
    <col min="3366" max="3366" width="8.42578125" style="1118" bestFit="1" customWidth="1"/>
    <col min="3367" max="3367" width="11.42578125" style="1118" customWidth="1"/>
    <col min="3368" max="3368" width="7.85546875" style="1118" bestFit="1" customWidth="1"/>
    <col min="3369" max="3369" width="9.5703125" style="1118" customWidth="1"/>
    <col min="3370" max="3370" width="7.85546875" style="1118" bestFit="1" customWidth="1"/>
    <col min="3371" max="3371" width="12" style="1118" customWidth="1"/>
    <col min="3372" max="3372" width="13.42578125" style="1118" customWidth="1"/>
    <col min="3373" max="3373" width="9.5703125" style="1118" bestFit="1" customWidth="1"/>
    <col min="3374" max="3380" width="9.140625" style="1118" customWidth="1"/>
    <col min="3381" max="3584" width="9.140625" style="1118"/>
    <col min="3585" max="3585" width="16.7109375" style="1118" customWidth="1"/>
    <col min="3586" max="3586" width="52.5703125" style="1118" customWidth="1"/>
    <col min="3587" max="3587" width="11" style="1118" customWidth="1"/>
    <col min="3588" max="3588" width="13.42578125" style="1118" customWidth="1"/>
    <col min="3589" max="3589" width="11.28515625" style="1118" customWidth="1"/>
    <col min="3590" max="3590" width="10.28515625" style="1118" customWidth="1"/>
    <col min="3591" max="3591" width="13.85546875" style="1118" customWidth="1"/>
    <col min="3592" max="3593" width="7.85546875" style="1118" customWidth="1"/>
    <col min="3594" max="3594" width="10.85546875" style="1118" customWidth="1"/>
    <col min="3595" max="3595" width="13" style="1118" customWidth="1"/>
    <col min="3596" max="3596" width="11.42578125" style="1118" customWidth="1"/>
    <col min="3597" max="3597" width="10" style="1118" customWidth="1"/>
    <col min="3598" max="3598" width="7.85546875" style="1118" customWidth="1"/>
    <col min="3599" max="3599" width="10.140625" style="1118" customWidth="1"/>
    <col min="3600" max="3601" width="7.85546875" style="1118" customWidth="1"/>
    <col min="3602" max="3602" width="10.85546875" style="1118" customWidth="1"/>
    <col min="3603" max="3603" width="10.7109375" style="1118" customWidth="1"/>
    <col min="3604" max="3604" width="11" style="1118" customWidth="1"/>
    <col min="3605" max="3607" width="7.85546875" style="1118" customWidth="1"/>
    <col min="3608" max="3608" width="11.28515625" style="1118" customWidth="1"/>
    <col min="3609" max="3609" width="12.42578125" style="1118" customWidth="1"/>
    <col min="3610" max="3610" width="11" style="1118" customWidth="1"/>
    <col min="3611" max="3612" width="7.85546875" style="1118" customWidth="1"/>
    <col min="3613" max="3613" width="11" style="1118" customWidth="1"/>
    <col min="3614" max="3614" width="10.5703125" style="1118" customWidth="1"/>
    <col min="3615" max="3616" width="11" style="1118" customWidth="1"/>
    <col min="3617" max="3621" width="7.85546875" style="1118" bestFit="1" customWidth="1"/>
    <col min="3622" max="3622" width="8.42578125" style="1118" bestFit="1" customWidth="1"/>
    <col min="3623" max="3623" width="11.42578125" style="1118" customWidth="1"/>
    <col min="3624" max="3624" width="7.85546875" style="1118" bestFit="1" customWidth="1"/>
    <col min="3625" max="3625" width="9.5703125" style="1118" customWidth="1"/>
    <col min="3626" max="3626" width="7.85546875" style="1118" bestFit="1" customWidth="1"/>
    <col min="3627" max="3627" width="12" style="1118" customWidth="1"/>
    <col min="3628" max="3628" width="13.42578125" style="1118" customWidth="1"/>
    <col min="3629" max="3629" width="9.5703125" style="1118" bestFit="1" customWidth="1"/>
    <col min="3630" max="3636" width="9.140625" style="1118" customWidth="1"/>
    <col min="3637" max="3840" width="9.140625" style="1118"/>
    <col min="3841" max="3841" width="16.7109375" style="1118" customWidth="1"/>
    <col min="3842" max="3842" width="52.5703125" style="1118" customWidth="1"/>
    <col min="3843" max="3843" width="11" style="1118" customWidth="1"/>
    <col min="3844" max="3844" width="13.42578125" style="1118" customWidth="1"/>
    <col min="3845" max="3845" width="11.28515625" style="1118" customWidth="1"/>
    <col min="3846" max="3846" width="10.28515625" style="1118" customWidth="1"/>
    <col min="3847" max="3847" width="13.85546875" style="1118" customWidth="1"/>
    <col min="3848" max="3849" width="7.85546875" style="1118" customWidth="1"/>
    <col min="3850" max="3850" width="10.85546875" style="1118" customWidth="1"/>
    <col min="3851" max="3851" width="13" style="1118" customWidth="1"/>
    <col min="3852" max="3852" width="11.42578125" style="1118" customWidth="1"/>
    <col min="3853" max="3853" width="10" style="1118" customWidth="1"/>
    <col min="3854" max="3854" width="7.85546875" style="1118" customWidth="1"/>
    <col min="3855" max="3855" width="10.140625" style="1118" customWidth="1"/>
    <col min="3856" max="3857" width="7.85546875" style="1118" customWidth="1"/>
    <col min="3858" max="3858" width="10.85546875" style="1118" customWidth="1"/>
    <col min="3859" max="3859" width="10.7109375" style="1118" customWidth="1"/>
    <col min="3860" max="3860" width="11" style="1118" customWidth="1"/>
    <col min="3861" max="3863" width="7.85546875" style="1118" customWidth="1"/>
    <col min="3864" max="3864" width="11.28515625" style="1118" customWidth="1"/>
    <col min="3865" max="3865" width="12.42578125" style="1118" customWidth="1"/>
    <col min="3866" max="3866" width="11" style="1118" customWidth="1"/>
    <col min="3867" max="3868" width="7.85546875" style="1118" customWidth="1"/>
    <col min="3869" max="3869" width="11" style="1118" customWidth="1"/>
    <col min="3870" max="3870" width="10.5703125" style="1118" customWidth="1"/>
    <col min="3871" max="3872" width="11" style="1118" customWidth="1"/>
    <col min="3873" max="3877" width="7.85546875" style="1118" bestFit="1" customWidth="1"/>
    <col min="3878" max="3878" width="8.42578125" style="1118" bestFit="1" customWidth="1"/>
    <col min="3879" max="3879" width="11.42578125" style="1118" customWidth="1"/>
    <col min="3880" max="3880" width="7.85546875" style="1118" bestFit="1" customWidth="1"/>
    <col min="3881" max="3881" width="9.5703125" style="1118" customWidth="1"/>
    <col min="3882" max="3882" width="7.85546875" style="1118" bestFit="1" customWidth="1"/>
    <col min="3883" max="3883" width="12" style="1118" customWidth="1"/>
    <col min="3884" max="3884" width="13.42578125" style="1118" customWidth="1"/>
    <col min="3885" max="3885" width="9.5703125" style="1118" bestFit="1" customWidth="1"/>
    <col min="3886" max="3892" width="9.140625" style="1118" customWidth="1"/>
    <col min="3893" max="4096" width="9.140625" style="1118"/>
    <col min="4097" max="4097" width="16.7109375" style="1118" customWidth="1"/>
    <col min="4098" max="4098" width="52.5703125" style="1118" customWidth="1"/>
    <col min="4099" max="4099" width="11" style="1118" customWidth="1"/>
    <col min="4100" max="4100" width="13.42578125" style="1118" customWidth="1"/>
    <col min="4101" max="4101" width="11.28515625" style="1118" customWidth="1"/>
    <col min="4102" max="4102" width="10.28515625" style="1118" customWidth="1"/>
    <col min="4103" max="4103" width="13.85546875" style="1118" customWidth="1"/>
    <col min="4104" max="4105" width="7.85546875" style="1118" customWidth="1"/>
    <col min="4106" max="4106" width="10.85546875" style="1118" customWidth="1"/>
    <col min="4107" max="4107" width="13" style="1118" customWidth="1"/>
    <col min="4108" max="4108" width="11.42578125" style="1118" customWidth="1"/>
    <col min="4109" max="4109" width="10" style="1118" customWidth="1"/>
    <col min="4110" max="4110" width="7.85546875" style="1118" customWidth="1"/>
    <col min="4111" max="4111" width="10.140625" style="1118" customWidth="1"/>
    <col min="4112" max="4113" width="7.85546875" style="1118" customWidth="1"/>
    <col min="4114" max="4114" width="10.85546875" style="1118" customWidth="1"/>
    <col min="4115" max="4115" width="10.7109375" style="1118" customWidth="1"/>
    <col min="4116" max="4116" width="11" style="1118" customWidth="1"/>
    <col min="4117" max="4119" width="7.85546875" style="1118" customWidth="1"/>
    <col min="4120" max="4120" width="11.28515625" style="1118" customWidth="1"/>
    <col min="4121" max="4121" width="12.42578125" style="1118" customWidth="1"/>
    <col min="4122" max="4122" width="11" style="1118" customWidth="1"/>
    <col min="4123" max="4124" width="7.85546875" style="1118" customWidth="1"/>
    <col min="4125" max="4125" width="11" style="1118" customWidth="1"/>
    <col min="4126" max="4126" width="10.5703125" style="1118" customWidth="1"/>
    <col min="4127" max="4128" width="11" style="1118" customWidth="1"/>
    <col min="4129" max="4133" width="7.85546875" style="1118" bestFit="1" customWidth="1"/>
    <col min="4134" max="4134" width="8.42578125" style="1118" bestFit="1" customWidth="1"/>
    <col min="4135" max="4135" width="11.42578125" style="1118" customWidth="1"/>
    <col min="4136" max="4136" width="7.85546875" style="1118" bestFit="1" customWidth="1"/>
    <col min="4137" max="4137" width="9.5703125" style="1118" customWidth="1"/>
    <col min="4138" max="4138" width="7.85546875" style="1118" bestFit="1" customWidth="1"/>
    <col min="4139" max="4139" width="12" style="1118" customWidth="1"/>
    <col min="4140" max="4140" width="13.42578125" style="1118" customWidth="1"/>
    <col min="4141" max="4141" width="9.5703125" style="1118" bestFit="1" customWidth="1"/>
    <col min="4142" max="4148" width="9.140625" style="1118" customWidth="1"/>
    <col min="4149" max="4352" width="9.140625" style="1118"/>
    <col min="4353" max="4353" width="16.7109375" style="1118" customWidth="1"/>
    <col min="4354" max="4354" width="52.5703125" style="1118" customWidth="1"/>
    <col min="4355" max="4355" width="11" style="1118" customWidth="1"/>
    <col min="4356" max="4356" width="13.42578125" style="1118" customWidth="1"/>
    <col min="4357" max="4357" width="11.28515625" style="1118" customWidth="1"/>
    <col min="4358" max="4358" width="10.28515625" style="1118" customWidth="1"/>
    <col min="4359" max="4359" width="13.85546875" style="1118" customWidth="1"/>
    <col min="4360" max="4361" width="7.85546875" style="1118" customWidth="1"/>
    <col min="4362" max="4362" width="10.85546875" style="1118" customWidth="1"/>
    <col min="4363" max="4363" width="13" style="1118" customWidth="1"/>
    <col min="4364" max="4364" width="11.42578125" style="1118" customWidth="1"/>
    <col min="4365" max="4365" width="10" style="1118" customWidth="1"/>
    <col min="4366" max="4366" width="7.85546875" style="1118" customWidth="1"/>
    <col min="4367" max="4367" width="10.140625" style="1118" customWidth="1"/>
    <col min="4368" max="4369" width="7.85546875" style="1118" customWidth="1"/>
    <col min="4370" max="4370" width="10.85546875" style="1118" customWidth="1"/>
    <col min="4371" max="4371" width="10.7109375" style="1118" customWidth="1"/>
    <col min="4372" max="4372" width="11" style="1118" customWidth="1"/>
    <col min="4373" max="4375" width="7.85546875" style="1118" customWidth="1"/>
    <col min="4376" max="4376" width="11.28515625" style="1118" customWidth="1"/>
    <col min="4377" max="4377" width="12.42578125" style="1118" customWidth="1"/>
    <col min="4378" max="4378" width="11" style="1118" customWidth="1"/>
    <col min="4379" max="4380" width="7.85546875" style="1118" customWidth="1"/>
    <col min="4381" max="4381" width="11" style="1118" customWidth="1"/>
    <col min="4382" max="4382" width="10.5703125" style="1118" customWidth="1"/>
    <col min="4383" max="4384" width="11" style="1118" customWidth="1"/>
    <col min="4385" max="4389" width="7.85546875" style="1118" bestFit="1" customWidth="1"/>
    <col min="4390" max="4390" width="8.42578125" style="1118" bestFit="1" customWidth="1"/>
    <col min="4391" max="4391" width="11.42578125" style="1118" customWidth="1"/>
    <col min="4392" max="4392" width="7.85546875" style="1118" bestFit="1" customWidth="1"/>
    <col min="4393" max="4393" width="9.5703125" style="1118" customWidth="1"/>
    <col min="4394" max="4394" width="7.85546875" style="1118" bestFit="1" customWidth="1"/>
    <col min="4395" max="4395" width="12" style="1118" customWidth="1"/>
    <col min="4396" max="4396" width="13.42578125" style="1118" customWidth="1"/>
    <col min="4397" max="4397" width="9.5703125" style="1118" bestFit="1" customWidth="1"/>
    <col min="4398" max="4404" width="9.140625" style="1118" customWidth="1"/>
    <col min="4405" max="4608" width="9.140625" style="1118"/>
    <col min="4609" max="4609" width="16.7109375" style="1118" customWidth="1"/>
    <col min="4610" max="4610" width="52.5703125" style="1118" customWidth="1"/>
    <col min="4611" max="4611" width="11" style="1118" customWidth="1"/>
    <col min="4612" max="4612" width="13.42578125" style="1118" customWidth="1"/>
    <col min="4613" max="4613" width="11.28515625" style="1118" customWidth="1"/>
    <col min="4614" max="4614" width="10.28515625" style="1118" customWidth="1"/>
    <col min="4615" max="4615" width="13.85546875" style="1118" customWidth="1"/>
    <col min="4616" max="4617" width="7.85546875" style="1118" customWidth="1"/>
    <col min="4618" max="4618" width="10.85546875" style="1118" customWidth="1"/>
    <col min="4619" max="4619" width="13" style="1118" customWidth="1"/>
    <col min="4620" max="4620" width="11.42578125" style="1118" customWidth="1"/>
    <col min="4621" max="4621" width="10" style="1118" customWidth="1"/>
    <col min="4622" max="4622" width="7.85546875" style="1118" customWidth="1"/>
    <col min="4623" max="4623" width="10.140625" style="1118" customWidth="1"/>
    <col min="4624" max="4625" width="7.85546875" style="1118" customWidth="1"/>
    <col min="4626" max="4626" width="10.85546875" style="1118" customWidth="1"/>
    <col min="4627" max="4627" width="10.7109375" style="1118" customWidth="1"/>
    <col min="4628" max="4628" width="11" style="1118" customWidth="1"/>
    <col min="4629" max="4631" width="7.85546875" style="1118" customWidth="1"/>
    <col min="4632" max="4632" width="11.28515625" style="1118" customWidth="1"/>
    <col min="4633" max="4633" width="12.42578125" style="1118" customWidth="1"/>
    <col min="4634" max="4634" width="11" style="1118" customWidth="1"/>
    <col min="4635" max="4636" width="7.85546875" style="1118" customWidth="1"/>
    <col min="4637" max="4637" width="11" style="1118" customWidth="1"/>
    <col min="4638" max="4638" width="10.5703125" style="1118" customWidth="1"/>
    <col min="4639" max="4640" width="11" style="1118" customWidth="1"/>
    <col min="4641" max="4645" width="7.85546875" style="1118" bestFit="1" customWidth="1"/>
    <col min="4646" max="4646" width="8.42578125" style="1118" bestFit="1" customWidth="1"/>
    <col min="4647" max="4647" width="11.42578125" style="1118" customWidth="1"/>
    <col min="4648" max="4648" width="7.85546875" style="1118" bestFit="1" customWidth="1"/>
    <col min="4649" max="4649" width="9.5703125" style="1118" customWidth="1"/>
    <col min="4650" max="4650" width="7.85546875" style="1118" bestFit="1" customWidth="1"/>
    <col min="4651" max="4651" width="12" style="1118" customWidth="1"/>
    <col min="4652" max="4652" width="13.42578125" style="1118" customWidth="1"/>
    <col min="4653" max="4653" width="9.5703125" style="1118" bestFit="1" customWidth="1"/>
    <col min="4654" max="4660" width="9.140625" style="1118" customWidth="1"/>
    <col min="4661" max="4864" width="9.140625" style="1118"/>
    <col min="4865" max="4865" width="16.7109375" style="1118" customWidth="1"/>
    <col min="4866" max="4866" width="52.5703125" style="1118" customWidth="1"/>
    <col min="4867" max="4867" width="11" style="1118" customWidth="1"/>
    <col min="4868" max="4868" width="13.42578125" style="1118" customWidth="1"/>
    <col min="4869" max="4869" width="11.28515625" style="1118" customWidth="1"/>
    <col min="4870" max="4870" width="10.28515625" style="1118" customWidth="1"/>
    <col min="4871" max="4871" width="13.85546875" style="1118" customWidth="1"/>
    <col min="4872" max="4873" width="7.85546875" style="1118" customWidth="1"/>
    <col min="4874" max="4874" width="10.85546875" style="1118" customWidth="1"/>
    <col min="4875" max="4875" width="13" style="1118" customWidth="1"/>
    <col min="4876" max="4876" width="11.42578125" style="1118" customWidth="1"/>
    <col min="4877" max="4877" width="10" style="1118" customWidth="1"/>
    <col min="4878" max="4878" width="7.85546875" style="1118" customWidth="1"/>
    <col min="4879" max="4879" width="10.140625" style="1118" customWidth="1"/>
    <col min="4880" max="4881" width="7.85546875" style="1118" customWidth="1"/>
    <col min="4882" max="4882" width="10.85546875" style="1118" customWidth="1"/>
    <col min="4883" max="4883" width="10.7109375" style="1118" customWidth="1"/>
    <col min="4884" max="4884" width="11" style="1118" customWidth="1"/>
    <col min="4885" max="4887" width="7.85546875" style="1118" customWidth="1"/>
    <col min="4888" max="4888" width="11.28515625" style="1118" customWidth="1"/>
    <col min="4889" max="4889" width="12.42578125" style="1118" customWidth="1"/>
    <col min="4890" max="4890" width="11" style="1118" customWidth="1"/>
    <col min="4891" max="4892" width="7.85546875" style="1118" customWidth="1"/>
    <col min="4893" max="4893" width="11" style="1118" customWidth="1"/>
    <col min="4894" max="4894" width="10.5703125" style="1118" customWidth="1"/>
    <col min="4895" max="4896" width="11" style="1118" customWidth="1"/>
    <col min="4897" max="4901" width="7.85546875" style="1118" bestFit="1" customWidth="1"/>
    <col min="4902" max="4902" width="8.42578125" style="1118" bestFit="1" customWidth="1"/>
    <col min="4903" max="4903" width="11.42578125" style="1118" customWidth="1"/>
    <col min="4904" max="4904" width="7.85546875" style="1118" bestFit="1" customWidth="1"/>
    <col min="4905" max="4905" width="9.5703125" style="1118" customWidth="1"/>
    <col min="4906" max="4906" width="7.85546875" style="1118" bestFit="1" customWidth="1"/>
    <col min="4907" max="4907" width="12" style="1118" customWidth="1"/>
    <col min="4908" max="4908" width="13.42578125" style="1118" customWidth="1"/>
    <col min="4909" max="4909" width="9.5703125" style="1118" bestFit="1" customWidth="1"/>
    <col min="4910" max="4916" width="9.140625" style="1118" customWidth="1"/>
    <col min="4917" max="5120" width="9.140625" style="1118"/>
    <col min="5121" max="5121" width="16.7109375" style="1118" customWidth="1"/>
    <col min="5122" max="5122" width="52.5703125" style="1118" customWidth="1"/>
    <col min="5123" max="5123" width="11" style="1118" customWidth="1"/>
    <col min="5124" max="5124" width="13.42578125" style="1118" customWidth="1"/>
    <col min="5125" max="5125" width="11.28515625" style="1118" customWidth="1"/>
    <col min="5126" max="5126" width="10.28515625" style="1118" customWidth="1"/>
    <col min="5127" max="5127" width="13.85546875" style="1118" customWidth="1"/>
    <col min="5128" max="5129" width="7.85546875" style="1118" customWidth="1"/>
    <col min="5130" max="5130" width="10.85546875" style="1118" customWidth="1"/>
    <col min="5131" max="5131" width="13" style="1118" customWidth="1"/>
    <col min="5132" max="5132" width="11.42578125" style="1118" customWidth="1"/>
    <col min="5133" max="5133" width="10" style="1118" customWidth="1"/>
    <col min="5134" max="5134" width="7.85546875" style="1118" customWidth="1"/>
    <col min="5135" max="5135" width="10.140625" style="1118" customWidth="1"/>
    <col min="5136" max="5137" width="7.85546875" style="1118" customWidth="1"/>
    <col min="5138" max="5138" width="10.85546875" style="1118" customWidth="1"/>
    <col min="5139" max="5139" width="10.7109375" style="1118" customWidth="1"/>
    <col min="5140" max="5140" width="11" style="1118" customWidth="1"/>
    <col min="5141" max="5143" width="7.85546875" style="1118" customWidth="1"/>
    <col min="5144" max="5144" width="11.28515625" style="1118" customWidth="1"/>
    <col min="5145" max="5145" width="12.42578125" style="1118" customWidth="1"/>
    <col min="5146" max="5146" width="11" style="1118" customWidth="1"/>
    <col min="5147" max="5148" width="7.85546875" style="1118" customWidth="1"/>
    <col min="5149" max="5149" width="11" style="1118" customWidth="1"/>
    <col min="5150" max="5150" width="10.5703125" style="1118" customWidth="1"/>
    <col min="5151" max="5152" width="11" style="1118" customWidth="1"/>
    <col min="5153" max="5157" width="7.85546875" style="1118" bestFit="1" customWidth="1"/>
    <col min="5158" max="5158" width="8.42578125" style="1118" bestFit="1" customWidth="1"/>
    <col min="5159" max="5159" width="11.42578125" style="1118" customWidth="1"/>
    <col min="5160" max="5160" width="7.85546875" style="1118" bestFit="1" customWidth="1"/>
    <col min="5161" max="5161" width="9.5703125" style="1118" customWidth="1"/>
    <col min="5162" max="5162" width="7.85546875" style="1118" bestFit="1" customWidth="1"/>
    <col min="5163" max="5163" width="12" style="1118" customWidth="1"/>
    <col min="5164" max="5164" width="13.42578125" style="1118" customWidth="1"/>
    <col min="5165" max="5165" width="9.5703125" style="1118" bestFit="1" customWidth="1"/>
    <col min="5166" max="5172" width="9.140625" style="1118" customWidth="1"/>
    <col min="5173" max="5376" width="9.140625" style="1118"/>
    <col min="5377" max="5377" width="16.7109375" style="1118" customWidth="1"/>
    <col min="5378" max="5378" width="52.5703125" style="1118" customWidth="1"/>
    <col min="5379" max="5379" width="11" style="1118" customWidth="1"/>
    <col min="5380" max="5380" width="13.42578125" style="1118" customWidth="1"/>
    <col min="5381" max="5381" width="11.28515625" style="1118" customWidth="1"/>
    <col min="5382" max="5382" width="10.28515625" style="1118" customWidth="1"/>
    <col min="5383" max="5383" width="13.85546875" style="1118" customWidth="1"/>
    <col min="5384" max="5385" width="7.85546875" style="1118" customWidth="1"/>
    <col min="5386" max="5386" width="10.85546875" style="1118" customWidth="1"/>
    <col min="5387" max="5387" width="13" style="1118" customWidth="1"/>
    <col min="5388" max="5388" width="11.42578125" style="1118" customWidth="1"/>
    <col min="5389" max="5389" width="10" style="1118" customWidth="1"/>
    <col min="5390" max="5390" width="7.85546875" style="1118" customWidth="1"/>
    <col min="5391" max="5391" width="10.140625" style="1118" customWidth="1"/>
    <col min="5392" max="5393" width="7.85546875" style="1118" customWidth="1"/>
    <col min="5394" max="5394" width="10.85546875" style="1118" customWidth="1"/>
    <col min="5395" max="5395" width="10.7109375" style="1118" customWidth="1"/>
    <col min="5396" max="5396" width="11" style="1118" customWidth="1"/>
    <col min="5397" max="5399" width="7.85546875" style="1118" customWidth="1"/>
    <col min="5400" max="5400" width="11.28515625" style="1118" customWidth="1"/>
    <col min="5401" max="5401" width="12.42578125" style="1118" customWidth="1"/>
    <col min="5402" max="5402" width="11" style="1118" customWidth="1"/>
    <col min="5403" max="5404" width="7.85546875" style="1118" customWidth="1"/>
    <col min="5405" max="5405" width="11" style="1118" customWidth="1"/>
    <col min="5406" max="5406" width="10.5703125" style="1118" customWidth="1"/>
    <col min="5407" max="5408" width="11" style="1118" customWidth="1"/>
    <col min="5409" max="5413" width="7.85546875" style="1118" bestFit="1" customWidth="1"/>
    <col min="5414" max="5414" width="8.42578125" style="1118" bestFit="1" customWidth="1"/>
    <col min="5415" max="5415" width="11.42578125" style="1118" customWidth="1"/>
    <col min="5416" max="5416" width="7.85546875" style="1118" bestFit="1" customWidth="1"/>
    <col min="5417" max="5417" width="9.5703125" style="1118" customWidth="1"/>
    <col min="5418" max="5418" width="7.85546875" style="1118" bestFit="1" customWidth="1"/>
    <col min="5419" max="5419" width="12" style="1118" customWidth="1"/>
    <col min="5420" max="5420" width="13.42578125" style="1118" customWidth="1"/>
    <col min="5421" max="5421" width="9.5703125" style="1118" bestFit="1" customWidth="1"/>
    <col min="5422" max="5428" width="9.140625" style="1118" customWidth="1"/>
    <col min="5429" max="5632" width="9.140625" style="1118"/>
    <col min="5633" max="5633" width="16.7109375" style="1118" customWidth="1"/>
    <col min="5634" max="5634" width="52.5703125" style="1118" customWidth="1"/>
    <col min="5635" max="5635" width="11" style="1118" customWidth="1"/>
    <col min="5636" max="5636" width="13.42578125" style="1118" customWidth="1"/>
    <col min="5637" max="5637" width="11.28515625" style="1118" customWidth="1"/>
    <col min="5638" max="5638" width="10.28515625" style="1118" customWidth="1"/>
    <col min="5639" max="5639" width="13.85546875" style="1118" customWidth="1"/>
    <col min="5640" max="5641" width="7.85546875" style="1118" customWidth="1"/>
    <col min="5642" max="5642" width="10.85546875" style="1118" customWidth="1"/>
    <col min="5643" max="5643" width="13" style="1118" customWidth="1"/>
    <col min="5644" max="5644" width="11.42578125" style="1118" customWidth="1"/>
    <col min="5645" max="5645" width="10" style="1118" customWidth="1"/>
    <col min="5646" max="5646" width="7.85546875" style="1118" customWidth="1"/>
    <col min="5647" max="5647" width="10.140625" style="1118" customWidth="1"/>
    <col min="5648" max="5649" width="7.85546875" style="1118" customWidth="1"/>
    <col min="5650" max="5650" width="10.85546875" style="1118" customWidth="1"/>
    <col min="5651" max="5651" width="10.7109375" style="1118" customWidth="1"/>
    <col min="5652" max="5652" width="11" style="1118" customWidth="1"/>
    <col min="5653" max="5655" width="7.85546875" style="1118" customWidth="1"/>
    <col min="5656" max="5656" width="11.28515625" style="1118" customWidth="1"/>
    <col min="5657" max="5657" width="12.42578125" style="1118" customWidth="1"/>
    <col min="5658" max="5658" width="11" style="1118" customWidth="1"/>
    <col min="5659" max="5660" width="7.85546875" style="1118" customWidth="1"/>
    <col min="5661" max="5661" width="11" style="1118" customWidth="1"/>
    <col min="5662" max="5662" width="10.5703125" style="1118" customWidth="1"/>
    <col min="5663" max="5664" width="11" style="1118" customWidth="1"/>
    <col min="5665" max="5669" width="7.85546875" style="1118" bestFit="1" customWidth="1"/>
    <col min="5670" max="5670" width="8.42578125" style="1118" bestFit="1" customWidth="1"/>
    <col min="5671" max="5671" width="11.42578125" style="1118" customWidth="1"/>
    <col min="5672" max="5672" width="7.85546875" style="1118" bestFit="1" customWidth="1"/>
    <col min="5673" max="5673" width="9.5703125" style="1118" customWidth="1"/>
    <col min="5674" max="5674" width="7.85546875" style="1118" bestFit="1" customWidth="1"/>
    <col min="5675" max="5675" width="12" style="1118" customWidth="1"/>
    <col min="5676" max="5676" width="13.42578125" style="1118" customWidth="1"/>
    <col min="5677" max="5677" width="9.5703125" style="1118" bestFit="1" customWidth="1"/>
    <col min="5678" max="5684" width="9.140625" style="1118" customWidth="1"/>
    <col min="5685" max="5888" width="9.140625" style="1118"/>
    <col min="5889" max="5889" width="16.7109375" style="1118" customWidth="1"/>
    <col min="5890" max="5890" width="52.5703125" style="1118" customWidth="1"/>
    <col min="5891" max="5891" width="11" style="1118" customWidth="1"/>
    <col min="5892" max="5892" width="13.42578125" style="1118" customWidth="1"/>
    <col min="5893" max="5893" width="11.28515625" style="1118" customWidth="1"/>
    <col min="5894" max="5894" width="10.28515625" style="1118" customWidth="1"/>
    <col min="5895" max="5895" width="13.85546875" style="1118" customWidth="1"/>
    <col min="5896" max="5897" width="7.85546875" style="1118" customWidth="1"/>
    <col min="5898" max="5898" width="10.85546875" style="1118" customWidth="1"/>
    <col min="5899" max="5899" width="13" style="1118" customWidth="1"/>
    <col min="5900" max="5900" width="11.42578125" style="1118" customWidth="1"/>
    <col min="5901" max="5901" width="10" style="1118" customWidth="1"/>
    <col min="5902" max="5902" width="7.85546875" style="1118" customWidth="1"/>
    <col min="5903" max="5903" width="10.140625" style="1118" customWidth="1"/>
    <col min="5904" max="5905" width="7.85546875" style="1118" customWidth="1"/>
    <col min="5906" max="5906" width="10.85546875" style="1118" customWidth="1"/>
    <col min="5907" max="5907" width="10.7109375" style="1118" customWidth="1"/>
    <col min="5908" max="5908" width="11" style="1118" customWidth="1"/>
    <col min="5909" max="5911" width="7.85546875" style="1118" customWidth="1"/>
    <col min="5912" max="5912" width="11.28515625" style="1118" customWidth="1"/>
    <col min="5913" max="5913" width="12.42578125" style="1118" customWidth="1"/>
    <col min="5914" max="5914" width="11" style="1118" customWidth="1"/>
    <col min="5915" max="5916" width="7.85546875" style="1118" customWidth="1"/>
    <col min="5917" max="5917" width="11" style="1118" customWidth="1"/>
    <col min="5918" max="5918" width="10.5703125" style="1118" customWidth="1"/>
    <col min="5919" max="5920" width="11" style="1118" customWidth="1"/>
    <col min="5921" max="5925" width="7.85546875" style="1118" bestFit="1" customWidth="1"/>
    <col min="5926" max="5926" width="8.42578125" style="1118" bestFit="1" customWidth="1"/>
    <col min="5927" max="5927" width="11.42578125" style="1118" customWidth="1"/>
    <col min="5928" max="5928" width="7.85546875" style="1118" bestFit="1" customWidth="1"/>
    <col min="5929" max="5929" width="9.5703125" style="1118" customWidth="1"/>
    <col min="5930" max="5930" width="7.85546875" style="1118" bestFit="1" customWidth="1"/>
    <col min="5931" max="5931" width="12" style="1118" customWidth="1"/>
    <col min="5932" max="5932" width="13.42578125" style="1118" customWidth="1"/>
    <col min="5933" max="5933" width="9.5703125" style="1118" bestFit="1" customWidth="1"/>
    <col min="5934" max="5940" width="9.140625" style="1118" customWidth="1"/>
    <col min="5941" max="6144" width="9.140625" style="1118"/>
    <col min="6145" max="6145" width="16.7109375" style="1118" customWidth="1"/>
    <col min="6146" max="6146" width="52.5703125" style="1118" customWidth="1"/>
    <col min="6147" max="6147" width="11" style="1118" customWidth="1"/>
    <col min="6148" max="6148" width="13.42578125" style="1118" customWidth="1"/>
    <col min="6149" max="6149" width="11.28515625" style="1118" customWidth="1"/>
    <col min="6150" max="6150" width="10.28515625" style="1118" customWidth="1"/>
    <col min="6151" max="6151" width="13.85546875" style="1118" customWidth="1"/>
    <col min="6152" max="6153" width="7.85546875" style="1118" customWidth="1"/>
    <col min="6154" max="6154" width="10.85546875" style="1118" customWidth="1"/>
    <col min="6155" max="6155" width="13" style="1118" customWidth="1"/>
    <col min="6156" max="6156" width="11.42578125" style="1118" customWidth="1"/>
    <col min="6157" max="6157" width="10" style="1118" customWidth="1"/>
    <col min="6158" max="6158" width="7.85546875" style="1118" customWidth="1"/>
    <col min="6159" max="6159" width="10.140625" style="1118" customWidth="1"/>
    <col min="6160" max="6161" width="7.85546875" style="1118" customWidth="1"/>
    <col min="6162" max="6162" width="10.85546875" style="1118" customWidth="1"/>
    <col min="6163" max="6163" width="10.7109375" style="1118" customWidth="1"/>
    <col min="6164" max="6164" width="11" style="1118" customWidth="1"/>
    <col min="6165" max="6167" width="7.85546875" style="1118" customWidth="1"/>
    <col min="6168" max="6168" width="11.28515625" style="1118" customWidth="1"/>
    <col min="6169" max="6169" width="12.42578125" style="1118" customWidth="1"/>
    <col min="6170" max="6170" width="11" style="1118" customWidth="1"/>
    <col min="6171" max="6172" width="7.85546875" style="1118" customWidth="1"/>
    <col min="6173" max="6173" width="11" style="1118" customWidth="1"/>
    <col min="6174" max="6174" width="10.5703125" style="1118" customWidth="1"/>
    <col min="6175" max="6176" width="11" style="1118" customWidth="1"/>
    <col min="6177" max="6181" width="7.85546875" style="1118" bestFit="1" customWidth="1"/>
    <col min="6182" max="6182" width="8.42578125" style="1118" bestFit="1" customWidth="1"/>
    <col min="6183" max="6183" width="11.42578125" style="1118" customWidth="1"/>
    <col min="6184" max="6184" width="7.85546875" style="1118" bestFit="1" customWidth="1"/>
    <col min="6185" max="6185" width="9.5703125" style="1118" customWidth="1"/>
    <col min="6186" max="6186" width="7.85546875" style="1118" bestFit="1" customWidth="1"/>
    <col min="6187" max="6187" width="12" style="1118" customWidth="1"/>
    <col min="6188" max="6188" width="13.42578125" style="1118" customWidth="1"/>
    <col min="6189" max="6189" width="9.5703125" style="1118" bestFit="1" customWidth="1"/>
    <col min="6190" max="6196" width="9.140625" style="1118" customWidth="1"/>
    <col min="6197" max="6400" width="9.140625" style="1118"/>
    <col min="6401" max="6401" width="16.7109375" style="1118" customWidth="1"/>
    <col min="6402" max="6402" width="52.5703125" style="1118" customWidth="1"/>
    <col min="6403" max="6403" width="11" style="1118" customWidth="1"/>
    <col min="6404" max="6404" width="13.42578125" style="1118" customWidth="1"/>
    <col min="6405" max="6405" width="11.28515625" style="1118" customWidth="1"/>
    <col min="6406" max="6406" width="10.28515625" style="1118" customWidth="1"/>
    <col min="6407" max="6407" width="13.85546875" style="1118" customWidth="1"/>
    <col min="6408" max="6409" width="7.85546875" style="1118" customWidth="1"/>
    <col min="6410" max="6410" width="10.85546875" style="1118" customWidth="1"/>
    <col min="6411" max="6411" width="13" style="1118" customWidth="1"/>
    <col min="6412" max="6412" width="11.42578125" style="1118" customWidth="1"/>
    <col min="6413" max="6413" width="10" style="1118" customWidth="1"/>
    <col min="6414" max="6414" width="7.85546875" style="1118" customWidth="1"/>
    <col min="6415" max="6415" width="10.140625" style="1118" customWidth="1"/>
    <col min="6416" max="6417" width="7.85546875" style="1118" customWidth="1"/>
    <col min="6418" max="6418" width="10.85546875" style="1118" customWidth="1"/>
    <col min="6419" max="6419" width="10.7109375" style="1118" customWidth="1"/>
    <col min="6420" max="6420" width="11" style="1118" customWidth="1"/>
    <col min="6421" max="6423" width="7.85546875" style="1118" customWidth="1"/>
    <col min="6424" max="6424" width="11.28515625" style="1118" customWidth="1"/>
    <col min="6425" max="6425" width="12.42578125" style="1118" customWidth="1"/>
    <col min="6426" max="6426" width="11" style="1118" customWidth="1"/>
    <col min="6427" max="6428" width="7.85546875" style="1118" customWidth="1"/>
    <col min="6429" max="6429" width="11" style="1118" customWidth="1"/>
    <col min="6430" max="6430" width="10.5703125" style="1118" customWidth="1"/>
    <col min="6431" max="6432" width="11" style="1118" customWidth="1"/>
    <col min="6433" max="6437" width="7.85546875" style="1118" bestFit="1" customWidth="1"/>
    <col min="6438" max="6438" width="8.42578125" style="1118" bestFit="1" customWidth="1"/>
    <col min="6439" max="6439" width="11.42578125" style="1118" customWidth="1"/>
    <col min="6440" max="6440" width="7.85546875" style="1118" bestFit="1" customWidth="1"/>
    <col min="6441" max="6441" width="9.5703125" style="1118" customWidth="1"/>
    <col min="6442" max="6442" width="7.85546875" style="1118" bestFit="1" customWidth="1"/>
    <col min="6443" max="6443" width="12" style="1118" customWidth="1"/>
    <col min="6444" max="6444" width="13.42578125" style="1118" customWidth="1"/>
    <col min="6445" max="6445" width="9.5703125" style="1118" bestFit="1" customWidth="1"/>
    <col min="6446" max="6452" width="9.140625" style="1118" customWidth="1"/>
    <col min="6453" max="6656" width="9.140625" style="1118"/>
    <col min="6657" max="6657" width="16.7109375" style="1118" customWidth="1"/>
    <col min="6658" max="6658" width="52.5703125" style="1118" customWidth="1"/>
    <col min="6659" max="6659" width="11" style="1118" customWidth="1"/>
    <col min="6660" max="6660" width="13.42578125" style="1118" customWidth="1"/>
    <col min="6661" max="6661" width="11.28515625" style="1118" customWidth="1"/>
    <col min="6662" max="6662" width="10.28515625" style="1118" customWidth="1"/>
    <col min="6663" max="6663" width="13.85546875" style="1118" customWidth="1"/>
    <col min="6664" max="6665" width="7.85546875" style="1118" customWidth="1"/>
    <col min="6666" max="6666" width="10.85546875" style="1118" customWidth="1"/>
    <col min="6667" max="6667" width="13" style="1118" customWidth="1"/>
    <col min="6668" max="6668" width="11.42578125" style="1118" customWidth="1"/>
    <col min="6669" max="6669" width="10" style="1118" customWidth="1"/>
    <col min="6670" max="6670" width="7.85546875" style="1118" customWidth="1"/>
    <col min="6671" max="6671" width="10.140625" style="1118" customWidth="1"/>
    <col min="6672" max="6673" width="7.85546875" style="1118" customWidth="1"/>
    <col min="6674" max="6674" width="10.85546875" style="1118" customWidth="1"/>
    <col min="6675" max="6675" width="10.7109375" style="1118" customWidth="1"/>
    <col min="6676" max="6676" width="11" style="1118" customWidth="1"/>
    <col min="6677" max="6679" width="7.85546875" style="1118" customWidth="1"/>
    <col min="6680" max="6680" width="11.28515625" style="1118" customWidth="1"/>
    <col min="6681" max="6681" width="12.42578125" style="1118" customWidth="1"/>
    <col min="6682" max="6682" width="11" style="1118" customWidth="1"/>
    <col min="6683" max="6684" width="7.85546875" style="1118" customWidth="1"/>
    <col min="6685" max="6685" width="11" style="1118" customWidth="1"/>
    <col min="6686" max="6686" width="10.5703125" style="1118" customWidth="1"/>
    <col min="6687" max="6688" width="11" style="1118" customWidth="1"/>
    <col min="6689" max="6693" width="7.85546875" style="1118" bestFit="1" customWidth="1"/>
    <col min="6694" max="6694" width="8.42578125" style="1118" bestFit="1" customWidth="1"/>
    <col min="6695" max="6695" width="11.42578125" style="1118" customWidth="1"/>
    <col min="6696" max="6696" width="7.85546875" style="1118" bestFit="1" customWidth="1"/>
    <col min="6697" max="6697" width="9.5703125" style="1118" customWidth="1"/>
    <col min="6698" max="6698" width="7.85546875" style="1118" bestFit="1" customWidth="1"/>
    <col min="6699" max="6699" width="12" style="1118" customWidth="1"/>
    <col min="6700" max="6700" width="13.42578125" style="1118" customWidth="1"/>
    <col min="6701" max="6701" width="9.5703125" style="1118" bestFit="1" customWidth="1"/>
    <col min="6702" max="6708" width="9.140625" style="1118" customWidth="1"/>
    <col min="6709" max="6912" width="9.140625" style="1118"/>
    <col min="6913" max="6913" width="16.7109375" style="1118" customWidth="1"/>
    <col min="6914" max="6914" width="52.5703125" style="1118" customWidth="1"/>
    <col min="6915" max="6915" width="11" style="1118" customWidth="1"/>
    <col min="6916" max="6916" width="13.42578125" style="1118" customWidth="1"/>
    <col min="6917" max="6917" width="11.28515625" style="1118" customWidth="1"/>
    <col min="6918" max="6918" width="10.28515625" style="1118" customWidth="1"/>
    <col min="6919" max="6919" width="13.85546875" style="1118" customWidth="1"/>
    <col min="6920" max="6921" width="7.85546875" style="1118" customWidth="1"/>
    <col min="6922" max="6922" width="10.85546875" style="1118" customWidth="1"/>
    <col min="6923" max="6923" width="13" style="1118" customWidth="1"/>
    <col min="6924" max="6924" width="11.42578125" style="1118" customWidth="1"/>
    <col min="6925" max="6925" width="10" style="1118" customWidth="1"/>
    <col min="6926" max="6926" width="7.85546875" style="1118" customWidth="1"/>
    <col min="6927" max="6927" width="10.140625" style="1118" customWidth="1"/>
    <col min="6928" max="6929" width="7.85546875" style="1118" customWidth="1"/>
    <col min="6930" max="6930" width="10.85546875" style="1118" customWidth="1"/>
    <col min="6931" max="6931" width="10.7109375" style="1118" customWidth="1"/>
    <col min="6932" max="6932" width="11" style="1118" customWidth="1"/>
    <col min="6933" max="6935" width="7.85546875" style="1118" customWidth="1"/>
    <col min="6936" max="6936" width="11.28515625" style="1118" customWidth="1"/>
    <col min="6937" max="6937" width="12.42578125" style="1118" customWidth="1"/>
    <col min="6938" max="6938" width="11" style="1118" customWidth="1"/>
    <col min="6939" max="6940" width="7.85546875" style="1118" customWidth="1"/>
    <col min="6941" max="6941" width="11" style="1118" customWidth="1"/>
    <col min="6942" max="6942" width="10.5703125" style="1118" customWidth="1"/>
    <col min="6943" max="6944" width="11" style="1118" customWidth="1"/>
    <col min="6945" max="6949" width="7.85546875" style="1118" bestFit="1" customWidth="1"/>
    <col min="6950" max="6950" width="8.42578125" style="1118" bestFit="1" customWidth="1"/>
    <col min="6951" max="6951" width="11.42578125" style="1118" customWidth="1"/>
    <col min="6952" max="6952" width="7.85546875" style="1118" bestFit="1" customWidth="1"/>
    <col min="6953" max="6953" width="9.5703125" style="1118" customWidth="1"/>
    <col min="6954" max="6954" width="7.85546875" style="1118" bestFit="1" customWidth="1"/>
    <col min="6955" max="6955" width="12" style="1118" customWidth="1"/>
    <col min="6956" max="6956" width="13.42578125" style="1118" customWidth="1"/>
    <col min="6957" max="6957" width="9.5703125" style="1118" bestFit="1" customWidth="1"/>
    <col min="6958" max="6964" width="9.140625" style="1118" customWidth="1"/>
    <col min="6965" max="7168" width="9.140625" style="1118"/>
    <col min="7169" max="7169" width="16.7109375" style="1118" customWidth="1"/>
    <col min="7170" max="7170" width="52.5703125" style="1118" customWidth="1"/>
    <col min="7171" max="7171" width="11" style="1118" customWidth="1"/>
    <col min="7172" max="7172" width="13.42578125" style="1118" customWidth="1"/>
    <col min="7173" max="7173" width="11.28515625" style="1118" customWidth="1"/>
    <col min="7174" max="7174" width="10.28515625" style="1118" customWidth="1"/>
    <col min="7175" max="7175" width="13.85546875" style="1118" customWidth="1"/>
    <col min="7176" max="7177" width="7.85546875" style="1118" customWidth="1"/>
    <col min="7178" max="7178" width="10.85546875" style="1118" customWidth="1"/>
    <col min="7179" max="7179" width="13" style="1118" customWidth="1"/>
    <col min="7180" max="7180" width="11.42578125" style="1118" customWidth="1"/>
    <col min="7181" max="7181" width="10" style="1118" customWidth="1"/>
    <col min="7182" max="7182" width="7.85546875" style="1118" customWidth="1"/>
    <col min="7183" max="7183" width="10.140625" style="1118" customWidth="1"/>
    <col min="7184" max="7185" width="7.85546875" style="1118" customWidth="1"/>
    <col min="7186" max="7186" width="10.85546875" style="1118" customWidth="1"/>
    <col min="7187" max="7187" width="10.7109375" style="1118" customWidth="1"/>
    <col min="7188" max="7188" width="11" style="1118" customWidth="1"/>
    <col min="7189" max="7191" width="7.85546875" style="1118" customWidth="1"/>
    <col min="7192" max="7192" width="11.28515625" style="1118" customWidth="1"/>
    <col min="7193" max="7193" width="12.42578125" style="1118" customWidth="1"/>
    <col min="7194" max="7194" width="11" style="1118" customWidth="1"/>
    <col min="7195" max="7196" width="7.85546875" style="1118" customWidth="1"/>
    <col min="7197" max="7197" width="11" style="1118" customWidth="1"/>
    <col min="7198" max="7198" width="10.5703125" style="1118" customWidth="1"/>
    <col min="7199" max="7200" width="11" style="1118" customWidth="1"/>
    <col min="7201" max="7205" width="7.85546875" style="1118" bestFit="1" customWidth="1"/>
    <col min="7206" max="7206" width="8.42578125" style="1118" bestFit="1" customWidth="1"/>
    <col min="7207" max="7207" width="11.42578125" style="1118" customWidth="1"/>
    <col min="7208" max="7208" width="7.85546875" style="1118" bestFit="1" customWidth="1"/>
    <col min="7209" max="7209" width="9.5703125" style="1118" customWidth="1"/>
    <col min="7210" max="7210" width="7.85546875" style="1118" bestFit="1" customWidth="1"/>
    <col min="7211" max="7211" width="12" style="1118" customWidth="1"/>
    <col min="7212" max="7212" width="13.42578125" style="1118" customWidth="1"/>
    <col min="7213" max="7213" width="9.5703125" style="1118" bestFit="1" customWidth="1"/>
    <col min="7214" max="7220" width="9.140625" style="1118" customWidth="1"/>
    <col min="7221" max="7424" width="9.140625" style="1118"/>
    <col min="7425" max="7425" width="16.7109375" style="1118" customWidth="1"/>
    <col min="7426" max="7426" width="52.5703125" style="1118" customWidth="1"/>
    <col min="7427" max="7427" width="11" style="1118" customWidth="1"/>
    <col min="7428" max="7428" width="13.42578125" style="1118" customWidth="1"/>
    <col min="7429" max="7429" width="11.28515625" style="1118" customWidth="1"/>
    <col min="7430" max="7430" width="10.28515625" style="1118" customWidth="1"/>
    <col min="7431" max="7431" width="13.85546875" style="1118" customWidth="1"/>
    <col min="7432" max="7433" width="7.85546875" style="1118" customWidth="1"/>
    <col min="7434" max="7434" width="10.85546875" style="1118" customWidth="1"/>
    <col min="7435" max="7435" width="13" style="1118" customWidth="1"/>
    <col min="7436" max="7436" width="11.42578125" style="1118" customWidth="1"/>
    <col min="7437" max="7437" width="10" style="1118" customWidth="1"/>
    <col min="7438" max="7438" width="7.85546875" style="1118" customWidth="1"/>
    <col min="7439" max="7439" width="10.140625" style="1118" customWidth="1"/>
    <col min="7440" max="7441" width="7.85546875" style="1118" customWidth="1"/>
    <col min="7442" max="7442" width="10.85546875" style="1118" customWidth="1"/>
    <col min="7443" max="7443" width="10.7109375" style="1118" customWidth="1"/>
    <col min="7444" max="7444" width="11" style="1118" customWidth="1"/>
    <col min="7445" max="7447" width="7.85546875" style="1118" customWidth="1"/>
    <col min="7448" max="7448" width="11.28515625" style="1118" customWidth="1"/>
    <col min="7449" max="7449" width="12.42578125" style="1118" customWidth="1"/>
    <col min="7450" max="7450" width="11" style="1118" customWidth="1"/>
    <col min="7451" max="7452" width="7.85546875" style="1118" customWidth="1"/>
    <col min="7453" max="7453" width="11" style="1118" customWidth="1"/>
    <col min="7454" max="7454" width="10.5703125" style="1118" customWidth="1"/>
    <col min="7455" max="7456" width="11" style="1118" customWidth="1"/>
    <col min="7457" max="7461" width="7.85546875" style="1118" bestFit="1" customWidth="1"/>
    <col min="7462" max="7462" width="8.42578125" style="1118" bestFit="1" customWidth="1"/>
    <col min="7463" max="7463" width="11.42578125" style="1118" customWidth="1"/>
    <col min="7464" max="7464" width="7.85546875" style="1118" bestFit="1" customWidth="1"/>
    <col min="7465" max="7465" width="9.5703125" style="1118" customWidth="1"/>
    <col min="7466" max="7466" width="7.85546875" style="1118" bestFit="1" customWidth="1"/>
    <col min="7467" max="7467" width="12" style="1118" customWidth="1"/>
    <col min="7468" max="7468" width="13.42578125" style="1118" customWidth="1"/>
    <col min="7469" max="7469" width="9.5703125" style="1118" bestFit="1" customWidth="1"/>
    <col min="7470" max="7476" width="9.140625" style="1118" customWidth="1"/>
    <col min="7477" max="7680" width="9.140625" style="1118"/>
    <col min="7681" max="7681" width="16.7109375" style="1118" customWidth="1"/>
    <col min="7682" max="7682" width="52.5703125" style="1118" customWidth="1"/>
    <col min="7683" max="7683" width="11" style="1118" customWidth="1"/>
    <col min="7684" max="7684" width="13.42578125" style="1118" customWidth="1"/>
    <col min="7685" max="7685" width="11.28515625" style="1118" customWidth="1"/>
    <col min="7686" max="7686" width="10.28515625" style="1118" customWidth="1"/>
    <col min="7687" max="7687" width="13.85546875" style="1118" customWidth="1"/>
    <col min="7688" max="7689" width="7.85546875" style="1118" customWidth="1"/>
    <col min="7690" max="7690" width="10.85546875" style="1118" customWidth="1"/>
    <col min="7691" max="7691" width="13" style="1118" customWidth="1"/>
    <col min="7692" max="7692" width="11.42578125" style="1118" customWidth="1"/>
    <col min="7693" max="7693" width="10" style="1118" customWidth="1"/>
    <col min="7694" max="7694" width="7.85546875" style="1118" customWidth="1"/>
    <col min="7695" max="7695" width="10.140625" style="1118" customWidth="1"/>
    <col min="7696" max="7697" width="7.85546875" style="1118" customWidth="1"/>
    <col min="7698" max="7698" width="10.85546875" style="1118" customWidth="1"/>
    <col min="7699" max="7699" width="10.7109375" style="1118" customWidth="1"/>
    <col min="7700" max="7700" width="11" style="1118" customWidth="1"/>
    <col min="7701" max="7703" width="7.85546875" style="1118" customWidth="1"/>
    <col min="7704" max="7704" width="11.28515625" style="1118" customWidth="1"/>
    <col min="7705" max="7705" width="12.42578125" style="1118" customWidth="1"/>
    <col min="7706" max="7706" width="11" style="1118" customWidth="1"/>
    <col min="7707" max="7708" width="7.85546875" style="1118" customWidth="1"/>
    <col min="7709" max="7709" width="11" style="1118" customWidth="1"/>
    <col min="7710" max="7710" width="10.5703125" style="1118" customWidth="1"/>
    <col min="7711" max="7712" width="11" style="1118" customWidth="1"/>
    <col min="7713" max="7717" width="7.85546875" style="1118" bestFit="1" customWidth="1"/>
    <col min="7718" max="7718" width="8.42578125" style="1118" bestFit="1" customWidth="1"/>
    <col min="7719" max="7719" width="11.42578125" style="1118" customWidth="1"/>
    <col min="7720" max="7720" width="7.85546875" style="1118" bestFit="1" customWidth="1"/>
    <col min="7721" max="7721" width="9.5703125" style="1118" customWidth="1"/>
    <col min="7722" max="7722" width="7.85546875" style="1118" bestFit="1" customWidth="1"/>
    <col min="7723" max="7723" width="12" style="1118" customWidth="1"/>
    <col min="7724" max="7724" width="13.42578125" style="1118" customWidth="1"/>
    <col min="7725" max="7725" width="9.5703125" style="1118" bestFit="1" customWidth="1"/>
    <col min="7726" max="7732" width="9.140625" style="1118" customWidth="1"/>
    <col min="7733" max="7936" width="9.140625" style="1118"/>
    <col min="7937" max="7937" width="16.7109375" style="1118" customWidth="1"/>
    <col min="7938" max="7938" width="52.5703125" style="1118" customWidth="1"/>
    <col min="7939" max="7939" width="11" style="1118" customWidth="1"/>
    <col min="7940" max="7940" width="13.42578125" style="1118" customWidth="1"/>
    <col min="7941" max="7941" width="11.28515625" style="1118" customWidth="1"/>
    <col min="7942" max="7942" width="10.28515625" style="1118" customWidth="1"/>
    <col min="7943" max="7943" width="13.85546875" style="1118" customWidth="1"/>
    <col min="7944" max="7945" width="7.85546875" style="1118" customWidth="1"/>
    <col min="7946" max="7946" width="10.85546875" style="1118" customWidth="1"/>
    <col min="7947" max="7947" width="13" style="1118" customWidth="1"/>
    <col min="7948" max="7948" width="11.42578125" style="1118" customWidth="1"/>
    <col min="7949" max="7949" width="10" style="1118" customWidth="1"/>
    <col min="7950" max="7950" width="7.85546875" style="1118" customWidth="1"/>
    <col min="7951" max="7951" width="10.140625" style="1118" customWidth="1"/>
    <col min="7952" max="7953" width="7.85546875" style="1118" customWidth="1"/>
    <col min="7954" max="7954" width="10.85546875" style="1118" customWidth="1"/>
    <col min="7955" max="7955" width="10.7109375" style="1118" customWidth="1"/>
    <col min="7956" max="7956" width="11" style="1118" customWidth="1"/>
    <col min="7957" max="7959" width="7.85546875" style="1118" customWidth="1"/>
    <col min="7960" max="7960" width="11.28515625" style="1118" customWidth="1"/>
    <col min="7961" max="7961" width="12.42578125" style="1118" customWidth="1"/>
    <col min="7962" max="7962" width="11" style="1118" customWidth="1"/>
    <col min="7963" max="7964" width="7.85546875" style="1118" customWidth="1"/>
    <col min="7965" max="7965" width="11" style="1118" customWidth="1"/>
    <col min="7966" max="7966" width="10.5703125" style="1118" customWidth="1"/>
    <col min="7967" max="7968" width="11" style="1118" customWidth="1"/>
    <col min="7969" max="7973" width="7.85546875" style="1118" bestFit="1" customWidth="1"/>
    <col min="7974" max="7974" width="8.42578125" style="1118" bestFit="1" customWidth="1"/>
    <col min="7975" max="7975" width="11.42578125" style="1118" customWidth="1"/>
    <col min="7976" max="7976" width="7.85546875" style="1118" bestFit="1" customWidth="1"/>
    <col min="7977" max="7977" width="9.5703125" style="1118" customWidth="1"/>
    <col min="7978" max="7978" width="7.85546875" style="1118" bestFit="1" customWidth="1"/>
    <col min="7979" max="7979" width="12" style="1118" customWidth="1"/>
    <col min="7980" max="7980" width="13.42578125" style="1118" customWidth="1"/>
    <col min="7981" max="7981" width="9.5703125" style="1118" bestFit="1" customWidth="1"/>
    <col min="7982" max="7988" width="9.140625" style="1118" customWidth="1"/>
    <col min="7989" max="8192" width="9.140625" style="1118"/>
    <col min="8193" max="8193" width="16.7109375" style="1118" customWidth="1"/>
    <col min="8194" max="8194" width="52.5703125" style="1118" customWidth="1"/>
    <col min="8195" max="8195" width="11" style="1118" customWidth="1"/>
    <col min="8196" max="8196" width="13.42578125" style="1118" customWidth="1"/>
    <col min="8197" max="8197" width="11.28515625" style="1118" customWidth="1"/>
    <col min="8198" max="8198" width="10.28515625" style="1118" customWidth="1"/>
    <col min="8199" max="8199" width="13.85546875" style="1118" customWidth="1"/>
    <col min="8200" max="8201" width="7.85546875" style="1118" customWidth="1"/>
    <col min="8202" max="8202" width="10.85546875" style="1118" customWidth="1"/>
    <col min="8203" max="8203" width="13" style="1118" customWidth="1"/>
    <col min="8204" max="8204" width="11.42578125" style="1118" customWidth="1"/>
    <col min="8205" max="8205" width="10" style="1118" customWidth="1"/>
    <col min="8206" max="8206" width="7.85546875" style="1118" customWidth="1"/>
    <col min="8207" max="8207" width="10.140625" style="1118" customWidth="1"/>
    <col min="8208" max="8209" width="7.85546875" style="1118" customWidth="1"/>
    <col min="8210" max="8210" width="10.85546875" style="1118" customWidth="1"/>
    <col min="8211" max="8211" width="10.7109375" style="1118" customWidth="1"/>
    <col min="8212" max="8212" width="11" style="1118" customWidth="1"/>
    <col min="8213" max="8215" width="7.85546875" style="1118" customWidth="1"/>
    <col min="8216" max="8216" width="11.28515625" style="1118" customWidth="1"/>
    <col min="8217" max="8217" width="12.42578125" style="1118" customWidth="1"/>
    <col min="8218" max="8218" width="11" style="1118" customWidth="1"/>
    <col min="8219" max="8220" width="7.85546875" style="1118" customWidth="1"/>
    <col min="8221" max="8221" width="11" style="1118" customWidth="1"/>
    <col min="8222" max="8222" width="10.5703125" style="1118" customWidth="1"/>
    <col min="8223" max="8224" width="11" style="1118" customWidth="1"/>
    <col min="8225" max="8229" width="7.85546875" style="1118" bestFit="1" customWidth="1"/>
    <col min="8230" max="8230" width="8.42578125" style="1118" bestFit="1" customWidth="1"/>
    <col min="8231" max="8231" width="11.42578125" style="1118" customWidth="1"/>
    <col min="8232" max="8232" width="7.85546875" style="1118" bestFit="1" customWidth="1"/>
    <col min="8233" max="8233" width="9.5703125" style="1118" customWidth="1"/>
    <col min="8234" max="8234" width="7.85546875" style="1118" bestFit="1" customWidth="1"/>
    <col min="8235" max="8235" width="12" style="1118" customWidth="1"/>
    <col min="8236" max="8236" width="13.42578125" style="1118" customWidth="1"/>
    <col min="8237" max="8237" width="9.5703125" style="1118" bestFit="1" customWidth="1"/>
    <col min="8238" max="8244" width="9.140625" style="1118" customWidth="1"/>
    <col min="8245" max="8448" width="9.140625" style="1118"/>
    <col min="8449" max="8449" width="16.7109375" style="1118" customWidth="1"/>
    <col min="8450" max="8450" width="52.5703125" style="1118" customWidth="1"/>
    <col min="8451" max="8451" width="11" style="1118" customWidth="1"/>
    <col min="8452" max="8452" width="13.42578125" style="1118" customWidth="1"/>
    <col min="8453" max="8453" width="11.28515625" style="1118" customWidth="1"/>
    <col min="8454" max="8454" width="10.28515625" style="1118" customWidth="1"/>
    <col min="8455" max="8455" width="13.85546875" style="1118" customWidth="1"/>
    <col min="8456" max="8457" width="7.85546875" style="1118" customWidth="1"/>
    <col min="8458" max="8458" width="10.85546875" style="1118" customWidth="1"/>
    <col min="8459" max="8459" width="13" style="1118" customWidth="1"/>
    <col min="8460" max="8460" width="11.42578125" style="1118" customWidth="1"/>
    <col min="8461" max="8461" width="10" style="1118" customWidth="1"/>
    <col min="8462" max="8462" width="7.85546875" style="1118" customWidth="1"/>
    <col min="8463" max="8463" width="10.140625" style="1118" customWidth="1"/>
    <col min="8464" max="8465" width="7.85546875" style="1118" customWidth="1"/>
    <col min="8466" max="8466" width="10.85546875" style="1118" customWidth="1"/>
    <col min="8467" max="8467" width="10.7109375" style="1118" customWidth="1"/>
    <col min="8468" max="8468" width="11" style="1118" customWidth="1"/>
    <col min="8469" max="8471" width="7.85546875" style="1118" customWidth="1"/>
    <col min="8472" max="8472" width="11.28515625" style="1118" customWidth="1"/>
    <col min="8473" max="8473" width="12.42578125" style="1118" customWidth="1"/>
    <col min="8474" max="8474" width="11" style="1118" customWidth="1"/>
    <col min="8475" max="8476" width="7.85546875" style="1118" customWidth="1"/>
    <col min="8477" max="8477" width="11" style="1118" customWidth="1"/>
    <col min="8478" max="8478" width="10.5703125" style="1118" customWidth="1"/>
    <col min="8479" max="8480" width="11" style="1118" customWidth="1"/>
    <col min="8481" max="8485" width="7.85546875" style="1118" bestFit="1" customWidth="1"/>
    <col min="8486" max="8486" width="8.42578125" style="1118" bestFit="1" customWidth="1"/>
    <col min="8487" max="8487" width="11.42578125" style="1118" customWidth="1"/>
    <col min="8488" max="8488" width="7.85546875" style="1118" bestFit="1" customWidth="1"/>
    <col min="8489" max="8489" width="9.5703125" style="1118" customWidth="1"/>
    <col min="8490" max="8490" width="7.85546875" style="1118" bestFit="1" customWidth="1"/>
    <col min="8491" max="8491" width="12" style="1118" customWidth="1"/>
    <col min="8492" max="8492" width="13.42578125" style="1118" customWidth="1"/>
    <col min="8493" max="8493" width="9.5703125" style="1118" bestFit="1" customWidth="1"/>
    <col min="8494" max="8500" width="9.140625" style="1118" customWidth="1"/>
    <col min="8501" max="8704" width="9.140625" style="1118"/>
    <col min="8705" max="8705" width="16.7109375" style="1118" customWidth="1"/>
    <col min="8706" max="8706" width="52.5703125" style="1118" customWidth="1"/>
    <col min="8707" max="8707" width="11" style="1118" customWidth="1"/>
    <col min="8708" max="8708" width="13.42578125" style="1118" customWidth="1"/>
    <col min="8709" max="8709" width="11.28515625" style="1118" customWidth="1"/>
    <col min="8710" max="8710" width="10.28515625" style="1118" customWidth="1"/>
    <col min="8711" max="8711" width="13.85546875" style="1118" customWidth="1"/>
    <col min="8712" max="8713" width="7.85546875" style="1118" customWidth="1"/>
    <col min="8714" max="8714" width="10.85546875" style="1118" customWidth="1"/>
    <col min="8715" max="8715" width="13" style="1118" customWidth="1"/>
    <col min="8716" max="8716" width="11.42578125" style="1118" customWidth="1"/>
    <col min="8717" max="8717" width="10" style="1118" customWidth="1"/>
    <col min="8718" max="8718" width="7.85546875" style="1118" customWidth="1"/>
    <col min="8719" max="8719" width="10.140625" style="1118" customWidth="1"/>
    <col min="8720" max="8721" width="7.85546875" style="1118" customWidth="1"/>
    <col min="8722" max="8722" width="10.85546875" style="1118" customWidth="1"/>
    <col min="8723" max="8723" width="10.7109375" style="1118" customWidth="1"/>
    <col min="8724" max="8724" width="11" style="1118" customWidth="1"/>
    <col min="8725" max="8727" width="7.85546875" style="1118" customWidth="1"/>
    <col min="8728" max="8728" width="11.28515625" style="1118" customWidth="1"/>
    <col min="8729" max="8729" width="12.42578125" style="1118" customWidth="1"/>
    <col min="8730" max="8730" width="11" style="1118" customWidth="1"/>
    <col min="8731" max="8732" width="7.85546875" style="1118" customWidth="1"/>
    <col min="8733" max="8733" width="11" style="1118" customWidth="1"/>
    <col min="8734" max="8734" width="10.5703125" style="1118" customWidth="1"/>
    <col min="8735" max="8736" width="11" style="1118" customWidth="1"/>
    <col min="8737" max="8741" width="7.85546875" style="1118" bestFit="1" customWidth="1"/>
    <col min="8742" max="8742" width="8.42578125" style="1118" bestFit="1" customWidth="1"/>
    <col min="8743" max="8743" width="11.42578125" style="1118" customWidth="1"/>
    <col min="8744" max="8744" width="7.85546875" style="1118" bestFit="1" customWidth="1"/>
    <col min="8745" max="8745" width="9.5703125" style="1118" customWidth="1"/>
    <col min="8746" max="8746" width="7.85546875" style="1118" bestFit="1" customWidth="1"/>
    <col min="8747" max="8747" width="12" style="1118" customWidth="1"/>
    <col min="8748" max="8748" width="13.42578125" style="1118" customWidth="1"/>
    <col min="8749" max="8749" width="9.5703125" style="1118" bestFit="1" customWidth="1"/>
    <col min="8750" max="8756" width="9.140625" style="1118" customWidth="1"/>
    <col min="8757" max="8960" width="9.140625" style="1118"/>
    <col min="8961" max="8961" width="16.7109375" style="1118" customWidth="1"/>
    <col min="8962" max="8962" width="52.5703125" style="1118" customWidth="1"/>
    <col min="8963" max="8963" width="11" style="1118" customWidth="1"/>
    <col min="8964" max="8964" width="13.42578125" style="1118" customWidth="1"/>
    <col min="8965" max="8965" width="11.28515625" style="1118" customWidth="1"/>
    <col min="8966" max="8966" width="10.28515625" style="1118" customWidth="1"/>
    <col min="8967" max="8967" width="13.85546875" style="1118" customWidth="1"/>
    <col min="8968" max="8969" width="7.85546875" style="1118" customWidth="1"/>
    <col min="8970" max="8970" width="10.85546875" style="1118" customWidth="1"/>
    <col min="8971" max="8971" width="13" style="1118" customWidth="1"/>
    <col min="8972" max="8972" width="11.42578125" style="1118" customWidth="1"/>
    <col min="8973" max="8973" width="10" style="1118" customWidth="1"/>
    <col min="8974" max="8974" width="7.85546875" style="1118" customWidth="1"/>
    <col min="8975" max="8975" width="10.140625" style="1118" customWidth="1"/>
    <col min="8976" max="8977" width="7.85546875" style="1118" customWidth="1"/>
    <col min="8978" max="8978" width="10.85546875" style="1118" customWidth="1"/>
    <col min="8979" max="8979" width="10.7109375" style="1118" customWidth="1"/>
    <col min="8980" max="8980" width="11" style="1118" customWidth="1"/>
    <col min="8981" max="8983" width="7.85546875" style="1118" customWidth="1"/>
    <col min="8984" max="8984" width="11.28515625" style="1118" customWidth="1"/>
    <col min="8985" max="8985" width="12.42578125" style="1118" customWidth="1"/>
    <col min="8986" max="8986" width="11" style="1118" customWidth="1"/>
    <col min="8987" max="8988" width="7.85546875" style="1118" customWidth="1"/>
    <col min="8989" max="8989" width="11" style="1118" customWidth="1"/>
    <col min="8990" max="8990" width="10.5703125" style="1118" customWidth="1"/>
    <col min="8991" max="8992" width="11" style="1118" customWidth="1"/>
    <col min="8993" max="8997" width="7.85546875" style="1118" bestFit="1" customWidth="1"/>
    <col min="8998" max="8998" width="8.42578125" style="1118" bestFit="1" customWidth="1"/>
    <col min="8999" max="8999" width="11.42578125" style="1118" customWidth="1"/>
    <col min="9000" max="9000" width="7.85546875" style="1118" bestFit="1" customWidth="1"/>
    <col min="9001" max="9001" width="9.5703125" style="1118" customWidth="1"/>
    <col min="9002" max="9002" width="7.85546875" style="1118" bestFit="1" customWidth="1"/>
    <col min="9003" max="9003" width="12" style="1118" customWidth="1"/>
    <col min="9004" max="9004" width="13.42578125" style="1118" customWidth="1"/>
    <col min="9005" max="9005" width="9.5703125" style="1118" bestFit="1" customWidth="1"/>
    <col min="9006" max="9012" width="9.140625" style="1118" customWidth="1"/>
    <col min="9013" max="9216" width="9.140625" style="1118"/>
    <col min="9217" max="9217" width="16.7109375" style="1118" customWidth="1"/>
    <col min="9218" max="9218" width="52.5703125" style="1118" customWidth="1"/>
    <col min="9219" max="9219" width="11" style="1118" customWidth="1"/>
    <col min="9220" max="9220" width="13.42578125" style="1118" customWidth="1"/>
    <col min="9221" max="9221" width="11.28515625" style="1118" customWidth="1"/>
    <col min="9222" max="9222" width="10.28515625" style="1118" customWidth="1"/>
    <col min="9223" max="9223" width="13.85546875" style="1118" customWidth="1"/>
    <col min="9224" max="9225" width="7.85546875" style="1118" customWidth="1"/>
    <col min="9226" max="9226" width="10.85546875" style="1118" customWidth="1"/>
    <col min="9227" max="9227" width="13" style="1118" customWidth="1"/>
    <col min="9228" max="9228" width="11.42578125" style="1118" customWidth="1"/>
    <col min="9229" max="9229" width="10" style="1118" customWidth="1"/>
    <col min="9230" max="9230" width="7.85546875" style="1118" customWidth="1"/>
    <col min="9231" max="9231" width="10.140625" style="1118" customWidth="1"/>
    <col min="9232" max="9233" width="7.85546875" style="1118" customWidth="1"/>
    <col min="9234" max="9234" width="10.85546875" style="1118" customWidth="1"/>
    <col min="9235" max="9235" width="10.7109375" style="1118" customWidth="1"/>
    <col min="9236" max="9236" width="11" style="1118" customWidth="1"/>
    <col min="9237" max="9239" width="7.85546875" style="1118" customWidth="1"/>
    <col min="9240" max="9240" width="11.28515625" style="1118" customWidth="1"/>
    <col min="9241" max="9241" width="12.42578125" style="1118" customWidth="1"/>
    <col min="9242" max="9242" width="11" style="1118" customWidth="1"/>
    <col min="9243" max="9244" width="7.85546875" style="1118" customWidth="1"/>
    <col min="9245" max="9245" width="11" style="1118" customWidth="1"/>
    <col min="9246" max="9246" width="10.5703125" style="1118" customWidth="1"/>
    <col min="9247" max="9248" width="11" style="1118" customWidth="1"/>
    <col min="9249" max="9253" width="7.85546875" style="1118" bestFit="1" customWidth="1"/>
    <col min="9254" max="9254" width="8.42578125" style="1118" bestFit="1" customWidth="1"/>
    <col min="9255" max="9255" width="11.42578125" style="1118" customWidth="1"/>
    <col min="9256" max="9256" width="7.85546875" style="1118" bestFit="1" customWidth="1"/>
    <col min="9257" max="9257" width="9.5703125" style="1118" customWidth="1"/>
    <col min="9258" max="9258" width="7.85546875" style="1118" bestFit="1" customWidth="1"/>
    <col min="9259" max="9259" width="12" style="1118" customWidth="1"/>
    <col min="9260" max="9260" width="13.42578125" style="1118" customWidth="1"/>
    <col min="9261" max="9261" width="9.5703125" style="1118" bestFit="1" customWidth="1"/>
    <col min="9262" max="9268" width="9.140625" style="1118" customWidth="1"/>
    <col min="9269" max="9472" width="9.140625" style="1118"/>
    <col min="9473" max="9473" width="16.7109375" style="1118" customWidth="1"/>
    <col min="9474" max="9474" width="52.5703125" style="1118" customWidth="1"/>
    <col min="9475" max="9475" width="11" style="1118" customWidth="1"/>
    <col min="9476" max="9476" width="13.42578125" style="1118" customWidth="1"/>
    <col min="9477" max="9477" width="11.28515625" style="1118" customWidth="1"/>
    <col min="9478" max="9478" width="10.28515625" style="1118" customWidth="1"/>
    <col min="9479" max="9479" width="13.85546875" style="1118" customWidth="1"/>
    <col min="9480" max="9481" width="7.85546875" style="1118" customWidth="1"/>
    <col min="9482" max="9482" width="10.85546875" style="1118" customWidth="1"/>
    <col min="9483" max="9483" width="13" style="1118" customWidth="1"/>
    <col min="9484" max="9484" width="11.42578125" style="1118" customWidth="1"/>
    <col min="9485" max="9485" width="10" style="1118" customWidth="1"/>
    <col min="9486" max="9486" width="7.85546875" style="1118" customWidth="1"/>
    <col min="9487" max="9487" width="10.140625" style="1118" customWidth="1"/>
    <col min="9488" max="9489" width="7.85546875" style="1118" customWidth="1"/>
    <col min="9490" max="9490" width="10.85546875" style="1118" customWidth="1"/>
    <col min="9491" max="9491" width="10.7109375" style="1118" customWidth="1"/>
    <col min="9492" max="9492" width="11" style="1118" customWidth="1"/>
    <col min="9493" max="9495" width="7.85546875" style="1118" customWidth="1"/>
    <col min="9496" max="9496" width="11.28515625" style="1118" customWidth="1"/>
    <col min="9497" max="9497" width="12.42578125" style="1118" customWidth="1"/>
    <col min="9498" max="9498" width="11" style="1118" customWidth="1"/>
    <col min="9499" max="9500" width="7.85546875" style="1118" customWidth="1"/>
    <col min="9501" max="9501" width="11" style="1118" customWidth="1"/>
    <col min="9502" max="9502" width="10.5703125" style="1118" customWidth="1"/>
    <col min="9503" max="9504" width="11" style="1118" customWidth="1"/>
    <col min="9505" max="9509" width="7.85546875" style="1118" bestFit="1" customWidth="1"/>
    <col min="9510" max="9510" width="8.42578125" style="1118" bestFit="1" customWidth="1"/>
    <col min="9511" max="9511" width="11.42578125" style="1118" customWidth="1"/>
    <col min="9512" max="9512" width="7.85546875" style="1118" bestFit="1" customWidth="1"/>
    <col min="9513" max="9513" width="9.5703125" style="1118" customWidth="1"/>
    <col min="9514" max="9514" width="7.85546875" style="1118" bestFit="1" customWidth="1"/>
    <col min="9515" max="9515" width="12" style="1118" customWidth="1"/>
    <col min="9516" max="9516" width="13.42578125" style="1118" customWidth="1"/>
    <col min="9517" max="9517" width="9.5703125" style="1118" bestFit="1" customWidth="1"/>
    <col min="9518" max="9524" width="9.140625" style="1118" customWidth="1"/>
    <col min="9525" max="9728" width="9.140625" style="1118"/>
    <col min="9729" max="9729" width="16.7109375" style="1118" customWidth="1"/>
    <col min="9730" max="9730" width="52.5703125" style="1118" customWidth="1"/>
    <col min="9731" max="9731" width="11" style="1118" customWidth="1"/>
    <col min="9732" max="9732" width="13.42578125" style="1118" customWidth="1"/>
    <col min="9733" max="9733" width="11.28515625" style="1118" customWidth="1"/>
    <col min="9734" max="9734" width="10.28515625" style="1118" customWidth="1"/>
    <col min="9735" max="9735" width="13.85546875" style="1118" customWidth="1"/>
    <col min="9736" max="9737" width="7.85546875" style="1118" customWidth="1"/>
    <col min="9738" max="9738" width="10.85546875" style="1118" customWidth="1"/>
    <col min="9739" max="9739" width="13" style="1118" customWidth="1"/>
    <col min="9740" max="9740" width="11.42578125" style="1118" customWidth="1"/>
    <col min="9741" max="9741" width="10" style="1118" customWidth="1"/>
    <col min="9742" max="9742" width="7.85546875" style="1118" customWidth="1"/>
    <col min="9743" max="9743" width="10.140625" style="1118" customWidth="1"/>
    <col min="9744" max="9745" width="7.85546875" style="1118" customWidth="1"/>
    <col min="9746" max="9746" width="10.85546875" style="1118" customWidth="1"/>
    <col min="9747" max="9747" width="10.7109375" style="1118" customWidth="1"/>
    <col min="9748" max="9748" width="11" style="1118" customWidth="1"/>
    <col min="9749" max="9751" width="7.85546875" style="1118" customWidth="1"/>
    <col min="9752" max="9752" width="11.28515625" style="1118" customWidth="1"/>
    <col min="9753" max="9753" width="12.42578125" style="1118" customWidth="1"/>
    <col min="9754" max="9754" width="11" style="1118" customWidth="1"/>
    <col min="9755" max="9756" width="7.85546875" style="1118" customWidth="1"/>
    <col min="9757" max="9757" width="11" style="1118" customWidth="1"/>
    <col min="9758" max="9758" width="10.5703125" style="1118" customWidth="1"/>
    <col min="9759" max="9760" width="11" style="1118" customWidth="1"/>
    <col min="9761" max="9765" width="7.85546875" style="1118" bestFit="1" customWidth="1"/>
    <col min="9766" max="9766" width="8.42578125" style="1118" bestFit="1" customWidth="1"/>
    <col min="9767" max="9767" width="11.42578125" style="1118" customWidth="1"/>
    <col min="9768" max="9768" width="7.85546875" style="1118" bestFit="1" customWidth="1"/>
    <col min="9769" max="9769" width="9.5703125" style="1118" customWidth="1"/>
    <col min="9770" max="9770" width="7.85546875" style="1118" bestFit="1" customWidth="1"/>
    <col min="9771" max="9771" width="12" style="1118" customWidth="1"/>
    <col min="9772" max="9772" width="13.42578125" style="1118" customWidth="1"/>
    <col min="9773" max="9773" width="9.5703125" style="1118" bestFit="1" customWidth="1"/>
    <col min="9774" max="9780" width="9.140625" style="1118" customWidth="1"/>
    <col min="9781" max="9984" width="9.140625" style="1118"/>
    <col min="9985" max="9985" width="16.7109375" style="1118" customWidth="1"/>
    <col min="9986" max="9986" width="52.5703125" style="1118" customWidth="1"/>
    <col min="9987" max="9987" width="11" style="1118" customWidth="1"/>
    <col min="9988" max="9988" width="13.42578125" style="1118" customWidth="1"/>
    <col min="9989" max="9989" width="11.28515625" style="1118" customWidth="1"/>
    <col min="9990" max="9990" width="10.28515625" style="1118" customWidth="1"/>
    <col min="9991" max="9991" width="13.85546875" style="1118" customWidth="1"/>
    <col min="9992" max="9993" width="7.85546875" style="1118" customWidth="1"/>
    <col min="9994" max="9994" width="10.85546875" style="1118" customWidth="1"/>
    <col min="9995" max="9995" width="13" style="1118" customWidth="1"/>
    <col min="9996" max="9996" width="11.42578125" style="1118" customWidth="1"/>
    <col min="9997" max="9997" width="10" style="1118" customWidth="1"/>
    <col min="9998" max="9998" width="7.85546875" style="1118" customWidth="1"/>
    <col min="9999" max="9999" width="10.140625" style="1118" customWidth="1"/>
    <col min="10000" max="10001" width="7.85546875" style="1118" customWidth="1"/>
    <col min="10002" max="10002" width="10.85546875" style="1118" customWidth="1"/>
    <col min="10003" max="10003" width="10.7109375" style="1118" customWidth="1"/>
    <col min="10004" max="10004" width="11" style="1118" customWidth="1"/>
    <col min="10005" max="10007" width="7.85546875" style="1118" customWidth="1"/>
    <col min="10008" max="10008" width="11.28515625" style="1118" customWidth="1"/>
    <col min="10009" max="10009" width="12.42578125" style="1118" customWidth="1"/>
    <col min="10010" max="10010" width="11" style="1118" customWidth="1"/>
    <col min="10011" max="10012" width="7.85546875" style="1118" customWidth="1"/>
    <col min="10013" max="10013" width="11" style="1118" customWidth="1"/>
    <col min="10014" max="10014" width="10.5703125" style="1118" customWidth="1"/>
    <col min="10015" max="10016" width="11" style="1118" customWidth="1"/>
    <col min="10017" max="10021" width="7.85546875" style="1118" bestFit="1" customWidth="1"/>
    <col min="10022" max="10022" width="8.42578125" style="1118" bestFit="1" customWidth="1"/>
    <col min="10023" max="10023" width="11.42578125" style="1118" customWidth="1"/>
    <col min="10024" max="10024" width="7.85546875" style="1118" bestFit="1" customWidth="1"/>
    <col min="10025" max="10025" width="9.5703125" style="1118" customWidth="1"/>
    <col min="10026" max="10026" width="7.85546875" style="1118" bestFit="1" customWidth="1"/>
    <col min="10027" max="10027" width="12" style="1118" customWidth="1"/>
    <col min="10028" max="10028" width="13.42578125" style="1118" customWidth="1"/>
    <col min="10029" max="10029" width="9.5703125" style="1118" bestFit="1" customWidth="1"/>
    <col min="10030" max="10036" width="9.140625" style="1118" customWidth="1"/>
    <col min="10037" max="10240" width="9.140625" style="1118"/>
    <col min="10241" max="10241" width="16.7109375" style="1118" customWidth="1"/>
    <col min="10242" max="10242" width="52.5703125" style="1118" customWidth="1"/>
    <col min="10243" max="10243" width="11" style="1118" customWidth="1"/>
    <col min="10244" max="10244" width="13.42578125" style="1118" customWidth="1"/>
    <col min="10245" max="10245" width="11.28515625" style="1118" customWidth="1"/>
    <col min="10246" max="10246" width="10.28515625" style="1118" customWidth="1"/>
    <col min="10247" max="10247" width="13.85546875" style="1118" customWidth="1"/>
    <col min="10248" max="10249" width="7.85546875" style="1118" customWidth="1"/>
    <col min="10250" max="10250" width="10.85546875" style="1118" customWidth="1"/>
    <col min="10251" max="10251" width="13" style="1118" customWidth="1"/>
    <col min="10252" max="10252" width="11.42578125" style="1118" customWidth="1"/>
    <col min="10253" max="10253" width="10" style="1118" customWidth="1"/>
    <col min="10254" max="10254" width="7.85546875" style="1118" customWidth="1"/>
    <col min="10255" max="10255" width="10.140625" style="1118" customWidth="1"/>
    <col min="10256" max="10257" width="7.85546875" style="1118" customWidth="1"/>
    <col min="10258" max="10258" width="10.85546875" style="1118" customWidth="1"/>
    <col min="10259" max="10259" width="10.7109375" style="1118" customWidth="1"/>
    <col min="10260" max="10260" width="11" style="1118" customWidth="1"/>
    <col min="10261" max="10263" width="7.85546875" style="1118" customWidth="1"/>
    <col min="10264" max="10264" width="11.28515625" style="1118" customWidth="1"/>
    <col min="10265" max="10265" width="12.42578125" style="1118" customWidth="1"/>
    <col min="10266" max="10266" width="11" style="1118" customWidth="1"/>
    <col min="10267" max="10268" width="7.85546875" style="1118" customWidth="1"/>
    <col min="10269" max="10269" width="11" style="1118" customWidth="1"/>
    <col min="10270" max="10270" width="10.5703125" style="1118" customWidth="1"/>
    <col min="10271" max="10272" width="11" style="1118" customWidth="1"/>
    <col min="10273" max="10277" width="7.85546875" style="1118" bestFit="1" customWidth="1"/>
    <col min="10278" max="10278" width="8.42578125" style="1118" bestFit="1" customWidth="1"/>
    <col min="10279" max="10279" width="11.42578125" style="1118" customWidth="1"/>
    <col min="10280" max="10280" width="7.85546875" style="1118" bestFit="1" customWidth="1"/>
    <col min="10281" max="10281" width="9.5703125" style="1118" customWidth="1"/>
    <col min="10282" max="10282" width="7.85546875" style="1118" bestFit="1" customWidth="1"/>
    <col min="10283" max="10283" width="12" style="1118" customWidth="1"/>
    <col min="10284" max="10284" width="13.42578125" style="1118" customWidth="1"/>
    <col min="10285" max="10285" width="9.5703125" style="1118" bestFit="1" customWidth="1"/>
    <col min="10286" max="10292" width="9.140625" style="1118" customWidth="1"/>
    <col min="10293" max="10496" width="9.140625" style="1118"/>
    <col min="10497" max="10497" width="16.7109375" style="1118" customWidth="1"/>
    <col min="10498" max="10498" width="52.5703125" style="1118" customWidth="1"/>
    <col min="10499" max="10499" width="11" style="1118" customWidth="1"/>
    <col min="10500" max="10500" width="13.42578125" style="1118" customWidth="1"/>
    <col min="10501" max="10501" width="11.28515625" style="1118" customWidth="1"/>
    <col min="10502" max="10502" width="10.28515625" style="1118" customWidth="1"/>
    <col min="10503" max="10503" width="13.85546875" style="1118" customWidth="1"/>
    <col min="10504" max="10505" width="7.85546875" style="1118" customWidth="1"/>
    <col min="10506" max="10506" width="10.85546875" style="1118" customWidth="1"/>
    <col min="10507" max="10507" width="13" style="1118" customWidth="1"/>
    <col min="10508" max="10508" width="11.42578125" style="1118" customWidth="1"/>
    <col min="10509" max="10509" width="10" style="1118" customWidth="1"/>
    <col min="10510" max="10510" width="7.85546875" style="1118" customWidth="1"/>
    <col min="10511" max="10511" width="10.140625" style="1118" customWidth="1"/>
    <col min="10512" max="10513" width="7.85546875" style="1118" customWidth="1"/>
    <col min="10514" max="10514" width="10.85546875" style="1118" customWidth="1"/>
    <col min="10515" max="10515" width="10.7109375" style="1118" customWidth="1"/>
    <col min="10516" max="10516" width="11" style="1118" customWidth="1"/>
    <col min="10517" max="10519" width="7.85546875" style="1118" customWidth="1"/>
    <col min="10520" max="10520" width="11.28515625" style="1118" customWidth="1"/>
    <col min="10521" max="10521" width="12.42578125" style="1118" customWidth="1"/>
    <col min="10522" max="10522" width="11" style="1118" customWidth="1"/>
    <col min="10523" max="10524" width="7.85546875" style="1118" customWidth="1"/>
    <col min="10525" max="10525" width="11" style="1118" customWidth="1"/>
    <col min="10526" max="10526" width="10.5703125" style="1118" customWidth="1"/>
    <col min="10527" max="10528" width="11" style="1118" customWidth="1"/>
    <col min="10529" max="10533" width="7.85546875" style="1118" bestFit="1" customWidth="1"/>
    <col min="10534" max="10534" width="8.42578125" style="1118" bestFit="1" customWidth="1"/>
    <col min="10535" max="10535" width="11.42578125" style="1118" customWidth="1"/>
    <col min="10536" max="10536" width="7.85546875" style="1118" bestFit="1" customWidth="1"/>
    <col min="10537" max="10537" width="9.5703125" style="1118" customWidth="1"/>
    <col min="10538" max="10538" width="7.85546875" style="1118" bestFit="1" customWidth="1"/>
    <col min="10539" max="10539" width="12" style="1118" customWidth="1"/>
    <col min="10540" max="10540" width="13.42578125" style="1118" customWidth="1"/>
    <col min="10541" max="10541" width="9.5703125" style="1118" bestFit="1" customWidth="1"/>
    <col min="10542" max="10548" width="9.140625" style="1118" customWidth="1"/>
    <col min="10549" max="10752" width="9.140625" style="1118"/>
    <col min="10753" max="10753" width="16.7109375" style="1118" customWidth="1"/>
    <col min="10754" max="10754" width="52.5703125" style="1118" customWidth="1"/>
    <col min="10755" max="10755" width="11" style="1118" customWidth="1"/>
    <col min="10756" max="10756" width="13.42578125" style="1118" customWidth="1"/>
    <col min="10757" max="10757" width="11.28515625" style="1118" customWidth="1"/>
    <col min="10758" max="10758" width="10.28515625" style="1118" customWidth="1"/>
    <col min="10759" max="10759" width="13.85546875" style="1118" customWidth="1"/>
    <col min="10760" max="10761" width="7.85546875" style="1118" customWidth="1"/>
    <col min="10762" max="10762" width="10.85546875" style="1118" customWidth="1"/>
    <col min="10763" max="10763" width="13" style="1118" customWidth="1"/>
    <col min="10764" max="10764" width="11.42578125" style="1118" customWidth="1"/>
    <col min="10765" max="10765" width="10" style="1118" customWidth="1"/>
    <col min="10766" max="10766" width="7.85546875" style="1118" customWidth="1"/>
    <col min="10767" max="10767" width="10.140625" style="1118" customWidth="1"/>
    <col min="10768" max="10769" width="7.85546875" style="1118" customWidth="1"/>
    <col min="10770" max="10770" width="10.85546875" style="1118" customWidth="1"/>
    <col min="10771" max="10771" width="10.7109375" style="1118" customWidth="1"/>
    <col min="10772" max="10772" width="11" style="1118" customWidth="1"/>
    <col min="10773" max="10775" width="7.85546875" style="1118" customWidth="1"/>
    <col min="10776" max="10776" width="11.28515625" style="1118" customWidth="1"/>
    <col min="10777" max="10777" width="12.42578125" style="1118" customWidth="1"/>
    <col min="10778" max="10778" width="11" style="1118" customWidth="1"/>
    <col min="10779" max="10780" width="7.85546875" style="1118" customWidth="1"/>
    <col min="10781" max="10781" width="11" style="1118" customWidth="1"/>
    <col min="10782" max="10782" width="10.5703125" style="1118" customWidth="1"/>
    <col min="10783" max="10784" width="11" style="1118" customWidth="1"/>
    <col min="10785" max="10789" width="7.85546875" style="1118" bestFit="1" customWidth="1"/>
    <col min="10790" max="10790" width="8.42578125" style="1118" bestFit="1" customWidth="1"/>
    <col min="10791" max="10791" width="11.42578125" style="1118" customWidth="1"/>
    <col min="10792" max="10792" width="7.85546875" style="1118" bestFit="1" customWidth="1"/>
    <col min="10793" max="10793" width="9.5703125" style="1118" customWidth="1"/>
    <col min="10794" max="10794" width="7.85546875" style="1118" bestFit="1" customWidth="1"/>
    <col min="10795" max="10795" width="12" style="1118" customWidth="1"/>
    <col min="10796" max="10796" width="13.42578125" style="1118" customWidth="1"/>
    <col min="10797" max="10797" width="9.5703125" style="1118" bestFit="1" customWidth="1"/>
    <col min="10798" max="10804" width="9.140625" style="1118" customWidth="1"/>
    <col min="10805" max="11008" width="9.140625" style="1118"/>
    <col min="11009" max="11009" width="16.7109375" style="1118" customWidth="1"/>
    <col min="11010" max="11010" width="52.5703125" style="1118" customWidth="1"/>
    <col min="11011" max="11011" width="11" style="1118" customWidth="1"/>
    <col min="11012" max="11012" width="13.42578125" style="1118" customWidth="1"/>
    <col min="11013" max="11013" width="11.28515625" style="1118" customWidth="1"/>
    <col min="11014" max="11014" width="10.28515625" style="1118" customWidth="1"/>
    <col min="11015" max="11015" width="13.85546875" style="1118" customWidth="1"/>
    <col min="11016" max="11017" width="7.85546875" style="1118" customWidth="1"/>
    <col min="11018" max="11018" width="10.85546875" style="1118" customWidth="1"/>
    <col min="11019" max="11019" width="13" style="1118" customWidth="1"/>
    <col min="11020" max="11020" width="11.42578125" style="1118" customWidth="1"/>
    <col min="11021" max="11021" width="10" style="1118" customWidth="1"/>
    <col min="11022" max="11022" width="7.85546875" style="1118" customWidth="1"/>
    <col min="11023" max="11023" width="10.140625" style="1118" customWidth="1"/>
    <col min="11024" max="11025" width="7.85546875" style="1118" customWidth="1"/>
    <col min="11026" max="11026" width="10.85546875" style="1118" customWidth="1"/>
    <col min="11027" max="11027" width="10.7109375" style="1118" customWidth="1"/>
    <col min="11028" max="11028" width="11" style="1118" customWidth="1"/>
    <col min="11029" max="11031" width="7.85546875" style="1118" customWidth="1"/>
    <col min="11032" max="11032" width="11.28515625" style="1118" customWidth="1"/>
    <col min="11033" max="11033" width="12.42578125" style="1118" customWidth="1"/>
    <col min="11034" max="11034" width="11" style="1118" customWidth="1"/>
    <col min="11035" max="11036" width="7.85546875" style="1118" customWidth="1"/>
    <col min="11037" max="11037" width="11" style="1118" customWidth="1"/>
    <col min="11038" max="11038" width="10.5703125" style="1118" customWidth="1"/>
    <col min="11039" max="11040" width="11" style="1118" customWidth="1"/>
    <col min="11041" max="11045" width="7.85546875" style="1118" bestFit="1" customWidth="1"/>
    <col min="11046" max="11046" width="8.42578125" style="1118" bestFit="1" customWidth="1"/>
    <col min="11047" max="11047" width="11.42578125" style="1118" customWidth="1"/>
    <col min="11048" max="11048" width="7.85546875" style="1118" bestFit="1" customWidth="1"/>
    <col min="11049" max="11049" width="9.5703125" style="1118" customWidth="1"/>
    <col min="11050" max="11050" width="7.85546875" style="1118" bestFit="1" customWidth="1"/>
    <col min="11051" max="11051" width="12" style="1118" customWidth="1"/>
    <col min="11052" max="11052" width="13.42578125" style="1118" customWidth="1"/>
    <col min="11053" max="11053" width="9.5703125" style="1118" bestFit="1" customWidth="1"/>
    <col min="11054" max="11060" width="9.140625" style="1118" customWidth="1"/>
    <col min="11061" max="11264" width="9.140625" style="1118"/>
    <col min="11265" max="11265" width="16.7109375" style="1118" customWidth="1"/>
    <col min="11266" max="11266" width="52.5703125" style="1118" customWidth="1"/>
    <col min="11267" max="11267" width="11" style="1118" customWidth="1"/>
    <col min="11268" max="11268" width="13.42578125" style="1118" customWidth="1"/>
    <col min="11269" max="11269" width="11.28515625" style="1118" customWidth="1"/>
    <col min="11270" max="11270" width="10.28515625" style="1118" customWidth="1"/>
    <col min="11271" max="11271" width="13.85546875" style="1118" customWidth="1"/>
    <col min="11272" max="11273" width="7.85546875" style="1118" customWidth="1"/>
    <col min="11274" max="11274" width="10.85546875" style="1118" customWidth="1"/>
    <col min="11275" max="11275" width="13" style="1118" customWidth="1"/>
    <col min="11276" max="11276" width="11.42578125" style="1118" customWidth="1"/>
    <col min="11277" max="11277" width="10" style="1118" customWidth="1"/>
    <col min="11278" max="11278" width="7.85546875" style="1118" customWidth="1"/>
    <col min="11279" max="11279" width="10.140625" style="1118" customWidth="1"/>
    <col min="11280" max="11281" width="7.85546875" style="1118" customWidth="1"/>
    <col min="11282" max="11282" width="10.85546875" style="1118" customWidth="1"/>
    <col min="11283" max="11283" width="10.7109375" style="1118" customWidth="1"/>
    <col min="11284" max="11284" width="11" style="1118" customWidth="1"/>
    <col min="11285" max="11287" width="7.85546875" style="1118" customWidth="1"/>
    <col min="11288" max="11288" width="11.28515625" style="1118" customWidth="1"/>
    <col min="11289" max="11289" width="12.42578125" style="1118" customWidth="1"/>
    <col min="11290" max="11290" width="11" style="1118" customWidth="1"/>
    <col min="11291" max="11292" width="7.85546875" style="1118" customWidth="1"/>
    <col min="11293" max="11293" width="11" style="1118" customWidth="1"/>
    <col min="11294" max="11294" width="10.5703125" style="1118" customWidth="1"/>
    <col min="11295" max="11296" width="11" style="1118" customWidth="1"/>
    <col min="11297" max="11301" width="7.85546875" style="1118" bestFit="1" customWidth="1"/>
    <col min="11302" max="11302" width="8.42578125" style="1118" bestFit="1" customWidth="1"/>
    <col min="11303" max="11303" width="11.42578125" style="1118" customWidth="1"/>
    <col min="11304" max="11304" width="7.85546875" style="1118" bestFit="1" customWidth="1"/>
    <col min="11305" max="11305" width="9.5703125" style="1118" customWidth="1"/>
    <col min="11306" max="11306" width="7.85546875" style="1118" bestFit="1" customWidth="1"/>
    <col min="11307" max="11307" width="12" style="1118" customWidth="1"/>
    <col min="11308" max="11308" width="13.42578125" style="1118" customWidth="1"/>
    <col min="11309" max="11309" width="9.5703125" style="1118" bestFit="1" customWidth="1"/>
    <col min="11310" max="11316" width="9.140625" style="1118" customWidth="1"/>
    <col min="11317" max="11520" width="9.140625" style="1118"/>
    <col min="11521" max="11521" width="16.7109375" style="1118" customWidth="1"/>
    <col min="11522" max="11522" width="52.5703125" style="1118" customWidth="1"/>
    <col min="11523" max="11523" width="11" style="1118" customWidth="1"/>
    <col min="11524" max="11524" width="13.42578125" style="1118" customWidth="1"/>
    <col min="11525" max="11525" width="11.28515625" style="1118" customWidth="1"/>
    <col min="11526" max="11526" width="10.28515625" style="1118" customWidth="1"/>
    <col min="11527" max="11527" width="13.85546875" style="1118" customWidth="1"/>
    <col min="11528" max="11529" width="7.85546875" style="1118" customWidth="1"/>
    <col min="11530" max="11530" width="10.85546875" style="1118" customWidth="1"/>
    <col min="11531" max="11531" width="13" style="1118" customWidth="1"/>
    <col min="11532" max="11532" width="11.42578125" style="1118" customWidth="1"/>
    <col min="11533" max="11533" width="10" style="1118" customWidth="1"/>
    <col min="11534" max="11534" width="7.85546875" style="1118" customWidth="1"/>
    <col min="11535" max="11535" width="10.140625" style="1118" customWidth="1"/>
    <col min="11536" max="11537" width="7.85546875" style="1118" customWidth="1"/>
    <col min="11538" max="11538" width="10.85546875" style="1118" customWidth="1"/>
    <col min="11539" max="11539" width="10.7109375" style="1118" customWidth="1"/>
    <col min="11540" max="11540" width="11" style="1118" customWidth="1"/>
    <col min="11541" max="11543" width="7.85546875" style="1118" customWidth="1"/>
    <col min="11544" max="11544" width="11.28515625" style="1118" customWidth="1"/>
    <col min="11545" max="11545" width="12.42578125" style="1118" customWidth="1"/>
    <col min="11546" max="11546" width="11" style="1118" customWidth="1"/>
    <col min="11547" max="11548" width="7.85546875" style="1118" customWidth="1"/>
    <col min="11549" max="11549" width="11" style="1118" customWidth="1"/>
    <col min="11550" max="11550" width="10.5703125" style="1118" customWidth="1"/>
    <col min="11551" max="11552" width="11" style="1118" customWidth="1"/>
    <col min="11553" max="11557" width="7.85546875" style="1118" bestFit="1" customWidth="1"/>
    <col min="11558" max="11558" width="8.42578125" style="1118" bestFit="1" customWidth="1"/>
    <col min="11559" max="11559" width="11.42578125" style="1118" customWidth="1"/>
    <col min="11560" max="11560" width="7.85546875" style="1118" bestFit="1" customWidth="1"/>
    <col min="11561" max="11561" width="9.5703125" style="1118" customWidth="1"/>
    <col min="11562" max="11562" width="7.85546875" style="1118" bestFit="1" customWidth="1"/>
    <col min="11563" max="11563" width="12" style="1118" customWidth="1"/>
    <col min="11564" max="11564" width="13.42578125" style="1118" customWidth="1"/>
    <col min="11565" max="11565" width="9.5703125" style="1118" bestFit="1" customWidth="1"/>
    <col min="11566" max="11572" width="9.140625" style="1118" customWidth="1"/>
    <col min="11573" max="11776" width="9.140625" style="1118"/>
    <col min="11777" max="11777" width="16.7109375" style="1118" customWidth="1"/>
    <col min="11778" max="11778" width="52.5703125" style="1118" customWidth="1"/>
    <col min="11779" max="11779" width="11" style="1118" customWidth="1"/>
    <col min="11780" max="11780" width="13.42578125" style="1118" customWidth="1"/>
    <col min="11781" max="11781" width="11.28515625" style="1118" customWidth="1"/>
    <col min="11782" max="11782" width="10.28515625" style="1118" customWidth="1"/>
    <col min="11783" max="11783" width="13.85546875" style="1118" customWidth="1"/>
    <col min="11784" max="11785" width="7.85546875" style="1118" customWidth="1"/>
    <col min="11786" max="11786" width="10.85546875" style="1118" customWidth="1"/>
    <col min="11787" max="11787" width="13" style="1118" customWidth="1"/>
    <col min="11788" max="11788" width="11.42578125" style="1118" customWidth="1"/>
    <col min="11789" max="11789" width="10" style="1118" customWidth="1"/>
    <col min="11790" max="11790" width="7.85546875" style="1118" customWidth="1"/>
    <col min="11791" max="11791" width="10.140625" style="1118" customWidth="1"/>
    <col min="11792" max="11793" width="7.85546875" style="1118" customWidth="1"/>
    <col min="11794" max="11794" width="10.85546875" style="1118" customWidth="1"/>
    <col min="11795" max="11795" width="10.7109375" style="1118" customWidth="1"/>
    <col min="11796" max="11796" width="11" style="1118" customWidth="1"/>
    <col min="11797" max="11799" width="7.85546875" style="1118" customWidth="1"/>
    <col min="11800" max="11800" width="11.28515625" style="1118" customWidth="1"/>
    <col min="11801" max="11801" width="12.42578125" style="1118" customWidth="1"/>
    <col min="11802" max="11802" width="11" style="1118" customWidth="1"/>
    <col min="11803" max="11804" width="7.85546875" style="1118" customWidth="1"/>
    <col min="11805" max="11805" width="11" style="1118" customWidth="1"/>
    <col min="11806" max="11806" width="10.5703125" style="1118" customWidth="1"/>
    <col min="11807" max="11808" width="11" style="1118" customWidth="1"/>
    <col min="11809" max="11813" width="7.85546875" style="1118" bestFit="1" customWidth="1"/>
    <col min="11814" max="11814" width="8.42578125" style="1118" bestFit="1" customWidth="1"/>
    <col min="11815" max="11815" width="11.42578125" style="1118" customWidth="1"/>
    <col min="11816" max="11816" width="7.85546875" style="1118" bestFit="1" customWidth="1"/>
    <col min="11817" max="11817" width="9.5703125" style="1118" customWidth="1"/>
    <col min="11818" max="11818" width="7.85546875" style="1118" bestFit="1" customWidth="1"/>
    <col min="11819" max="11819" width="12" style="1118" customWidth="1"/>
    <col min="11820" max="11820" width="13.42578125" style="1118" customWidth="1"/>
    <col min="11821" max="11821" width="9.5703125" style="1118" bestFit="1" customWidth="1"/>
    <col min="11822" max="11828" width="9.140625" style="1118" customWidth="1"/>
    <col min="11829" max="12032" width="9.140625" style="1118"/>
    <col min="12033" max="12033" width="16.7109375" style="1118" customWidth="1"/>
    <col min="12034" max="12034" width="52.5703125" style="1118" customWidth="1"/>
    <col min="12035" max="12035" width="11" style="1118" customWidth="1"/>
    <col min="12036" max="12036" width="13.42578125" style="1118" customWidth="1"/>
    <col min="12037" max="12037" width="11.28515625" style="1118" customWidth="1"/>
    <col min="12038" max="12038" width="10.28515625" style="1118" customWidth="1"/>
    <col min="12039" max="12039" width="13.85546875" style="1118" customWidth="1"/>
    <col min="12040" max="12041" width="7.85546875" style="1118" customWidth="1"/>
    <col min="12042" max="12042" width="10.85546875" style="1118" customWidth="1"/>
    <col min="12043" max="12043" width="13" style="1118" customWidth="1"/>
    <col min="12044" max="12044" width="11.42578125" style="1118" customWidth="1"/>
    <col min="12045" max="12045" width="10" style="1118" customWidth="1"/>
    <col min="12046" max="12046" width="7.85546875" style="1118" customWidth="1"/>
    <col min="12047" max="12047" width="10.140625" style="1118" customWidth="1"/>
    <col min="12048" max="12049" width="7.85546875" style="1118" customWidth="1"/>
    <col min="12050" max="12050" width="10.85546875" style="1118" customWidth="1"/>
    <col min="12051" max="12051" width="10.7109375" style="1118" customWidth="1"/>
    <col min="12052" max="12052" width="11" style="1118" customWidth="1"/>
    <col min="12053" max="12055" width="7.85546875" style="1118" customWidth="1"/>
    <col min="12056" max="12056" width="11.28515625" style="1118" customWidth="1"/>
    <col min="12057" max="12057" width="12.42578125" style="1118" customWidth="1"/>
    <col min="12058" max="12058" width="11" style="1118" customWidth="1"/>
    <col min="12059" max="12060" width="7.85546875" style="1118" customWidth="1"/>
    <col min="12061" max="12061" width="11" style="1118" customWidth="1"/>
    <col min="12062" max="12062" width="10.5703125" style="1118" customWidth="1"/>
    <col min="12063" max="12064" width="11" style="1118" customWidth="1"/>
    <col min="12065" max="12069" width="7.85546875" style="1118" bestFit="1" customWidth="1"/>
    <col min="12070" max="12070" width="8.42578125" style="1118" bestFit="1" customWidth="1"/>
    <col min="12071" max="12071" width="11.42578125" style="1118" customWidth="1"/>
    <col min="12072" max="12072" width="7.85546875" style="1118" bestFit="1" customWidth="1"/>
    <col min="12073" max="12073" width="9.5703125" style="1118" customWidth="1"/>
    <col min="12074" max="12074" width="7.85546875" style="1118" bestFit="1" customWidth="1"/>
    <col min="12075" max="12075" width="12" style="1118" customWidth="1"/>
    <col min="12076" max="12076" width="13.42578125" style="1118" customWidth="1"/>
    <col min="12077" max="12077" width="9.5703125" style="1118" bestFit="1" customWidth="1"/>
    <col min="12078" max="12084" width="9.140625" style="1118" customWidth="1"/>
    <col min="12085" max="12288" width="9.140625" style="1118"/>
    <col min="12289" max="12289" width="16.7109375" style="1118" customWidth="1"/>
    <col min="12290" max="12290" width="52.5703125" style="1118" customWidth="1"/>
    <col min="12291" max="12291" width="11" style="1118" customWidth="1"/>
    <col min="12292" max="12292" width="13.42578125" style="1118" customWidth="1"/>
    <col min="12293" max="12293" width="11.28515625" style="1118" customWidth="1"/>
    <col min="12294" max="12294" width="10.28515625" style="1118" customWidth="1"/>
    <col min="12295" max="12295" width="13.85546875" style="1118" customWidth="1"/>
    <col min="12296" max="12297" width="7.85546875" style="1118" customWidth="1"/>
    <col min="12298" max="12298" width="10.85546875" style="1118" customWidth="1"/>
    <col min="12299" max="12299" width="13" style="1118" customWidth="1"/>
    <col min="12300" max="12300" width="11.42578125" style="1118" customWidth="1"/>
    <col min="12301" max="12301" width="10" style="1118" customWidth="1"/>
    <col min="12302" max="12302" width="7.85546875" style="1118" customWidth="1"/>
    <col min="12303" max="12303" width="10.140625" style="1118" customWidth="1"/>
    <col min="12304" max="12305" width="7.85546875" style="1118" customWidth="1"/>
    <col min="12306" max="12306" width="10.85546875" style="1118" customWidth="1"/>
    <col min="12307" max="12307" width="10.7109375" style="1118" customWidth="1"/>
    <col min="12308" max="12308" width="11" style="1118" customWidth="1"/>
    <col min="12309" max="12311" width="7.85546875" style="1118" customWidth="1"/>
    <col min="12312" max="12312" width="11.28515625" style="1118" customWidth="1"/>
    <col min="12313" max="12313" width="12.42578125" style="1118" customWidth="1"/>
    <col min="12314" max="12314" width="11" style="1118" customWidth="1"/>
    <col min="12315" max="12316" width="7.85546875" style="1118" customWidth="1"/>
    <col min="12317" max="12317" width="11" style="1118" customWidth="1"/>
    <col min="12318" max="12318" width="10.5703125" style="1118" customWidth="1"/>
    <col min="12319" max="12320" width="11" style="1118" customWidth="1"/>
    <col min="12321" max="12325" width="7.85546875" style="1118" bestFit="1" customWidth="1"/>
    <col min="12326" max="12326" width="8.42578125" style="1118" bestFit="1" customWidth="1"/>
    <col min="12327" max="12327" width="11.42578125" style="1118" customWidth="1"/>
    <col min="12328" max="12328" width="7.85546875" style="1118" bestFit="1" customWidth="1"/>
    <col min="12329" max="12329" width="9.5703125" style="1118" customWidth="1"/>
    <col min="12330" max="12330" width="7.85546875" style="1118" bestFit="1" customWidth="1"/>
    <col min="12331" max="12331" width="12" style="1118" customWidth="1"/>
    <col min="12332" max="12332" width="13.42578125" style="1118" customWidth="1"/>
    <col min="12333" max="12333" width="9.5703125" style="1118" bestFit="1" customWidth="1"/>
    <col min="12334" max="12340" width="9.140625" style="1118" customWidth="1"/>
    <col min="12341" max="12544" width="9.140625" style="1118"/>
    <col min="12545" max="12545" width="16.7109375" style="1118" customWidth="1"/>
    <col min="12546" max="12546" width="52.5703125" style="1118" customWidth="1"/>
    <col min="12547" max="12547" width="11" style="1118" customWidth="1"/>
    <col min="12548" max="12548" width="13.42578125" style="1118" customWidth="1"/>
    <col min="12549" max="12549" width="11.28515625" style="1118" customWidth="1"/>
    <col min="12550" max="12550" width="10.28515625" style="1118" customWidth="1"/>
    <col min="12551" max="12551" width="13.85546875" style="1118" customWidth="1"/>
    <col min="12552" max="12553" width="7.85546875" style="1118" customWidth="1"/>
    <col min="12554" max="12554" width="10.85546875" style="1118" customWidth="1"/>
    <col min="12555" max="12555" width="13" style="1118" customWidth="1"/>
    <col min="12556" max="12556" width="11.42578125" style="1118" customWidth="1"/>
    <col min="12557" max="12557" width="10" style="1118" customWidth="1"/>
    <col min="12558" max="12558" width="7.85546875" style="1118" customWidth="1"/>
    <col min="12559" max="12559" width="10.140625" style="1118" customWidth="1"/>
    <col min="12560" max="12561" width="7.85546875" style="1118" customWidth="1"/>
    <col min="12562" max="12562" width="10.85546875" style="1118" customWidth="1"/>
    <col min="12563" max="12563" width="10.7109375" style="1118" customWidth="1"/>
    <col min="12564" max="12564" width="11" style="1118" customWidth="1"/>
    <col min="12565" max="12567" width="7.85546875" style="1118" customWidth="1"/>
    <col min="12568" max="12568" width="11.28515625" style="1118" customWidth="1"/>
    <col min="12569" max="12569" width="12.42578125" style="1118" customWidth="1"/>
    <col min="12570" max="12570" width="11" style="1118" customWidth="1"/>
    <col min="12571" max="12572" width="7.85546875" style="1118" customWidth="1"/>
    <col min="12573" max="12573" width="11" style="1118" customWidth="1"/>
    <col min="12574" max="12574" width="10.5703125" style="1118" customWidth="1"/>
    <col min="12575" max="12576" width="11" style="1118" customWidth="1"/>
    <col min="12577" max="12581" width="7.85546875" style="1118" bestFit="1" customWidth="1"/>
    <col min="12582" max="12582" width="8.42578125" style="1118" bestFit="1" customWidth="1"/>
    <col min="12583" max="12583" width="11.42578125" style="1118" customWidth="1"/>
    <col min="12584" max="12584" width="7.85546875" style="1118" bestFit="1" customWidth="1"/>
    <col min="12585" max="12585" width="9.5703125" style="1118" customWidth="1"/>
    <col min="12586" max="12586" width="7.85546875" style="1118" bestFit="1" customWidth="1"/>
    <col min="12587" max="12587" width="12" style="1118" customWidth="1"/>
    <col min="12588" max="12588" width="13.42578125" style="1118" customWidth="1"/>
    <col min="12589" max="12589" width="9.5703125" style="1118" bestFit="1" customWidth="1"/>
    <col min="12590" max="12596" width="9.140625" style="1118" customWidth="1"/>
    <col min="12597" max="12800" width="9.140625" style="1118"/>
    <col min="12801" max="12801" width="16.7109375" style="1118" customWidth="1"/>
    <col min="12802" max="12802" width="52.5703125" style="1118" customWidth="1"/>
    <col min="12803" max="12803" width="11" style="1118" customWidth="1"/>
    <col min="12804" max="12804" width="13.42578125" style="1118" customWidth="1"/>
    <col min="12805" max="12805" width="11.28515625" style="1118" customWidth="1"/>
    <col min="12806" max="12806" width="10.28515625" style="1118" customWidth="1"/>
    <col min="12807" max="12807" width="13.85546875" style="1118" customWidth="1"/>
    <col min="12808" max="12809" width="7.85546875" style="1118" customWidth="1"/>
    <col min="12810" max="12810" width="10.85546875" style="1118" customWidth="1"/>
    <col min="12811" max="12811" width="13" style="1118" customWidth="1"/>
    <col min="12812" max="12812" width="11.42578125" style="1118" customWidth="1"/>
    <col min="12813" max="12813" width="10" style="1118" customWidth="1"/>
    <col min="12814" max="12814" width="7.85546875" style="1118" customWidth="1"/>
    <col min="12815" max="12815" width="10.140625" style="1118" customWidth="1"/>
    <col min="12816" max="12817" width="7.85546875" style="1118" customWidth="1"/>
    <col min="12818" max="12818" width="10.85546875" style="1118" customWidth="1"/>
    <col min="12819" max="12819" width="10.7109375" style="1118" customWidth="1"/>
    <col min="12820" max="12820" width="11" style="1118" customWidth="1"/>
    <col min="12821" max="12823" width="7.85546875" style="1118" customWidth="1"/>
    <col min="12824" max="12824" width="11.28515625" style="1118" customWidth="1"/>
    <col min="12825" max="12825" width="12.42578125" style="1118" customWidth="1"/>
    <col min="12826" max="12826" width="11" style="1118" customWidth="1"/>
    <col min="12827" max="12828" width="7.85546875" style="1118" customWidth="1"/>
    <col min="12829" max="12829" width="11" style="1118" customWidth="1"/>
    <col min="12830" max="12830" width="10.5703125" style="1118" customWidth="1"/>
    <col min="12831" max="12832" width="11" style="1118" customWidth="1"/>
    <col min="12833" max="12837" width="7.85546875" style="1118" bestFit="1" customWidth="1"/>
    <col min="12838" max="12838" width="8.42578125" style="1118" bestFit="1" customWidth="1"/>
    <col min="12839" max="12839" width="11.42578125" style="1118" customWidth="1"/>
    <col min="12840" max="12840" width="7.85546875" style="1118" bestFit="1" customWidth="1"/>
    <col min="12841" max="12841" width="9.5703125" style="1118" customWidth="1"/>
    <col min="12842" max="12842" width="7.85546875" style="1118" bestFit="1" customWidth="1"/>
    <col min="12843" max="12843" width="12" style="1118" customWidth="1"/>
    <col min="12844" max="12844" width="13.42578125" style="1118" customWidth="1"/>
    <col min="12845" max="12845" width="9.5703125" style="1118" bestFit="1" customWidth="1"/>
    <col min="12846" max="12852" width="9.140625" style="1118" customWidth="1"/>
    <col min="12853" max="13056" width="9.140625" style="1118"/>
    <col min="13057" max="13057" width="16.7109375" style="1118" customWidth="1"/>
    <col min="13058" max="13058" width="52.5703125" style="1118" customWidth="1"/>
    <col min="13059" max="13059" width="11" style="1118" customWidth="1"/>
    <col min="13060" max="13060" width="13.42578125" style="1118" customWidth="1"/>
    <col min="13061" max="13061" width="11.28515625" style="1118" customWidth="1"/>
    <col min="13062" max="13062" width="10.28515625" style="1118" customWidth="1"/>
    <col min="13063" max="13063" width="13.85546875" style="1118" customWidth="1"/>
    <col min="13064" max="13065" width="7.85546875" style="1118" customWidth="1"/>
    <col min="13066" max="13066" width="10.85546875" style="1118" customWidth="1"/>
    <col min="13067" max="13067" width="13" style="1118" customWidth="1"/>
    <col min="13068" max="13068" width="11.42578125" style="1118" customWidth="1"/>
    <col min="13069" max="13069" width="10" style="1118" customWidth="1"/>
    <col min="13070" max="13070" width="7.85546875" style="1118" customWidth="1"/>
    <col min="13071" max="13071" width="10.140625" style="1118" customWidth="1"/>
    <col min="13072" max="13073" width="7.85546875" style="1118" customWidth="1"/>
    <col min="13074" max="13074" width="10.85546875" style="1118" customWidth="1"/>
    <col min="13075" max="13075" width="10.7109375" style="1118" customWidth="1"/>
    <col min="13076" max="13076" width="11" style="1118" customWidth="1"/>
    <col min="13077" max="13079" width="7.85546875" style="1118" customWidth="1"/>
    <col min="13080" max="13080" width="11.28515625" style="1118" customWidth="1"/>
    <col min="13081" max="13081" width="12.42578125" style="1118" customWidth="1"/>
    <col min="13082" max="13082" width="11" style="1118" customWidth="1"/>
    <col min="13083" max="13084" width="7.85546875" style="1118" customWidth="1"/>
    <col min="13085" max="13085" width="11" style="1118" customWidth="1"/>
    <col min="13086" max="13086" width="10.5703125" style="1118" customWidth="1"/>
    <col min="13087" max="13088" width="11" style="1118" customWidth="1"/>
    <col min="13089" max="13093" width="7.85546875" style="1118" bestFit="1" customWidth="1"/>
    <col min="13094" max="13094" width="8.42578125" style="1118" bestFit="1" customWidth="1"/>
    <col min="13095" max="13095" width="11.42578125" style="1118" customWidth="1"/>
    <col min="13096" max="13096" width="7.85546875" style="1118" bestFit="1" customWidth="1"/>
    <col min="13097" max="13097" width="9.5703125" style="1118" customWidth="1"/>
    <col min="13098" max="13098" width="7.85546875" style="1118" bestFit="1" customWidth="1"/>
    <col min="13099" max="13099" width="12" style="1118" customWidth="1"/>
    <col min="13100" max="13100" width="13.42578125" style="1118" customWidth="1"/>
    <col min="13101" max="13101" width="9.5703125" style="1118" bestFit="1" customWidth="1"/>
    <col min="13102" max="13108" width="9.140625" style="1118" customWidth="1"/>
    <col min="13109" max="13312" width="9.140625" style="1118"/>
    <col min="13313" max="13313" width="16.7109375" style="1118" customWidth="1"/>
    <col min="13314" max="13314" width="52.5703125" style="1118" customWidth="1"/>
    <col min="13315" max="13315" width="11" style="1118" customWidth="1"/>
    <col min="13316" max="13316" width="13.42578125" style="1118" customWidth="1"/>
    <col min="13317" max="13317" width="11.28515625" style="1118" customWidth="1"/>
    <col min="13318" max="13318" width="10.28515625" style="1118" customWidth="1"/>
    <col min="13319" max="13319" width="13.85546875" style="1118" customWidth="1"/>
    <col min="13320" max="13321" width="7.85546875" style="1118" customWidth="1"/>
    <col min="13322" max="13322" width="10.85546875" style="1118" customWidth="1"/>
    <col min="13323" max="13323" width="13" style="1118" customWidth="1"/>
    <col min="13324" max="13324" width="11.42578125" style="1118" customWidth="1"/>
    <col min="13325" max="13325" width="10" style="1118" customWidth="1"/>
    <col min="13326" max="13326" width="7.85546875" style="1118" customWidth="1"/>
    <col min="13327" max="13327" width="10.140625" style="1118" customWidth="1"/>
    <col min="13328" max="13329" width="7.85546875" style="1118" customWidth="1"/>
    <col min="13330" max="13330" width="10.85546875" style="1118" customWidth="1"/>
    <col min="13331" max="13331" width="10.7109375" style="1118" customWidth="1"/>
    <col min="13332" max="13332" width="11" style="1118" customWidth="1"/>
    <col min="13333" max="13335" width="7.85546875" style="1118" customWidth="1"/>
    <col min="13336" max="13336" width="11.28515625" style="1118" customWidth="1"/>
    <col min="13337" max="13337" width="12.42578125" style="1118" customWidth="1"/>
    <col min="13338" max="13338" width="11" style="1118" customWidth="1"/>
    <col min="13339" max="13340" width="7.85546875" style="1118" customWidth="1"/>
    <col min="13341" max="13341" width="11" style="1118" customWidth="1"/>
    <col min="13342" max="13342" width="10.5703125" style="1118" customWidth="1"/>
    <col min="13343" max="13344" width="11" style="1118" customWidth="1"/>
    <col min="13345" max="13349" width="7.85546875" style="1118" bestFit="1" customWidth="1"/>
    <col min="13350" max="13350" width="8.42578125" style="1118" bestFit="1" customWidth="1"/>
    <col min="13351" max="13351" width="11.42578125" style="1118" customWidth="1"/>
    <col min="13352" max="13352" width="7.85546875" style="1118" bestFit="1" customWidth="1"/>
    <col min="13353" max="13353" width="9.5703125" style="1118" customWidth="1"/>
    <col min="13354" max="13354" width="7.85546875" style="1118" bestFit="1" customWidth="1"/>
    <col min="13355" max="13355" width="12" style="1118" customWidth="1"/>
    <col min="13356" max="13356" width="13.42578125" style="1118" customWidth="1"/>
    <col min="13357" max="13357" width="9.5703125" style="1118" bestFit="1" customWidth="1"/>
    <col min="13358" max="13364" width="9.140625" style="1118" customWidth="1"/>
    <col min="13365" max="13568" width="9.140625" style="1118"/>
    <col min="13569" max="13569" width="16.7109375" style="1118" customWidth="1"/>
    <col min="13570" max="13570" width="52.5703125" style="1118" customWidth="1"/>
    <col min="13571" max="13571" width="11" style="1118" customWidth="1"/>
    <col min="13572" max="13572" width="13.42578125" style="1118" customWidth="1"/>
    <col min="13573" max="13573" width="11.28515625" style="1118" customWidth="1"/>
    <col min="13574" max="13574" width="10.28515625" style="1118" customWidth="1"/>
    <col min="13575" max="13575" width="13.85546875" style="1118" customWidth="1"/>
    <col min="13576" max="13577" width="7.85546875" style="1118" customWidth="1"/>
    <col min="13578" max="13578" width="10.85546875" style="1118" customWidth="1"/>
    <col min="13579" max="13579" width="13" style="1118" customWidth="1"/>
    <col min="13580" max="13580" width="11.42578125" style="1118" customWidth="1"/>
    <col min="13581" max="13581" width="10" style="1118" customWidth="1"/>
    <col min="13582" max="13582" width="7.85546875" style="1118" customWidth="1"/>
    <col min="13583" max="13583" width="10.140625" style="1118" customWidth="1"/>
    <col min="13584" max="13585" width="7.85546875" style="1118" customWidth="1"/>
    <col min="13586" max="13586" width="10.85546875" style="1118" customWidth="1"/>
    <col min="13587" max="13587" width="10.7109375" style="1118" customWidth="1"/>
    <col min="13588" max="13588" width="11" style="1118" customWidth="1"/>
    <col min="13589" max="13591" width="7.85546875" style="1118" customWidth="1"/>
    <col min="13592" max="13592" width="11.28515625" style="1118" customWidth="1"/>
    <col min="13593" max="13593" width="12.42578125" style="1118" customWidth="1"/>
    <col min="13594" max="13594" width="11" style="1118" customWidth="1"/>
    <col min="13595" max="13596" width="7.85546875" style="1118" customWidth="1"/>
    <col min="13597" max="13597" width="11" style="1118" customWidth="1"/>
    <col min="13598" max="13598" width="10.5703125" style="1118" customWidth="1"/>
    <col min="13599" max="13600" width="11" style="1118" customWidth="1"/>
    <col min="13601" max="13605" width="7.85546875" style="1118" bestFit="1" customWidth="1"/>
    <col min="13606" max="13606" width="8.42578125" style="1118" bestFit="1" customWidth="1"/>
    <col min="13607" max="13607" width="11.42578125" style="1118" customWidth="1"/>
    <col min="13608" max="13608" width="7.85546875" style="1118" bestFit="1" customWidth="1"/>
    <col min="13609" max="13609" width="9.5703125" style="1118" customWidth="1"/>
    <col min="13610" max="13610" width="7.85546875" style="1118" bestFit="1" customWidth="1"/>
    <col min="13611" max="13611" width="12" style="1118" customWidth="1"/>
    <col min="13612" max="13612" width="13.42578125" style="1118" customWidth="1"/>
    <col min="13613" max="13613" width="9.5703125" style="1118" bestFit="1" customWidth="1"/>
    <col min="13614" max="13620" width="9.140625" style="1118" customWidth="1"/>
    <col min="13621" max="13824" width="9.140625" style="1118"/>
    <col min="13825" max="13825" width="16.7109375" style="1118" customWidth="1"/>
    <col min="13826" max="13826" width="52.5703125" style="1118" customWidth="1"/>
    <col min="13827" max="13827" width="11" style="1118" customWidth="1"/>
    <col min="13828" max="13828" width="13.42578125" style="1118" customWidth="1"/>
    <col min="13829" max="13829" width="11.28515625" style="1118" customWidth="1"/>
    <col min="13830" max="13830" width="10.28515625" style="1118" customWidth="1"/>
    <col min="13831" max="13831" width="13.85546875" style="1118" customWidth="1"/>
    <col min="13832" max="13833" width="7.85546875" style="1118" customWidth="1"/>
    <col min="13834" max="13834" width="10.85546875" style="1118" customWidth="1"/>
    <col min="13835" max="13835" width="13" style="1118" customWidth="1"/>
    <col min="13836" max="13836" width="11.42578125" style="1118" customWidth="1"/>
    <col min="13837" max="13837" width="10" style="1118" customWidth="1"/>
    <col min="13838" max="13838" width="7.85546875" style="1118" customWidth="1"/>
    <col min="13839" max="13839" width="10.140625" style="1118" customWidth="1"/>
    <col min="13840" max="13841" width="7.85546875" style="1118" customWidth="1"/>
    <col min="13842" max="13842" width="10.85546875" style="1118" customWidth="1"/>
    <col min="13843" max="13843" width="10.7109375" style="1118" customWidth="1"/>
    <col min="13844" max="13844" width="11" style="1118" customWidth="1"/>
    <col min="13845" max="13847" width="7.85546875" style="1118" customWidth="1"/>
    <col min="13848" max="13848" width="11.28515625" style="1118" customWidth="1"/>
    <col min="13849" max="13849" width="12.42578125" style="1118" customWidth="1"/>
    <col min="13850" max="13850" width="11" style="1118" customWidth="1"/>
    <col min="13851" max="13852" width="7.85546875" style="1118" customWidth="1"/>
    <col min="13853" max="13853" width="11" style="1118" customWidth="1"/>
    <col min="13854" max="13854" width="10.5703125" style="1118" customWidth="1"/>
    <col min="13855" max="13856" width="11" style="1118" customWidth="1"/>
    <col min="13857" max="13861" width="7.85546875" style="1118" bestFit="1" customWidth="1"/>
    <col min="13862" max="13862" width="8.42578125" style="1118" bestFit="1" customWidth="1"/>
    <col min="13863" max="13863" width="11.42578125" style="1118" customWidth="1"/>
    <col min="13864" max="13864" width="7.85546875" style="1118" bestFit="1" customWidth="1"/>
    <col min="13865" max="13865" width="9.5703125" style="1118" customWidth="1"/>
    <col min="13866" max="13866" width="7.85546875" style="1118" bestFit="1" customWidth="1"/>
    <col min="13867" max="13867" width="12" style="1118" customWidth="1"/>
    <col min="13868" max="13868" width="13.42578125" style="1118" customWidth="1"/>
    <col min="13869" max="13869" width="9.5703125" style="1118" bestFit="1" customWidth="1"/>
    <col min="13870" max="13876" width="9.140625" style="1118" customWidth="1"/>
    <col min="13877" max="14080" width="9.140625" style="1118"/>
    <col min="14081" max="14081" width="16.7109375" style="1118" customWidth="1"/>
    <col min="14082" max="14082" width="52.5703125" style="1118" customWidth="1"/>
    <col min="14083" max="14083" width="11" style="1118" customWidth="1"/>
    <col min="14084" max="14084" width="13.42578125" style="1118" customWidth="1"/>
    <col min="14085" max="14085" width="11.28515625" style="1118" customWidth="1"/>
    <col min="14086" max="14086" width="10.28515625" style="1118" customWidth="1"/>
    <col min="14087" max="14087" width="13.85546875" style="1118" customWidth="1"/>
    <col min="14088" max="14089" width="7.85546875" style="1118" customWidth="1"/>
    <col min="14090" max="14090" width="10.85546875" style="1118" customWidth="1"/>
    <col min="14091" max="14091" width="13" style="1118" customWidth="1"/>
    <col min="14092" max="14092" width="11.42578125" style="1118" customWidth="1"/>
    <col min="14093" max="14093" width="10" style="1118" customWidth="1"/>
    <col min="14094" max="14094" width="7.85546875" style="1118" customWidth="1"/>
    <col min="14095" max="14095" width="10.140625" style="1118" customWidth="1"/>
    <col min="14096" max="14097" width="7.85546875" style="1118" customWidth="1"/>
    <col min="14098" max="14098" width="10.85546875" style="1118" customWidth="1"/>
    <col min="14099" max="14099" width="10.7109375" style="1118" customWidth="1"/>
    <col min="14100" max="14100" width="11" style="1118" customWidth="1"/>
    <col min="14101" max="14103" width="7.85546875" style="1118" customWidth="1"/>
    <col min="14104" max="14104" width="11.28515625" style="1118" customWidth="1"/>
    <col min="14105" max="14105" width="12.42578125" style="1118" customWidth="1"/>
    <col min="14106" max="14106" width="11" style="1118" customWidth="1"/>
    <col min="14107" max="14108" width="7.85546875" style="1118" customWidth="1"/>
    <col min="14109" max="14109" width="11" style="1118" customWidth="1"/>
    <col min="14110" max="14110" width="10.5703125" style="1118" customWidth="1"/>
    <col min="14111" max="14112" width="11" style="1118" customWidth="1"/>
    <col min="14113" max="14117" width="7.85546875" style="1118" bestFit="1" customWidth="1"/>
    <col min="14118" max="14118" width="8.42578125" style="1118" bestFit="1" customWidth="1"/>
    <col min="14119" max="14119" width="11.42578125" style="1118" customWidth="1"/>
    <col min="14120" max="14120" width="7.85546875" style="1118" bestFit="1" customWidth="1"/>
    <col min="14121" max="14121" width="9.5703125" style="1118" customWidth="1"/>
    <col min="14122" max="14122" width="7.85546875" style="1118" bestFit="1" customWidth="1"/>
    <col min="14123" max="14123" width="12" style="1118" customWidth="1"/>
    <col min="14124" max="14124" width="13.42578125" style="1118" customWidth="1"/>
    <col min="14125" max="14125" width="9.5703125" style="1118" bestFit="1" customWidth="1"/>
    <col min="14126" max="14132" width="9.140625" style="1118" customWidth="1"/>
    <col min="14133" max="14336" width="9.140625" style="1118"/>
    <col min="14337" max="14337" width="16.7109375" style="1118" customWidth="1"/>
    <col min="14338" max="14338" width="52.5703125" style="1118" customWidth="1"/>
    <col min="14339" max="14339" width="11" style="1118" customWidth="1"/>
    <col min="14340" max="14340" width="13.42578125" style="1118" customWidth="1"/>
    <col min="14341" max="14341" width="11.28515625" style="1118" customWidth="1"/>
    <col min="14342" max="14342" width="10.28515625" style="1118" customWidth="1"/>
    <col min="14343" max="14343" width="13.85546875" style="1118" customWidth="1"/>
    <col min="14344" max="14345" width="7.85546875" style="1118" customWidth="1"/>
    <col min="14346" max="14346" width="10.85546875" style="1118" customWidth="1"/>
    <col min="14347" max="14347" width="13" style="1118" customWidth="1"/>
    <col min="14348" max="14348" width="11.42578125" style="1118" customWidth="1"/>
    <col min="14349" max="14349" width="10" style="1118" customWidth="1"/>
    <col min="14350" max="14350" width="7.85546875" style="1118" customWidth="1"/>
    <col min="14351" max="14351" width="10.140625" style="1118" customWidth="1"/>
    <col min="14352" max="14353" width="7.85546875" style="1118" customWidth="1"/>
    <col min="14354" max="14354" width="10.85546875" style="1118" customWidth="1"/>
    <col min="14355" max="14355" width="10.7109375" style="1118" customWidth="1"/>
    <col min="14356" max="14356" width="11" style="1118" customWidth="1"/>
    <col min="14357" max="14359" width="7.85546875" style="1118" customWidth="1"/>
    <col min="14360" max="14360" width="11.28515625" style="1118" customWidth="1"/>
    <col min="14361" max="14361" width="12.42578125" style="1118" customWidth="1"/>
    <col min="14362" max="14362" width="11" style="1118" customWidth="1"/>
    <col min="14363" max="14364" width="7.85546875" style="1118" customWidth="1"/>
    <col min="14365" max="14365" width="11" style="1118" customWidth="1"/>
    <col min="14366" max="14366" width="10.5703125" style="1118" customWidth="1"/>
    <col min="14367" max="14368" width="11" style="1118" customWidth="1"/>
    <col min="14369" max="14373" width="7.85546875" style="1118" bestFit="1" customWidth="1"/>
    <col min="14374" max="14374" width="8.42578125" style="1118" bestFit="1" customWidth="1"/>
    <col min="14375" max="14375" width="11.42578125" style="1118" customWidth="1"/>
    <col min="14376" max="14376" width="7.85546875" style="1118" bestFit="1" customWidth="1"/>
    <col min="14377" max="14377" width="9.5703125" style="1118" customWidth="1"/>
    <col min="14378" max="14378" width="7.85546875" style="1118" bestFit="1" customWidth="1"/>
    <col min="14379" max="14379" width="12" style="1118" customWidth="1"/>
    <col min="14380" max="14380" width="13.42578125" style="1118" customWidth="1"/>
    <col min="14381" max="14381" width="9.5703125" style="1118" bestFit="1" customWidth="1"/>
    <col min="14382" max="14388" width="9.140625" style="1118" customWidth="1"/>
    <col min="14389" max="14592" width="9.140625" style="1118"/>
    <col min="14593" max="14593" width="16.7109375" style="1118" customWidth="1"/>
    <col min="14594" max="14594" width="52.5703125" style="1118" customWidth="1"/>
    <col min="14595" max="14595" width="11" style="1118" customWidth="1"/>
    <col min="14596" max="14596" width="13.42578125" style="1118" customWidth="1"/>
    <col min="14597" max="14597" width="11.28515625" style="1118" customWidth="1"/>
    <col min="14598" max="14598" width="10.28515625" style="1118" customWidth="1"/>
    <col min="14599" max="14599" width="13.85546875" style="1118" customWidth="1"/>
    <col min="14600" max="14601" width="7.85546875" style="1118" customWidth="1"/>
    <col min="14602" max="14602" width="10.85546875" style="1118" customWidth="1"/>
    <col min="14603" max="14603" width="13" style="1118" customWidth="1"/>
    <col min="14604" max="14604" width="11.42578125" style="1118" customWidth="1"/>
    <col min="14605" max="14605" width="10" style="1118" customWidth="1"/>
    <col min="14606" max="14606" width="7.85546875" style="1118" customWidth="1"/>
    <col min="14607" max="14607" width="10.140625" style="1118" customWidth="1"/>
    <col min="14608" max="14609" width="7.85546875" style="1118" customWidth="1"/>
    <col min="14610" max="14610" width="10.85546875" style="1118" customWidth="1"/>
    <col min="14611" max="14611" width="10.7109375" style="1118" customWidth="1"/>
    <col min="14612" max="14612" width="11" style="1118" customWidth="1"/>
    <col min="14613" max="14615" width="7.85546875" style="1118" customWidth="1"/>
    <col min="14616" max="14616" width="11.28515625" style="1118" customWidth="1"/>
    <col min="14617" max="14617" width="12.42578125" style="1118" customWidth="1"/>
    <col min="14618" max="14618" width="11" style="1118" customWidth="1"/>
    <col min="14619" max="14620" width="7.85546875" style="1118" customWidth="1"/>
    <col min="14621" max="14621" width="11" style="1118" customWidth="1"/>
    <col min="14622" max="14622" width="10.5703125" style="1118" customWidth="1"/>
    <col min="14623" max="14624" width="11" style="1118" customWidth="1"/>
    <col min="14625" max="14629" width="7.85546875" style="1118" bestFit="1" customWidth="1"/>
    <col min="14630" max="14630" width="8.42578125" style="1118" bestFit="1" customWidth="1"/>
    <col min="14631" max="14631" width="11.42578125" style="1118" customWidth="1"/>
    <col min="14632" max="14632" width="7.85546875" style="1118" bestFit="1" customWidth="1"/>
    <col min="14633" max="14633" width="9.5703125" style="1118" customWidth="1"/>
    <col min="14634" max="14634" width="7.85546875" style="1118" bestFit="1" customWidth="1"/>
    <col min="14635" max="14635" width="12" style="1118" customWidth="1"/>
    <col min="14636" max="14636" width="13.42578125" style="1118" customWidth="1"/>
    <col min="14637" max="14637" width="9.5703125" style="1118" bestFit="1" customWidth="1"/>
    <col min="14638" max="14644" width="9.140625" style="1118" customWidth="1"/>
    <col min="14645" max="14848" width="9.140625" style="1118"/>
    <col min="14849" max="14849" width="16.7109375" style="1118" customWidth="1"/>
    <col min="14850" max="14850" width="52.5703125" style="1118" customWidth="1"/>
    <col min="14851" max="14851" width="11" style="1118" customWidth="1"/>
    <col min="14852" max="14852" width="13.42578125" style="1118" customWidth="1"/>
    <col min="14853" max="14853" width="11.28515625" style="1118" customWidth="1"/>
    <col min="14854" max="14854" width="10.28515625" style="1118" customWidth="1"/>
    <col min="14855" max="14855" width="13.85546875" style="1118" customWidth="1"/>
    <col min="14856" max="14857" width="7.85546875" style="1118" customWidth="1"/>
    <col min="14858" max="14858" width="10.85546875" style="1118" customWidth="1"/>
    <col min="14859" max="14859" width="13" style="1118" customWidth="1"/>
    <col min="14860" max="14860" width="11.42578125" style="1118" customWidth="1"/>
    <col min="14861" max="14861" width="10" style="1118" customWidth="1"/>
    <col min="14862" max="14862" width="7.85546875" style="1118" customWidth="1"/>
    <col min="14863" max="14863" width="10.140625" style="1118" customWidth="1"/>
    <col min="14864" max="14865" width="7.85546875" style="1118" customWidth="1"/>
    <col min="14866" max="14866" width="10.85546875" style="1118" customWidth="1"/>
    <col min="14867" max="14867" width="10.7109375" style="1118" customWidth="1"/>
    <col min="14868" max="14868" width="11" style="1118" customWidth="1"/>
    <col min="14869" max="14871" width="7.85546875" style="1118" customWidth="1"/>
    <col min="14872" max="14872" width="11.28515625" style="1118" customWidth="1"/>
    <col min="14873" max="14873" width="12.42578125" style="1118" customWidth="1"/>
    <col min="14874" max="14874" width="11" style="1118" customWidth="1"/>
    <col min="14875" max="14876" width="7.85546875" style="1118" customWidth="1"/>
    <col min="14877" max="14877" width="11" style="1118" customWidth="1"/>
    <col min="14878" max="14878" width="10.5703125" style="1118" customWidth="1"/>
    <col min="14879" max="14880" width="11" style="1118" customWidth="1"/>
    <col min="14881" max="14885" width="7.85546875" style="1118" bestFit="1" customWidth="1"/>
    <col min="14886" max="14886" width="8.42578125" style="1118" bestFit="1" customWidth="1"/>
    <col min="14887" max="14887" width="11.42578125" style="1118" customWidth="1"/>
    <col min="14888" max="14888" width="7.85546875" style="1118" bestFit="1" customWidth="1"/>
    <col min="14889" max="14889" width="9.5703125" style="1118" customWidth="1"/>
    <col min="14890" max="14890" width="7.85546875" style="1118" bestFit="1" customWidth="1"/>
    <col min="14891" max="14891" width="12" style="1118" customWidth="1"/>
    <col min="14892" max="14892" width="13.42578125" style="1118" customWidth="1"/>
    <col min="14893" max="14893" width="9.5703125" style="1118" bestFit="1" customWidth="1"/>
    <col min="14894" max="14900" width="9.140625" style="1118" customWidth="1"/>
    <col min="14901" max="15104" width="9.140625" style="1118"/>
    <col min="15105" max="15105" width="16.7109375" style="1118" customWidth="1"/>
    <col min="15106" max="15106" width="52.5703125" style="1118" customWidth="1"/>
    <col min="15107" max="15107" width="11" style="1118" customWidth="1"/>
    <col min="15108" max="15108" width="13.42578125" style="1118" customWidth="1"/>
    <col min="15109" max="15109" width="11.28515625" style="1118" customWidth="1"/>
    <col min="15110" max="15110" width="10.28515625" style="1118" customWidth="1"/>
    <col min="15111" max="15111" width="13.85546875" style="1118" customWidth="1"/>
    <col min="15112" max="15113" width="7.85546875" style="1118" customWidth="1"/>
    <col min="15114" max="15114" width="10.85546875" style="1118" customWidth="1"/>
    <col min="15115" max="15115" width="13" style="1118" customWidth="1"/>
    <col min="15116" max="15116" width="11.42578125" style="1118" customWidth="1"/>
    <col min="15117" max="15117" width="10" style="1118" customWidth="1"/>
    <col min="15118" max="15118" width="7.85546875" style="1118" customWidth="1"/>
    <col min="15119" max="15119" width="10.140625" style="1118" customWidth="1"/>
    <col min="15120" max="15121" width="7.85546875" style="1118" customWidth="1"/>
    <col min="15122" max="15122" width="10.85546875" style="1118" customWidth="1"/>
    <col min="15123" max="15123" width="10.7109375" style="1118" customWidth="1"/>
    <col min="15124" max="15124" width="11" style="1118" customWidth="1"/>
    <col min="15125" max="15127" width="7.85546875" style="1118" customWidth="1"/>
    <col min="15128" max="15128" width="11.28515625" style="1118" customWidth="1"/>
    <col min="15129" max="15129" width="12.42578125" style="1118" customWidth="1"/>
    <col min="15130" max="15130" width="11" style="1118" customWidth="1"/>
    <col min="15131" max="15132" width="7.85546875" style="1118" customWidth="1"/>
    <col min="15133" max="15133" width="11" style="1118" customWidth="1"/>
    <col min="15134" max="15134" width="10.5703125" style="1118" customWidth="1"/>
    <col min="15135" max="15136" width="11" style="1118" customWidth="1"/>
    <col min="15137" max="15141" width="7.85546875" style="1118" bestFit="1" customWidth="1"/>
    <col min="15142" max="15142" width="8.42578125" style="1118" bestFit="1" customWidth="1"/>
    <col min="15143" max="15143" width="11.42578125" style="1118" customWidth="1"/>
    <col min="15144" max="15144" width="7.85546875" style="1118" bestFit="1" customWidth="1"/>
    <col min="15145" max="15145" width="9.5703125" style="1118" customWidth="1"/>
    <col min="15146" max="15146" width="7.85546875" style="1118" bestFit="1" customWidth="1"/>
    <col min="15147" max="15147" width="12" style="1118" customWidth="1"/>
    <col min="15148" max="15148" width="13.42578125" style="1118" customWidth="1"/>
    <col min="15149" max="15149" width="9.5703125" style="1118" bestFit="1" customWidth="1"/>
    <col min="15150" max="15156" width="9.140625" style="1118" customWidth="1"/>
    <col min="15157" max="15360" width="9.140625" style="1118"/>
    <col min="15361" max="15361" width="16.7109375" style="1118" customWidth="1"/>
    <col min="15362" max="15362" width="52.5703125" style="1118" customWidth="1"/>
    <col min="15363" max="15363" width="11" style="1118" customWidth="1"/>
    <col min="15364" max="15364" width="13.42578125" style="1118" customWidth="1"/>
    <col min="15365" max="15365" width="11.28515625" style="1118" customWidth="1"/>
    <col min="15366" max="15366" width="10.28515625" style="1118" customWidth="1"/>
    <col min="15367" max="15367" width="13.85546875" style="1118" customWidth="1"/>
    <col min="15368" max="15369" width="7.85546875" style="1118" customWidth="1"/>
    <col min="15370" max="15370" width="10.85546875" style="1118" customWidth="1"/>
    <col min="15371" max="15371" width="13" style="1118" customWidth="1"/>
    <col min="15372" max="15372" width="11.42578125" style="1118" customWidth="1"/>
    <col min="15373" max="15373" width="10" style="1118" customWidth="1"/>
    <col min="15374" max="15374" width="7.85546875" style="1118" customWidth="1"/>
    <col min="15375" max="15375" width="10.140625" style="1118" customWidth="1"/>
    <col min="15376" max="15377" width="7.85546875" style="1118" customWidth="1"/>
    <col min="15378" max="15378" width="10.85546875" style="1118" customWidth="1"/>
    <col min="15379" max="15379" width="10.7109375" style="1118" customWidth="1"/>
    <col min="15380" max="15380" width="11" style="1118" customWidth="1"/>
    <col min="15381" max="15383" width="7.85546875" style="1118" customWidth="1"/>
    <col min="15384" max="15384" width="11.28515625" style="1118" customWidth="1"/>
    <col min="15385" max="15385" width="12.42578125" style="1118" customWidth="1"/>
    <col min="15386" max="15386" width="11" style="1118" customWidth="1"/>
    <col min="15387" max="15388" width="7.85546875" style="1118" customWidth="1"/>
    <col min="15389" max="15389" width="11" style="1118" customWidth="1"/>
    <col min="15390" max="15390" width="10.5703125" style="1118" customWidth="1"/>
    <col min="15391" max="15392" width="11" style="1118" customWidth="1"/>
    <col min="15393" max="15397" width="7.85546875" style="1118" bestFit="1" customWidth="1"/>
    <col min="15398" max="15398" width="8.42578125" style="1118" bestFit="1" customWidth="1"/>
    <col min="15399" max="15399" width="11.42578125" style="1118" customWidth="1"/>
    <col min="15400" max="15400" width="7.85546875" style="1118" bestFit="1" customWidth="1"/>
    <col min="15401" max="15401" width="9.5703125" style="1118" customWidth="1"/>
    <col min="15402" max="15402" width="7.85546875" style="1118" bestFit="1" customWidth="1"/>
    <col min="15403" max="15403" width="12" style="1118" customWidth="1"/>
    <col min="15404" max="15404" width="13.42578125" style="1118" customWidth="1"/>
    <col min="15405" max="15405" width="9.5703125" style="1118" bestFit="1" customWidth="1"/>
    <col min="15406" max="15412" width="9.140625" style="1118" customWidth="1"/>
    <col min="15413" max="15616" width="9.140625" style="1118"/>
    <col min="15617" max="15617" width="16.7109375" style="1118" customWidth="1"/>
    <col min="15618" max="15618" width="52.5703125" style="1118" customWidth="1"/>
    <col min="15619" max="15619" width="11" style="1118" customWidth="1"/>
    <col min="15620" max="15620" width="13.42578125" style="1118" customWidth="1"/>
    <col min="15621" max="15621" width="11.28515625" style="1118" customWidth="1"/>
    <col min="15622" max="15622" width="10.28515625" style="1118" customWidth="1"/>
    <col min="15623" max="15623" width="13.85546875" style="1118" customWidth="1"/>
    <col min="15624" max="15625" width="7.85546875" style="1118" customWidth="1"/>
    <col min="15626" max="15626" width="10.85546875" style="1118" customWidth="1"/>
    <col min="15627" max="15627" width="13" style="1118" customWidth="1"/>
    <col min="15628" max="15628" width="11.42578125" style="1118" customWidth="1"/>
    <col min="15629" max="15629" width="10" style="1118" customWidth="1"/>
    <col min="15630" max="15630" width="7.85546875" style="1118" customWidth="1"/>
    <col min="15631" max="15631" width="10.140625" style="1118" customWidth="1"/>
    <col min="15632" max="15633" width="7.85546875" style="1118" customWidth="1"/>
    <col min="15634" max="15634" width="10.85546875" style="1118" customWidth="1"/>
    <col min="15635" max="15635" width="10.7109375" style="1118" customWidth="1"/>
    <col min="15636" max="15636" width="11" style="1118" customWidth="1"/>
    <col min="15637" max="15639" width="7.85546875" style="1118" customWidth="1"/>
    <col min="15640" max="15640" width="11.28515625" style="1118" customWidth="1"/>
    <col min="15641" max="15641" width="12.42578125" style="1118" customWidth="1"/>
    <col min="15642" max="15642" width="11" style="1118" customWidth="1"/>
    <col min="15643" max="15644" width="7.85546875" style="1118" customWidth="1"/>
    <col min="15645" max="15645" width="11" style="1118" customWidth="1"/>
    <col min="15646" max="15646" width="10.5703125" style="1118" customWidth="1"/>
    <col min="15647" max="15648" width="11" style="1118" customWidth="1"/>
    <col min="15649" max="15653" width="7.85546875" style="1118" bestFit="1" customWidth="1"/>
    <col min="15654" max="15654" width="8.42578125" style="1118" bestFit="1" customWidth="1"/>
    <col min="15655" max="15655" width="11.42578125" style="1118" customWidth="1"/>
    <col min="15656" max="15656" width="7.85546875" style="1118" bestFit="1" customWidth="1"/>
    <col min="15657" max="15657" width="9.5703125" style="1118" customWidth="1"/>
    <col min="15658" max="15658" width="7.85546875" style="1118" bestFit="1" customWidth="1"/>
    <col min="15659" max="15659" width="12" style="1118" customWidth="1"/>
    <col min="15660" max="15660" width="13.42578125" style="1118" customWidth="1"/>
    <col min="15661" max="15661" width="9.5703125" style="1118" bestFit="1" customWidth="1"/>
    <col min="15662" max="15668" width="9.140625" style="1118" customWidth="1"/>
    <col min="15669" max="15872" width="9.140625" style="1118"/>
    <col min="15873" max="15873" width="16.7109375" style="1118" customWidth="1"/>
    <col min="15874" max="15874" width="52.5703125" style="1118" customWidth="1"/>
    <col min="15875" max="15875" width="11" style="1118" customWidth="1"/>
    <col min="15876" max="15876" width="13.42578125" style="1118" customWidth="1"/>
    <col min="15877" max="15877" width="11.28515625" style="1118" customWidth="1"/>
    <col min="15878" max="15878" width="10.28515625" style="1118" customWidth="1"/>
    <col min="15879" max="15879" width="13.85546875" style="1118" customWidth="1"/>
    <col min="15880" max="15881" width="7.85546875" style="1118" customWidth="1"/>
    <col min="15882" max="15882" width="10.85546875" style="1118" customWidth="1"/>
    <col min="15883" max="15883" width="13" style="1118" customWidth="1"/>
    <col min="15884" max="15884" width="11.42578125" style="1118" customWidth="1"/>
    <col min="15885" max="15885" width="10" style="1118" customWidth="1"/>
    <col min="15886" max="15886" width="7.85546875" style="1118" customWidth="1"/>
    <col min="15887" max="15887" width="10.140625" style="1118" customWidth="1"/>
    <col min="15888" max="15889" width="7.85546875" style="1118" customWidth="1"/>
    <col min="15890" max="15890" width="10.85546875" style="1118" customWidth="1"/>
    <col min="15891" max="15891" width="10.7109375" style="1118" customWidth="1"/>
    <col min="15892" max="15892" width="11" style="1118" customWidth="1"/>
    <col min="15893" max="15895" width="7.85546875" style="1118" customWidth="1"/>
    <col min="15896" max="15896" width="11.28515625" style="1118" customWidth="1"/>
    <col min="15897" max="15897" width="12.42578125" style="1118" customWidth="1"/>
    <col min="15898" max="15898" width="11" style="1118" customWidth="1"/>
    <col min="15899" max="15900" width="7.85546875" style="1118" customWidth="1"/>
    <col min="15901" max="15901" width="11" style="1118" customWidth="1"/>
    <col min="15902" max="15902" width="10.5703125" style="1118" customWidth="1"/>
    <col min="15903" max="15904" width="11" style="1118" customWidth="1"/>
    <col min="15905" max="15909" width="7.85546875" style="1118" bestFit="1" customWidth="1"/>
    <col min="15910" max="15910" width="8.42578125" style="1118" bestFit="1" customWidth="1"/>
    <col min="15911" max="15911" width="11.42578125" style="1118" customWidth="1"/>
    <col min="15912" max="15912" width="7.85546875" style="1118" bestFit="1" customWidth="1"/>
    <col min="15913" max="15913" width="9.5703125" style="1118" customWidth="1"/>
    <col min="15914" max="15914" width="7.85546875" style="1118" bestFit="1" customWidth="1"/>
    <col min="15915" max="15915" width="12" style="1118" customWidth="1"/>
    <col min="15916" max="15916" width="13.42578125" style="1118" customWidth="1"/>
    <col min="15917" max="15917" width="9.5703125" style="1118" bestFit="1" customWidth="1"/>
    <col min="15918" max="15924" width="9.140625" style="1118" customWidth="1"/>
    <col min="15925" max="16128" width="9.140625" style="1118"/>
    <col min="16129" max="16129" width="16.7109375" style="1118" customWidth="1"/>
    <col min="16130" max="16130" width="52.5703125" style="1118" customWidth="1"/>
    <col min="16131" max="16131" width="11" style="1118" customWidth="1"/>
    <col min="16132" max="16132" width="13.42578125" style="1118" customWidth="1"/>
    <col min="16133" max="16133" width="11.28515625" style="1118" customWidth="1"/>
    <col min="16134" max="16134" width="10.28515625" style="1118" customWidth="1"/>
    <col min="16135" max="16135" width="13.85546875" style="1118" customWidth="1"/>
    <col min="16136" max="16137" width="7.85546875" style="1118" customWidth="1"/>
    <col min="16138" max="16138" width="10.85546875" style="1118" customWidth="1"/>
    <col min="16139" max="16139" width="13" style="1118" customWidth="1"/>
    <col min="16140" max="16140" width="11.42578125" style="1118" customWidth="1"/>
    <col min="16141" max="16141" width="10" style="1118" customWidth="1"/>
    <col min="16142" max="16142" width="7.85546875" style="1118" customWidth="1"/>
    <col min="16143" max="16143" width="10.140625" style="1118" customWidth="1"/>
    <col min="16144" max="16145" width="7.85546875" style="1118" customWidth="1"/>
    <col min="16146" max="16146" width="10.85546875" style="1118" customWidth="1"/>
    <col min="16147" max="16147" width="10.7109375" style="1118" customWidth="1"/>
    <col min="16148" max="16148" width="11" style="1118" customWidth="1"/>
    <col min="16149" max="16151" width="7.85546875" style="1118" customWidth="1"/>
    <col min="16152" max="16152" width="11.28515625" style="1118" customWidth="1"/>
    <col min="16153" max="16153" width="12.42578125" style="1118" customWidth="1"/>
    <col min="16154" max="16154" width="11" style="1118" customWidth="1"/>
    <col min="16155" max="16156" width="7.85546875" style="1118" customWidth="1"/>
    <col min="16157" max="16157" width="11" style="1118" customWidth="1"/>
    <col min="16158" max="16158" width="10.5703125" style="1118" customWidth="1"/>
    <col min="16159" max="16160" width="11" style="1118" customWidth="1"/>
    <col min="16161" max="16165" width="7.85546875" style="1118" bestFit="1" customWidth="1"/>
    <col min="16166" max="16166" width="8.42578125" style="1118" bestFit="1" customWidth="1"/>
    <col min="16167" max="16167" width="11.42578125" style="1118" customWidth="1"/>
    <col min="16168" max="16168" width="7.85546875" style="1118" bestFit="1" customWidth="1"/>
    <col min="16169" max="16169" width="9.5703125" style="1118" customWidth="1"/>
    <col min="16170" max="16170" width="7.85546875" style="1118" bestFit="1" customWidth="1"/>
    <col min="16171" max="16171" width="12" style="1118" customWidth="1"/>
    <col min="16172" max="16172" width="13.42578125" style="1118" customWidth="1"/>
    <col min="16173" max="16173" width="9.5703125" style="1118" bestFit="1" customWidth="1"/>
    <col min="16174" max="16180" width="9.140625" style="1118" customWidth="1"/>
    <col min="16181" max="16384" width="9.140625" style="1118"/>
  </cols>
  <sheetData>
    <row r="1" spans="1:45" s="1101" customFormat="1" ht="16.5" customHeight="1" thickBot="1" x14ac:dyDescent="0.3">
      <c r="A1" s="1854" t="s">
        <v>1228</v>
      </c>
      <c r="B1" s="1854"/>
      <c r="C1" s="1854"/>
      <c r="D1" s="1854"/>
      <c r="E1" s="1099"/>
      <c r="F1" s="1099"/>
      <c r="G1" s="1099"/>
      <c r="H1" s="1099"/>
      <c r="I1" s="1099"/>
      <c r="J1" s="1099"/>
      <c r="K1" s="1099"/>
      <c r="L1" s="1099"/>
      <c r="M1" s="1099"/>
      <c r="N1" s="1099"/>
      <c r="O1" s="1099"/>
      <c r="P1" s="1099"/>
      <c r="Q1" s="1099"/>
      <c r="R1" s="1099"/>
      <c r="S1" s="1099"/>
      <c r="T1" s="1099"/>
      <c r="U1" s="1099"/>
      <c r="V1" s="1099"/>
      <c r="W1" s="1099"/>
      <c r="X1" s="1099"/>
      <c r="Y1" s="1099"/>
      <c r="Z1" s="1100"/>
      <c r="AA1" s="1100"/>
      <c r="AB1" s="1100"/>
      <c r="AC1" s="1100"/>
      <c r="AD1" s="1100"/>
      <c r="AE1" s="1100"/>
      <c r="AF1" s="1100"/>
      <c r="AG1" s="1100"/>
      <c r="AH1" s="1100"/>
      <c r="AI1" s="1100"/>
      <c r="AJ1" s="1100"/>
      <c r="AK1" s="1100"/>
      <c r="AL1" s="1100"/>
      <c r="AM1" s="1100"/>
      <c r="AN1" s="1100"/>
      <c r="AO1" s="1100"/>
      <c r="AP1" s="1100"/>
      <c r="AQ1" s="1100"/>
      <c r="AR1" s="1100"/>
      <c r="AS1" s="1100"/>
    </row>
    <row r="2" spans="1:45" s="1106" customFormat="1" ht="21" customHeight="1" x14ac:dyDescent="0.25">
      <c r="A2" s="1102" t="s">
        <v>649</v>
      </c>
      <c r="B2" s="1103" t="s">
        <v>650</v>
      </c>
      <c r="C2" s="1847" t="s">
        <v>651</v>
      </c>
      <c r="D2" s="1848"/>
      <c r="E2" s="1104"/>
      <c r="F2" s="1104"/>
      <c r="G2" s="1104"/>
      <c r="H2" s="1104"/>
      <c r="I2" s="1104"/>
      <c r="J2" s="1104"/>
      <c r="K2" s="1104"/>
      <c r="L2" s="1104"/>
      <c r="M2" s="1104"/>
      <c r="N2" s="1104"/>
      <c r="O2" s="1104"/>
      <c r="P2" s="1104"/>
      <c r="Q2" s="1104"/>
      <c r="R2" s="1104"/>
      <c r="S2" s="1104"/>
      <c r="T2" s="1104"/>
      <c r="U2" s="1104"/>
      <c r="V2" s="1104"/>
      <c r="W2" s="1104"/>
      <c r="X2" s="1104"/>
      <c r="Y2" s="1104"/>
      <c r="Z2" s="1105"/>
      <c r="AA2" s="1105"/>
      <c r="AB2" s="1105"/>
      <c r="AC2" s="1105"/>
      <c r="AD2" s="1105"/>
      <c r="AE2" s="1105"/>
      <c r="AF2" s="1105"/>
      <c r="AG2" s="1105"/>
      <c r="AH2" s="1105"/>
      <c r="AI2" s="1105"/>
      <c r="AJ2" s="1105"/>
      <c r="AK2" s="1105"/>
      <c r="AL2" s="1105"/>
      <c r="AM2" s="1105"/>
      <c r="AN2" s="1105"/>
      <c r="AO2" s="1105"/>
      <c r="AP2" s="1105"/>
      <c r="AQ2" s="1105"/>
      <c r="AR2" s="1105"/>
      <c r="AS2" s="1105"/>
    </row>
    <row r="3" spans="1:45" s="1106" customFormat="1" ht="16.5" thickBot="1" x14ac:dyDescent="0.3">
      <c r="A3" s="1107" t="s">
        <v>652</v>
      </c>
      <c r="B3" s="1108" t="s">
        <v>1212</v>
      </c>
      <c r="C3" s="1849"/>
      <c r="D3" s="1850"/>
      <c r="E3" s="1104"/>
      <c r="F3" s="1104"/>
      <c r="G3" s="1104"/>
      <c r="H3" s="1104"/>
      <c r="I3" s="1104"/>
      <c r="J3" s="1104"/>
      <c r="K3" s="1104"/>
      <c r="L3" s="1104"/>
      <c r="M3" s="1104"/>
      <c r="N3" s="1104"/>
      <c r="O3" s="1104"/>
      <c r="P3" s="1104"/>
      <c r="Q3" s="1104"/>
      <c r="R3" s="1104"/>
      <c r="S3" s="1104"/>
      <c r="T3" s="1104"/>
      <c r="U3" s="1104"/>
      <c r="V3" s="1104"/>
      <c r="W3" s="1104"/>
      <c r="X3" s="1104"/>
      <c r="Y3" s="1104"/>
      <c r="Z3" s="1105"/>
      <c r="AA3" s="1105"/>
      <c r="AB3" s="1105"/>
      <c r="AC3" s="1105"/>
      <c r="AD3" s="1105"/>
      <c r="AE3" s="1105"/>
      <c r="AF3" s="1105"/>
      <c r="AG3" s="1105"/>
      <c r="AH3" s="1105"/>
      <c r="AI3" s="1105"/>
      <c r="AJ3" s="1105"/>
      <c r="AK3" s="1105"/>
      <c r="AL3" s="1105"/>
      <c r="AM3" s="1105"/>
      <c r="AN3" s="1105"/>
      <c r="AO3" s="1105"/>
      <c r="AP3" s="1105"/>
      <c r="AQ3" s="1105"/>
      <c r="AR3" s="1105"/>
      <c r="AS3" s="1105"/>
    </row>
    <row r="4" spans="1:45" s="1113" customFormat="1" ht="15.95" customHeight="1" thickBot="1" x14ac:dyDescent="0.3">
      <c r="A4" s="1109"/>
      <c r="B4" s="1110"/>
      <c r="C4" s="1812" t="s">
        <v>654</v>
      </c>
      <c r="D4" s="1813"/>
      <c r="E4" s="1111"/>
      <c r="F4" s="1111"/>
      <c r="G4" s="1111"/>
      <c r="H4" s="1111"/>
      <c r="I4" s="1111"/>
      <c r="J4" s="1111"/>
      <c r="K4" s="1111"/>
      <c r="L4" s="1111"/>
      <c r="M4" s="1111"/>
      <c r="N4" s="1111"/>
      <c r="O4" s="1111"/>
      <c r="P4" s="1111"/>
      <c r="Q4" s="1111"/>
      <c r="R4" s="1111"/>
      <c r="S4" s="1111"/>
      <c r="T4" s="1111"/>
      <c r="U4" s="1111"/>
      <c r="V4" s="1111"/>
      <c r="W4" s="1111"/>
      <c r="X4" s="1111"/>
      <c r="Y4" s="1111"/>
      <c r="Z4" s="1112"/>
      <c r="AA4" s="1112"/>
      <c r="AB4" s="1112"/>
      <c r="AC4" s="1112"/>
      <c r="AD4" s="1112"/>
      <c r="AE4" s="1112"/>
      <c r="AF4" s="1112"/>
      <c r="AG4" s="1112"/>
      <c r="AH4" s="1112"/>
      <c r="AI4" s="1112"/>
      <c r="AJ4" s="1112"/>
      <c r="AK4" s="1112"/>
      <c r="AL4" s="1112"/>
      <c r="AM4" s="1112"/>
      <c r="AN4" s="1112"/>
      <c r="AO4" s="1112"/>
      <c r="AP4" s="1112"/>
      <c r="AQ4" s="1112"/>
      <c r="AR4" s="1112"/>
      <c r="AS4" s="1112"/>
    </row>
    <row r="5" spans="1:45" ht="36.75" thickBot="1" x14ac:dyDescent="0.3">
      <c r="A5" s="1239" t="s">
        <v>655</v>
      </c>
      <c r="B5" s="1114" t="s">
        <v>656</v>
      </c>
      <c r="C5" s="1115" t="s">
        <v>927</v>
      </c>
      <c r="D5" s="1116" t="s">
        <v>928</v>
      </c>
    </row>
    <row r="6" spans="1:45" s="1125" customFormat="1" ht="12.95" customHeight="1" thickBot="1" x14ac:dyDescent="0.3">
      <c r="A6" s="1119">
        <v>1</v>
      </c>
      <c r="B6" s="1120">
        <v>2</v>
      </c>
      <c r="C6" s="1121">
        <v>3</v>
      </c>
      <c r="D6" s="1122">
        <v>4</v>
      </c>
      <c r="E6" s="1123"/>
      <c r="F6" s="1123"/>
      <c r="G6" s="1123"/>
      <c r="H6" s="1123"/>
      <c r="I6" s="1123"/>
      <c r="J6" s="1123"/>
      <c r="K6" s="1123"/>
      <c r="L6" s="1123"/>
      <c r="M6" s="1123"/>
      <c r="N6" s="1123"/>
      <c r="O6" s="1123"/>
      <c r="P6" s="1123"/>
      <c r="Q6" s="1123"/>
      <c r="R6" s="1123"/>
      <c r="S6" s="1123"/>
      <c r="T6" s="1123"/>
      <c r="U6" s="1123"/>
      <c r="V6" s="1123"/>
      <c r="W6" s="1123"/>
      <c r="X6" s="1123"/>
      <c r="Y6" s="1123"/>
      <c r="Z6" s="1124"/>
      <c r="AA6" s="1124"/>
      <c r="AB6" s="1124"/>
      <c r="AC6" s="1124"/>
      <c r="AD6" s="1124"/>
      <c r="AE6" s="1124"/>
      <c r="AF6" s="1124"/>
      <c r="AG6" s="1124"/>
      <c r="AH6" s="1124"/>
      <c r="AI6" s="1124"/>
      <c r="AJ6" s="1124"/>
      <c r="AK6" s="1124"/>
      <c r="AL6" s="1124"/>
      <c r="AM6" s="1124"/>
      <c r="AN6" s="1124"/>
      <c r="AO6" s="1124"/>
      <c r="AP6" s="1124"/>
      <c r="AQ6" s="1124"/>
      <c r="AR6" s="1124"/>
      <c r="AS6" s="1124"/>
    </row>
    <row r="7" spans="1:45" s="1127" customFormat="1" ht="15.95" customHeight="1" thickBot="1" x14ac:dyDescent="0.3">
      <c r="A7" s="1851" t="s">
        <v>657</v>
      </c>
      <c r="B7" s="1852"/>
      <c r="C7" s="1852"/>
      <c r="D7" s="1853"/>
      <c r="E7" s="1123" t="s">
        <v>658</v>
      </c>
      <c r="F7" s="1123" t="s">
        <v>659</v>
      </c>
      <c r="G7" s="1123" t="s">
        <v>660</v>
      </c>
      <c r="H7" s="1126" t="s">
        <v>661</v>
      </c>
      <c r="I7" s="1126" t="s">
        <v>662</v>
      </c>
      <c r="J7" s="1123" t="s">
        <v>663</v>
      </c>
      <c r="K7" s="1123" t="s">
        <v>664</v>
      </c>
      <c r="L7" s="1123" t="s">
        <v>665</v>
      </c>
      <c r="M7" s="1123" t="s">
        <v>666</v>
      </c>
      <c r="N7" s="1123" t="s">
        <v>667</v>
      </c>
      <c r="O7" s="1123" t="s">
        <v>668</v>
      </c>
      <c r="P7" s="1123" t="s">
        <v>669</v>
      </c>
      <c r="Q7" s="1123" t="s">
        <v>670</v>
      </c>
      <c r="R7" s="1123" t="s">
        <v>671</v>
      </c>
      <c r="S7" s="1123" t="s">
        <v>672</v>
      </c>
      <c r="T7" s="1123" t="s">
        <v>673</v>
      </c>
      <c r="U7" s="1123" t="s">
        <v>674</v>
      </c>
      <c r="V7" s="1123" t="s">
        <v>675</v>
      </c>
      <c r="W7" s="1123" t="s">
        <v>676</v>
      </c>
      <c r="X7" s="1123" t="s">
        <v>677</v>
      </c>
      <c r="Y7" s="1123" t="s">
        <v>678</v>
      </c>
      <c r="Z7" s="1124" t="s">
        <v>679</v>
      </c>
      <c r="AA7" s="1124" t="s">
        <v>680</v>
      </c>
      <c r="AB7" s="1124" t="s">
        <v>681</v>
      </c>
      <c r="AC7" s="1124" t="s">
        <v>682</v>
      </c>
      <c r="AD7" s="1124" t="s">
        <v>683</v>
      </c>
      <c r="AE7" s="1124">
        <v>84031</v>
      </c>
      <c r="AF7" s="1124" t="s">
        <v>684</v>
      </c>
      <c r="AG7" s="1127" t="s">
        <v>685</v>
      </c>
      <c r="AH7" s="1124" t="s">
        <v>686</v>
      </c>
      <c r="AI7" s="1124" t="s">
        <v>687</v>
      </c>
      <c r="AJ7" s="1124" t="s">
        <v>688</v>
      </c>
      <c r="AK7" s="1124" t="s">
        <v>689</v>
      </c>
      <c r="AL7" s="1124">
        <v>104031</v>
      </c>
      <c r="AM7" s="1124" t="s">
        <v>690</v>
      </c>
      <c r="AN7" s="1124" t="s">
        <v>691</v>
      </c>
      <c r="AO7" s="1124" t="s">
        <v>692</v>
      </c>
      <c r="AP7" s="1124" t="s">
        <v>693</v>
      </c>
      <c r="AQ7" s="1124">
        <v>107060</v>
      </c>
      <c r="AR7" s="1124" t="s">
        <v>694</v>
      </c>
      <c r="AS7" s="1124" t="s">
        <v>695</v>
      </c>
    </row>
    <row r="8" spans="1:45" s="1125" customFormat="1" ht="12" customHeight="1" thickBot="1" x14ac:dyDescent="0.3">
      <c r="A8" s="1128" t="s">
        <v>696</v>
      </c>
      <c r="B8" s="1129" t="s">
        <v>697</v>
      </c>
      <c r="C8" s="1130">
        <f>+C9+C10+C11+C12+C13+C14</f>
        <v>130238086</v>
      </c>
      <c r="D8" s="1131">
        <f>+D9+D10+D11+D12+D13+D14</f>
        <v>0</v>
      </c>
      <c r="E8" s="1132"/>
      <c r="F8" s="1132"/>
      <c r="G8" s="1132"/>
      <c r="H8" s="1132"/>
      <c r="I8" s="1132"/>
      <c r="J8" s="1132"/>
      <c r="K8" s="1132"/>
      <c r="L8" s="1132"/>
      <c r="M8" s="1132"/>
      <c r="N8" s="1132"/>
      <c r="O8" s="1132"/>
      <c r="P8" s="1132"/>
      <c r="Q8" s="1132"/>
      <c r="R8" s="1132"/>
      <c r="S8" s="1132"/>
      <c r="T8" s="1132"/>
      <c r="U8" s="1132"/>
      <c r="V8" s="1132"/>
      <c r="W8" s="1132"/>
      <c r="X8" s="1132"/>
      <c r="Y8" s="1132"/>
      <c r="Z8" s="1132"/>
      <c r="AA8" s="1132"/>
      <c r="AB8" s="1132"/>
      <c r="AC8" s="1132"/>
      <c r="AD8" s="1132"/>
      <c r="AE8" s="1132"/>
      <c r="AF8" s="1132"/>
      <c r="AG8" s="1132"/>
      <c r="AH8" s="1132"/>
      <c r="AI8" s="1132"/>
      <c r="AJ8" s="1132"/>
      <c r="AK8" s="1132"/>
      <c r="AL8" s="1132"/>
      <c r="AM8" s="1132"/>
      <c r="AN8" s="1132"/>
      <c r="AO8" s="1132"/>
      <c r="AP8" s="1132"/>
      <c r="AQ8" s="1132"/>
      <c r="AR8" s="1132"/>
      <c r="AS8" s="1132"/>
    </row>
    <row r="9" spans="1:45" s="1138" customFormat="1" ht="12" customHeight="1" x14ac:dyDescent="0.2">
      <c r="A9" s="1133" t="s">
        <v>698</v>
      </c>
      <c r="B9" s="1134" t="s">
        <v>699</v>
      </c>
      <c r="C9" s="1135">
        <f>SUM(E9:AS9)-'7.1.2 Önkormányzat (ÁIG)'!C9</f>
        <v>26601131</v>
      </c>
      <c r="D9" s="1136"/>
      <c r="E9" s="1117"/>
      <c r="F9" s="1117"/>
      <c r="G9" s="1117"/>
      <c r="H9" s="1117"/>
      <c r="I9" s="1117"/>
      <c r="J9" s="1117"/>
      <c r="K9" s="1117">
        <v>71400131</v>
      </c>
      <c r="L9" s="1117"/>
      <c r="M9" s="1117"/>
      <c r="N9" s="1117"/>
      <c r="O9" s="1117"/>
      <c r="P9" s="1117"/>
      <c r="Q9" s="1117"/>
      <c r="R9" s="1117"/>
      <c r="S9" s="1117"/>
      <c r="T9" s="1117"/>
      <c r="U9" s="1117"/>
      <c r="V9" s="1117"/>
      <c r="W9" s="1117"/>
      <c r="X9" s="1117"/>
      <c r="Y9" s="1117"/>
      <c r="Z9" s="1137"/>
      <c r="AA9" s="1137"/>
      <c r="AB9" s="1137"/>
      <c r="AC9" s="1137"/>
      <c r="AD9" s="1137"/>
      <c r="AE9" s="1137"/>
      <c r="AF9" s="1137"/>
      <c r="AG9" s="1137"/>
      <c r="AH9" s="1137"/>
      <c r="AI9" s="1137"/>
      <c r="AJ9" s="1137"/>
      <c r="AK9" s="1137"/>
      <c r="AL9" s="1137"/>
      <c r="AM9" s="1137"/>
      <c r="AN9" s="1137"/>
      <c r="AO9" s="1137"/>
      <c r="AP9" s="1137"/>
      <c r="AQ9" s="1137"/>
      <c r="AR9" s="1137"/>
      <c r="AS9" s="1137"/>
    </row>
    <row r="10" spans="1:45" s="1142" customFormat="1" ht="12" customHeight="1" x14ac:dyDescent="0.2">
      <c r="A10" s="1139" t="s">
        <v>700</v>
      </c>
      <c r="B10" s="1140" t="s">
        <v>701</v>
      </c>
      <c r="C10" s="1135">
        <f t="shared" ref="C10:C14" si="0">SUM(E10:AS10)</f>
        <v>61660080</v>
      </c>
      <c r="D10" s="1141"/>
      <c r="E10" s="1117"/>
      <c r="F10" s="1117"/>
      <c r="G10" s="1117"/>
      <c r="H10" s="1117"/>
      <c r="I10" s="1117"/>
      <c r="J10" s="1117"/>
      <c r="K10" s="1117">
        <v>61660080</v>
      </c>
      <c r="L10" s="1117"/>
      <c r="M10" s="1117"/>
      <c r="N10" s="1117"/>
      <c r="O10" s="1117"/>
      <c r="P10" s="1117"/>
      <c r="Q10" s="1117"/>
      <c r="R10" s="1117"/>
      <c r="S10" s="1117"/>
      <c r="T10" s="1117"/>
      <c r="U10" s="1117"/>
      <c r="V10" s="1117"/>
      <c r="W10" s="1117"/>
      <c r="X10" s="1117"/>
      <c r="Y10" s="1117"/>
      <c r="Z10" s="1117"/>
      <c r="AA10" s="1117"/>
      <c r="AB10" s="1117"/>
      <c r="AC10" s="1117"/>
      <c r="AD10" s="1117"/>
      <c r="AE10" s="1117"/>
      <c r="AF10" s="1117"/>
      <c r="AG10" s="1117"/>
      <c r="AH10" s="1117"/>
      <c r="AI10" s="1117"/>
      <c r="AJ10" s="1117"/>
      <c r="AK10" s="1117"/>
      <c r="AL10" s="1117"/>
      <c r="AM10" s="1117"/>
      <c r="AN10" s="1117"/>
      <c r="AO10" s="1117"/>
      <c r="AP10" s="1117"/>
      <c r="AQ10" s="1117"/>
      <c r="AR10" s="1117"/>
      <c r="AS10" s="1117"/>
    </row>
    <row r="11" spans="1:45" s="1142" customFormat="1" ht="12" customHeight="1" x14ac:dyDescent="0.2">
      <c r="A11" s="1139" t="s">
        <v>702</v>
      </c>
      <c r="B11" s="1140" t="s">
        <v>703</v>
      </c>
      <c r="C11" s="1135">
        <f t="shared" si="0"/>
        <v>38130050</v>
      </c>
      <c r="D11" s="1141"/>
      <c r="E11" s="1117"/>
      <c r="F11" s="1117"/>
      <c r="G11" s="1117"/>
      <c r="H11" s="1117"/>
      <c r="I11" s="1117"/>
      <c r="J11" s="1117"/>
      <c r="K11" s="1117">
        <v>38130050</v>
      </c>
      <c r="L11" s="1117"/>
      <c r="M11" s="1117"/>
      <c r="N11" s="1117"/>
      <c r="O11" s="1117"/>
      <c r="P11" s="1117"/>
      <c r="Q11" s="1117"/>
      <c r="R11" s="1117"/>
      <c r="S11" s="1117"/>
      <c r="T11" s="1117"/>
      <c r="U11" s="1117"/>
      <c r="V11" s="1117"/>
      <c r="W11" s="1117"/>
      <c r="X11" s="1117"/>
      <c r="Y11" s="1117"/>
      <c r="Z11" s="1117"/>
      <c r="AA11" s="1117"/>
      <c r="AB11" s="1117"/>
      <c r="AC11" s="1117"/>
      <c r="AD11" s="1117"/>
      <c r="AE11" s="1117"/>
      <c r="AF11" s="1117"/>
      <c r="AG11" s="1117"/>
      <c r="AH11" s="1117"/>
      <c r="AI11" s="1117"/>
      <c r="AJ11" s="1117"/>
      <c r="AK11" s="1117"/>
      <c r="AL11" s="1117"/>
      <c r="AM11" s="1117"/>
      <c r="AN11" s="1117"/>
      <c r="AO11" s="1117"/>
      <c r="AP11" s="1117"/>
      <c r="AQ11" s="1117"/>
      <c r="AR11" s="1117"/>
      <c r="AS11" s="1117"/>
    </row>
    <row r="12" spans="1:45" s="1142" customFormat="1" ht="12" customHeight="1" x14ac:dyDescent="0.2">
      <c r="A12" s="1139" t="s">
        <v>704</v>
      </c>
      <c r="B12" s="1140" t="s">
        <v>705</v>
      </c>
      <c r="C12" s="1135">
        <f t="shared" si="0"/>
        <v>3846825</v>
      </c>
      <c r="D12" s="1141"/>
      <c r="E12" s="1117"/>
      <c r="F12" s="1117"/>
      <c r="G12" s="1117"/>
      <c r="H12" s="1117"/>
      <c r="I12" s="1117"/>
      <c r="J12" s="1117"/>
      <c r="K12" s="1117">
        <v>3846825</v>
      </c>
      <c r="L12" s="1117"/>
      <c r="M12" s="1117"/>
      <c r="N12" s="1117"/>
      <c r="O12" s="1117"/>
      <c r="P12" s="1117"/>
      <c r="Q12" s="1117"/>
      <c r="R12" s="1117"/>
      <c r="S12" s="1117"/>
      <c r="T12" s="1117"/>
      <c r="U12" s="1117"/>
      <c r="V12" s="1117"/>
      <c r="W12" s="1117"/>
      <c r="X12" s="1117"/>
      <c r="Y12" s="1117"/>
      <c r="Z12" s="1117"/>
      <c r="AA12" s="1117"/>
      <c r="AB12" s="1117"/>
      <c r="AC12" s="1117"/>
      <c r="AD12" s="1117"/>
      <c r="AE12" s="1117"/>
      <c r="AF12" s="1117"/>
      <c r="AG12" s="1117"/>
      <c r="AH12" s="1117"/>
      <c r="AI12" s="1117"/>
      <c r="AJ12" s="1117"/>
      <c r="AK12" s="1117"/>
      <c r="AL12" s="1117"/>
      <c r="AM12" s="1117"/>
      <c r="AN12" s="1117"/>
      <c r="AO12" s="1117"/>
      <c r="AP12" s="1117"/>
      <c r="AQ12" s="1117"/>
      <c r="AR12" s="1117"/>
      <c r="AS12" s="1117"/>
    </row>
    <row r="13" spans="1:45" s="1142" customFormat="1" ht="12" customHeight="1" x14ac:dyDescent="0.2">
      <c r="A13" s="1139" t="s">
        <v>706</v>
      </c>
      <c r="B13" s="1140" t="s">
        <v>707</v>
      </c>
      <c r="C13" s="1135">
        <f t="shared" si="0"/>
        <v>0</v>
      </c>
      <c r="D13" s="1141"/>
      <c r="E13" s="1117"/>
      <c r="F13" s="1117"/>
      <c r="G13" s="1117"/>
      <c r="H13" s="1117"/>
      <c r="I13" s="1117"/>
      <c r="J13" s="1117"/>
      <c r="K13" s="1117"/>
      <c r="L13" s="1117"/>
      <c r="M13" s="1117"/>
      <c r="N13" s="1117"/>
      <c r="O13" s="1117"/>
      <c r="P13" s="1117"/>
      <c r="Q13" s="1117"/>
      <c r="R13" s="1117"/>
      <c r="S13" s="1117"/>
      <c r="T13" s="1117"/>
      <c r="U13" s="1117"/>
      <c r="V13" s="1117"/>
      <c r="W13" s="1117"/>
      <c r="X13" s="1117"/>
      <c r="Y13" s="1117"/>
      <c r="Z13" s="1117"/>
      <c r="AA13" s="1117"/>
      <c r="AB13" s="1117"/>
      <c r="AC13" s="1117"/>
      <c r="AD13" s="1117"/>
      <c r="AE13" s="1117"/>
      <c r="AF13" s="1117"/>
      <c r="AG13" s="1117"/>
      <c r="AH13" s="1117"/>
      <c r="AI13" s="1117"/>
      <c r="AJ13" s="1117"/>
      <c r="AK13" s="1117"/>
      <c r="AL13" s="1117"/>
      <c r="AM13" s="1117"/>
      <c r="AN13" s="1117"/>
      <c r="AO13" s="1117"/>
      <c r="AP13" s="1117"/>
      <c r="AQ13" s="1117"/>
      <c r="AR13" s="1117"/>
      <c r="AS13" s="1117"/>
    </row>
    <row r="14" spans="1:45" s="1138" customFormat="1" ht="12" customHeight="1" thickBot="1" x14ac:dyDescent="0.25">
      <c r="A14" s="1143" t="s">
        <v>708</v>
      </c>
      <c r="B14" s="1144" t="s">
        <v>709</v>
      </c>
      <c r="C14" s="1135">
        <f t="shared" si="0"/>
        <v>0</v>
      </c>
      <c r="D14" s="1141"/>
      <c r="E14" s="1117"/>
      <c r="F14" s="1117"/>
      <c r="G14" s="1117"/>
      <c r="H14" s="1117"/>
      <c r="I14" s="1117"/>
      <c r="J14" s="1117"/>
      <c r="K14" s="1117"/>
      <c r="L14" s="1117"/>
      <c r="M14" s="1117"/>
      <c r="N14" s="1117"/>
      <c r="O14" s="1117"/>
      <c r="P14" s="1117"/>
      <c r="Q14" s="1117"/>
      <c r="R14" s="1117"/>
      <c r="S14" s="1117"/>
      <c r="T14" s="1117"/>
      <c r="U14" s="1117"/>
      <c r="V14" s="1117"/>
      <c r="W14" s="1117"/>
      <c r="X14" s="1117"/>
      <c r="Y14" s="1117"/>
      <c r="Z14" s="1137"/>
      <c r="AA14" s="1137"/>
      <c r="AB14" s="1137"/>
      <c r="AC14" s="1137"/>
      <c r="AD14" s="1137"/>
      <c r="AE14" s="1137"/>
      <c r="AF14" s="1137"/>
      <c r="AG14" s="1137"/>
      <c r="AH14" s="1137"/>
      <c r="AI14" s="1137"/>
      <c r="AJ14" s="1137"/>
      <c r="AK14" s="1137"/>
      <c r="AL14" s="1137"/>
      <c r="AM14" s="1137"/>
      <c r="AN14" s="1137"/>
      <c r="AO14" s="1137"/>
      <c r="AP14" s="1137"/>
      <c r="AQ14" s="1137"/>
      <c r="AR14" s="1137"/>
      <c r="AS14" s="1137"/>
    </row>
    <row r="15" spans="1:45" s="1138" customFormat="1" ht="21.75" customHeight="1" thickBot="1" x14ac:dyDescent="0.3">
      <c r="A15" s="1128" t="s">
        <v>710</v>
      </c>
      <c r="B15" s="1145" t="s">
        <v>711</v>
      </c>
      <c r="C15" s="1130">
        <f>+C16+C17+C18+C19+C20</f>
        <v>7657800</v>
      </c>
      <c r="D15" s="1131">
        <f>+D16+D17+D18+D19+D20</f>
        <v>0</v>
      </c>
      <c r="E15" s="1117"/>
      <c r="F15" s="1117"/>
      <c r="G15" s="1117"/>
      <c r="H15" s="1117"/>
      <c r="I15" s="1117"/>
      <c r="J15" s="1117"/>
      <c r="K15" s="1117"/>
      <c r="L15" s="1117"/>
      <c r="M15" s="1117"/>
      <c r="N15" s="1117"/>
      <c r="O15" s="1117"/>
      <c r="P15" s="1117"/>
      <c r="Q15" s="1117"/>
      <c r="R15" s="1117"/>
      <c r="S15" s="1117"/>
      <c r="T15" s="1117"/>
      <c r="U15" s="1117"/>
      <c r="V15" s="1117"/>
      <c r="W15" s="1117"/>
      <c r="X15" s="1117"/>
      <c r="Y15" s="1117"/>
      <c r="Z15" s="1137"/>
      <c r="AA15" s="1137"/>
      <c r="AB15" s="1137"/>
      <c r="AC15" s="1137"/>
      <c r="AD15" s="1137"/>
      <c r="AE15" s="1137"/>
      <c r="AF15" s="1137"/>
      <c r="AG15" s="1137"/>
      <c r="AH15" s="1137"/>
      <c r="AI15" s="1137"/>
      <c r="AJ15" s="1137"/>
      <c r="AK15" s="1137"/>
      <c r="AL15" s="1137"/>
      <c r="AM15" s="1137"/>
      <c r="AN15" s="1137"/>
      <c r="AO15" s="1137"/>
      <c r="AP15" s="1137"/>
      <c r="AQ15" s="1137"/>
      <c r="AR15" s="1137"/>
      <c r="AS15" s="1137"/>
    </row>
    <row r="16" spans="1:45" s="1138" customFormat="1" ht="12" customHeight="1" x14ac:dyDescent="0.2">
      <c r="A16" s="1133" t="s">
        <v>712</v>
      </c>
      <c r="B16" s="1134" t="s">
        <v>713</v>
      </c>
      <c r="C16" s="1146">
        <f t="shared" ref="C16:C21" si="1">SUM(E16:AS16)</f>
        <v>0</v>
      </c>
      <c r="D16" s="1147"/>
      <c r="E16" s="1117"/>
      <c r="F16" s="1117"/>
      <c r="G16" s="1117"/>
      <c r="H16" s="1117"/>
      <c r="I16" s="1117"/>
      <c r="J16" s="1117"/>
      <c r="K16" s="1117"/>
      <c r="L16" s="1117"/>
      <c r="M16" s="1117"/>
      <c r="N16" s="1117"/>
      <c r="O16" s="1117"/>
      <c r="P16" s="1117"/>
      <c r="Q16" s="1117"/>
      <c r="R16" s="1117"/>
      <c r="S16" s="1117"/>
      <c r="T16" s="1117"/>
      <c r="U16" s="1117"/>
      <c r="V16" s="1117"/>
      <c r="W16" s="1117"/>
      <c r="X16" s="1117"/>
      <c r="Y16" s="1117"/>
      <c r="Z16" s="1137"/>
      <c r="AA16" s="1137"/>
      <c r="AB16" s="1137"/>
      <c r="AC16" s="1137"/>
      <c r="AD16" s="1137"/>
      <c r="AE16" s="1137"/>
      <c r="AF16" s="1137"/>
      <c r="AG16" s="1137"/>
      <c r="AH16" s="1137"/>
      <c r="AI16" s="1137"/>
      <c r="AJ16" s="1137"/>
      <c r="AK16" s="1137"/>
      <c r="AL16" s="1137"/>
      <c r="AM16" s="1137"/>
      <c r="AN16" s="1137"/>
      <c r="AO16" s="1137"/>
      <c r="AP16" s="1137"/>
      <c r="AQ16" s="1137"/>
      <c r="AR16" s="1137"/>
      <c r="AS16" s="1137"/>
    </row>
    <row r="17" spans="1:45" s="1138" customFormat="1" ht="12" customHeight="1" x14ac:dyDescent="0.2">
      <c r="A17" s="1139" t="s">
        <v>714</v>
      </c>
      <c r="B17" s="1140" t="s">
        <v>715</v>
      </c>
      <c r="C17" s="1146">
        <f t="shared" si="1"/>
        <v>0</v>
      </c>
      <c r="D17" s="1148"/>
      <c r="E17" s="1117"/>
      <c r="F17" s="1117"/>
      <c r="G17" s="1117"/>
      <c r="H17" s="1117"/>
      <c r="I17" s="1117"/>
      <c r="J17" s="1117"/>
      <c r="K17" s="1117"/>
      <c r="L17" s="1117"/>
      <c r="M17" s="1117"/>
      <c r="N17" s="1117"/>
      <c r="O17" s="1117"/>
      <c r="P17" s="1117"/>
      <c r="Q17" s="1117"/>
      <c r="R17" s="1117"/>
      <c r="S17" s="1117"/>
      <c r="T17" s="1117"/>
      <c r="U17" s="1117"/>
      <c r="V17" s="1117"/>
      <c r="W17" s="1117"/>
      <c r="X17" s="1117"/>
      <c r="Y17" s="1117"/>
      <c r="Z17" s="1137"/>
      <c r="AA17" s="1137"/>
      <c r="AB17" s="1137"/>
      <c r="AC17" s="1137"/>
      <c r="AD17" s="1137"/>
      <c r="AE17" s="1137"/>
      <c r="AF17" s="1137"/>
      <c r="AG17" s="1137"/>
      <c r="AH17" s="1137"/>
      <c r="AI17" s="1137"/>
      <c r="AJ17" s="1137"/>
      <c r="AK17" s="1137"/>
      <c r="AL17" s="1137"/>
      <c r="AM17" s="1137"/>
      <c r="AN17" s="1137"/>
      <c r="AO17" s="1137"/>
      <c r="AP17" s="1137"/>
      <c r="AQ17" s="1137"/>
      <c r="AR17" s="1137"/>
      <c r="AS17" s="1137"/>
    </row>
    <row r="18" spans="1:45" s="1138" customFormat="1" ht="12" customHeight="1" x14ac:dyDescent="0.2">
      <c r="A18" s="1139" t="s">
        <v>716</v>
      </c>
      <c r="B18" s="1140" t="s">
        <v>717</v>
      </c>
      <c r="C18" s="1146">
        <f t="shared" si="1"/>
        <v>0</v>
      </c>
      <c r="D18" s="1148"/>
      <c r="E18" s="1117"/>
      <c r="F18" s="1117"/>
      <c r="G18" s="1117"/>
      <c r="H18" s="1117"/>
      <c r="I18" s="1117"/>
      <c r="J18" s="1117"/>
      <c r="K18" s="1117"/>
      <c r="L18" s="1117"/>
      <c r="M18" s="1117"/>
      <c r="N18" s="1117"/>
      <c r="O18" s="1117"/>
      <c r="P18" s="1117"/>
      <c r="Q18" s="1117"/>
      <c r="R18" s="1117"/>
      <c r="S18" s="1117"/>
      <c r="T18" s="1117"/>
      <c r="U18" s="1117"/>
      <c r="V18" s="1117"/>
      <c r="W18" s="1117"/>
      <c r="X18" s="1117"/>
      <c r="Y18" s="1117"/>
      <c r="Z18" s="1137"/>
      <c r="AA18" s="1137"/>
      <c r="AB18" s="1137"/>
      <c r="AC18" s="1137"/>
      <c r="AD18" s="1137"/>
      <c r="AE18" s="1137"/>
      <c r="AF18" s="1137"/>
      <c r="AG18" s="1137"/>
      <c r="AH18" s="1137"/>
      <c r="AI18" s="1137"/>
      <c r="AJ18" s="1137"/>
      <c r="AK18" s="1137"/>
      <c r="AL18" s="1137"/>
      <c r="AM18" s="1137"/>
      <c r="AN18" s="1137"/>
      <c r="AO18" s="1137"/>
      <c r="AP18" s="1137"/>
      <c r="AQ18" s="1137"/>
      <c r="AR18" s="1137"/>
      <c r="AS18" s="1137"/>
    </row>
    <row r="19" spans="1:45" s="1138" customFormat="1" ht="12" customHeight="1" x14ac:dyDescent="0.2">
      <c r="A19" s="1139" t="s">
        <v>718</v>
      </c>
      <c r="B19" s="1140" t="s">
        <v>719</v>
      </c>
      <c r="C19" s="1146">
        <f t="shared" si="1"/>
        <v>0</v>
      </c>
      <c r="D19" s="1148"/>
      <c r="E19" s="1117"/>
      <c r="F19" s="1117"/>
      <c r="G19" s="1117"/>
      <c r="H19" s="1117"/>
      <c r="I19" s="1117"/>
      <c r="J19" s="1117"/>
      <c r="K19" s="1117"/>
      <c r="L19" s="1117"/>
      <c r="M19" s="1117"/>
      <c r="N19" s="1117"/>
      <c r="O19" s="1117"/>
      <c r="P19" s="1117"/>
      <c r="Q19" s="1117"/>
      <c r="R19" s="1117"/>
      <c r="S19" s="1117"/>
      <c r="T19" s="1117"/>
      <c r="U19" s="1117"/>
      <c r="V19" s="1117"/>
      <c r="W19" s="1117"/>
      <c r="X19" s="1117"/>
      <c r="Y19" s="1117"/>
      <c r="Z19" s="1137"/>
      <c r="AA19" s="1137"/>
      <c r="AB19" s="1137"/>
      <c r="AC19" s="1137"/>
      <c r="AD19" s="1137"/>
      <c r="AE19" s="1137"/>
      <c r="AF19" s="1137"/>
      <c r="AG19" s="1137"/>
      <c r="AH19" s="1137"/>
      <c r="AI19" s="1137"/>
      <c r="AJ19" s="1137"/>
      <c r="AK19" s="1137"/>
      <c r="AL19" s="1137"/>
      <c r="AM19" s="1137"/>
      <c r="AN19" s="1137"/>
      <c r="AO19" s="1137"/>
      <c r="AP19" s="1137"/>
      <c r="AQ19" s="1137"/>
      <c r="AR19" s="1137"/>
      <c r="AS19" s="1137"/>
    </row>
    <row r="20" spans="1:45" s="1138" customFormat="1" ht="12" customHeight="1" x14ac:dyDescent="0.2">
      <c r="A20" s="1139" t="s">
        <v>720</v>
      </c>
      <c r="B20" s="1140" t="s">
        <v>721</v>
      </c>
      <c r="C20" s="1146">
        <f>SUM(E20:AS20)-'7.1.2 Önkormányzat (ÁIG)'!C20</f>
        <v>7657800</v>
      </c>
      <c r="D20" s="1141"/>
      <c r="E20" s="1117">
        <v>139800</v>
      </c>
      <c r="F20" s="1117"/>
      <c r="G20" s="1117"/>
      <c r="H20" s="1117"/>
      <c r="I20" s="1117"/>
      <c r="J20" s="1117"/>
      <c r="K20" s="1117"/>
      <c r="L20" s="1117"/>
      <c r="M20" s="1117">
        <v>1450000</v>
      </c>
      <c r="N20" s="1117"/>
      <c r="O20" s="1117"/>
      <c r="P20" s="1117"/>
      <c r="Q20" s="1117"/>
      <c r="R20" s="1117"/>
      <c r="S20" s="1117"/>
      <c r="T20" s="1117"/>
      <c r="U20" s="1117"/>
      <c r="V20" s="1117"/>
      <c r="W20" s="1117"/>
      <c r="X20" s="1117">
        <v>2032000</v>
      </c>
      <c r="Y20" s="1117">
        <v>4036000</v>
      </c>
      <c r="Z20" s="1137"/>
      <c r="AA20" s="1137"/>
      <c r="AB20" s="1137"/>
      <c r="AC20" s="1137"/>
      <c r="AD20" s="1137"/>
      <c r="AE20" s="1137"/>
      <c r="AF20" s="1137"/>
      <c r="AG20" s="1137"/>
      <c r="AH20" s="1137"/>
      <c r="AI20" s="1137"/>
      <c r="AJ20" s="1137"/>
      <c r="AK20" s="1137"/>
      <c r="AL20" s="1117"/>
      <c r="AM20" s="1117"/>
      <c r="AN20" s="1137"/>
      <c r="AO20" s="1137"/>
      <c r="AP20" s="1137"/>
      <c r="AQ20" s="1137"/>
      <c r="AR20" s="1137"/>
      <c r="AS20" s="1137"/>
    </row>
    <row r="21" spans="1:45" s="1142" customFormat="1" ht="12" customHeight="1" thickBot="1" x14ac:dyDescent="0.25">
      <c r="A21" s="1143" t="s">
        <v>722</v>
      </c>
      <c r="B21" s="1144" t="s">
        <v>723</v>
      </c>
      <c r="C21" s="1146">
        <f t="shared" si="1"/>
        <v>0</v>
      </c>
      <c r="D21" s="1149"/>
      <c r="E21" s="1117"/>
      <c r="F21" s="1117"/>
      <c r="G21" s="1117"/>
      <c r="H21" s="1117"/>
      <c r="I21" s="1117"/>
      <c r="J21" s="1117"/>
      <c r="K21" s="1117"/>
      <c r="L21" s="1117"/>
      <c r="M21" s="1117"/>
      <c r="N21" s="1117"/>
      <c r="O21" s="1117"/>
      <c r="P21" s="1117"/>
      <c r="Q21" s="1117"/>
      <c r="R21" s="1117"/>
      <c r="S21" s="1117"/>
      <c r="T21" s="1117"/>
      <c r="U21" s="1117"/>
      <c r="V21" s="1117"/>
      <c r="W21" s="1117"/>
      <c r="X21" s="1117"/>
      <c r="Y21" s="1117"/>
      <c r="Z21" s="1117"/>
      <c r="AA21" s="1117"/>
      <c r="AB21" s="1117"/>
      <c r="AC21" s="1117"/>
      <c r="AD21" s="1117"/>
      <c r="AE21" s="1117"/>
      <c r="AF21" s="1117"/>
      <c r="AG21" s="1117"/>
      <c r="AH21" s="1117"/>
      <c r="AI21" s="1117"/>
      <c r="AJ21" s="1117"/>
      <c r="AK21" s="1117"/>
      <c r="AL21" s="1117"/>
      <c r="AM21" s="1117"/>
      <c r="AN21" s="1117"/>
      <c r="AO21" s="1117"/>
      <c r="AP21" s="1117"/>
      <c r="AQ21" s="1117"/>
      <c r="AR21" s="1117"/>
      <c r="AS21" s="1117"/>
    </row>
    <row r="22" spans="1:45" s="1142" customFormat="1" ht="23.25" customHeight="1" thickBot="1" x14ac:dyDescent="0.3">
      <c r="A22" s="1128" t="s">
        <v>724</v>
      </c>
      <c r="B22" s="1129" t="s">
        <v>725</v>
      </c>
      <c r="C22" s="1130">
        <f>+C23+C24+C25+C26+C27</f>
        <v>0</v>
      </c>
      <c r="D22" s="1131">
        <f>+D23+D24+D25+D26+D27</f>
        <v>0</v>
      </c>
      <c r="E22" s="1117"/>
      <c r="F22" s="1117"/>
      <c r="G22" s="1117"/>
      <c r="H22" s="1117"/>
      <c r="I22" s="1117"/>
      <c r="J22" s="1117"/>
      <c r="K22" s="1117"/>
      <c r="L22" s="1117"/>
      <c r="M22" s="1117"/>
      <c r="N22" s="1117"/>
      <c r="O22" s="1117"/>
      <c r="P22" s="1117"/>
      <c r="Q22" s="1117"/>
      <c r="R22" s="1117"/>
      <c r="S22" s="1117"/>
      <c r="T22" s="1117"/>
      <c r="U22" s="1117"/>
      <c r="V22" s="1117"/>
      <c r="W22" s="1117"/>
      <c r="X22" s="1117"/>
      <c r="Y22" s="1117"/>
      <c r="Z22" s="1117"/>
      <c r="AA22" s="1117"/>
      <c r="AB22" s="1117"/>
      <c r="AC22" s="1117"/>
      <c r="AD22" s="1117"/>
      <c r="AE22" s="1117"/>
      <c r="AF22" s="1117"/>
      <c r="AG22" s="1117"/>
      <c r="AH22" s="1117"/>
      <c r="AI22" s="1117"/>
      <c r="AJ22" s="1117"/>
      <c r="AK22" s="1117"/>
      <c r="AL22" s="1117"/>
      <c r="AM22" s="1117"/>
      <c r="AN22" s="1117"/>
      <c r="AO22" s="1117"/>
      <c r="AP22" s="1117"/>
      <c r="AQ22" s="1117"/>
      <c r="AR22" s="1117"/>
      <c r="AS22" s="1117"/>
    </row>
    <row r="23" spans="1:45" s="1142" customFormat="1" ht="12" customHeight="1" x14ac:dyDescent="0.2">
      <c r="A23" s="1133" t="s">
        <v>726</v>
      </c>
      <c r="B23" s="1134" t="s">
        <v>727</v>
      </c>
      <c r="C23" s="1146">
        <f t="shared" ref="C23:C28" si="2">SUM(E23:AS23)</f>
        <v>0</v>
      </c>
      <c r="D23" s="1147"/>
      <c r="E23" s="1117"/>
      <c r="F23" s="1117"/>
      <c r="G23" s="1117"/>
      <c r="H23" s="1117"/>
      <c r="I23" s="1117"/>
      <c r="J23" s="1117"/>
      <c r="K23" s="1117"/>
      <c r="L23" s="1117"/>
      <c r="M23" s="1117"/>
      <c r="N23" s="1117"/>
      <c r="O23" s="1117"/>
      <c r="P23" s="1117"/>
      <c r="Q23" s="1117"/>
      <c r="R23" s="1117"/>
      <c r="S23" s="1117"/>
      <c r="T23" s="1117"/>
      <c r="U23" s="1117"/>
      <c r="V23" s="1117"/>
      <c r="W23" s="1117"/>
      <c r="X23" s="1117"/>
      <c r="Y23" s="1117"/>
      <c r="Z23" s="1117"/>
      <c r="AA23" s="1117"/>
      <c r="AB23" s="1117"/>
      <c r="AC23" s="1117"/>
      <c r="AD23" s="1117"/>
      <c r="AE23" s="1117"/>
      <c r="AF23" s="1117"/>
      <c r="AG23" s="1117"/>
      <c r="AH23" s="1117"/>
      <c r="AI23" s="1117"/>
      <c r="AJ23" s="1117"/>
      <c r="AK23" s="1117"/>
      <c r="AL23" s="1117"/>
      <c r="AM23" s="1117"/>
      <c r="AN23" s="1117"/>
      <c r="AO23" s="1117"/>
      <c r="AP23" s="1117"/>
      <c r="AQ23" s="1117"/>
      <c r="AR23" s="1117"/>
      <c r="AS23" s="1117"/>
    </row>
    <row r="24" spans="1:45" s="1138" customFormat="1" ht="12" customHeight="1" x14ac:dyDescent="0.2">
      <c r="A24" s="1139" t="s">
        <v>728</v>
      </c>
      <c r="B24" s="1140" t="s">
        <v>729</v>
      </c>
      <c r="C24" s="1146">
        <f t="shared" si="2"/>
        <v>0</v>
      </c>
      <c r="D24" s="1148"/>
      <c r="E24" s="1117"/>
      <c r="F24" s="1117"/>
      <c r="G24" s="1117"/>
      <c r="H24" s="1117"/>
      <c r="I24" s="1117"/>
      <c r="J24" s="1117"/>
      <c r="K24" s="1117"/>
      <c r="L24" s="1117"/>
      <c r="M24" s="1117"/>
      <c r="N24" s="1117"/>
      <c r="O24" s="1117"/>
      <c r="P24" s="1117"/>
      <c r="Q24" s="1117"/>
      <c r="R24" s="1117"/>
      <c r="S24" s="1117"/>
      <c r="T24" s="1117"/>
      <c r="U24" s="1117"/>
      <c r="V24" s="1117"/>
      <c r="W24" s="1117"/>
      <c r="X24" s="1117"/>
      <c r="Y24" s="1117"/>
      <c r="Z24" s="1137"/>
      <c r="AA24" s="1137"/>
      <c r="AB24" s="1137"/>
      <c r="AC24" s="1137"/>
      <c r="AD24" s="1137"/>
      <c r="AE24" s="1137"/>
      <c r="AF24" s="1137"/>
      <c r="AG24" s="1137"/>
      <c r="AH24" s="1137"/>
      <c r="AI24" s="1137"/>
      <c r="AJ24" s="1137"/>
      <c r="AK24" s="1137"/>
      <c r="AL24" s="1137"/>
      <c r="AM24" s="1137"/>
      <c r="AN24" s="1137"/>
      <c r="AO24" s="1137"/>
      <c r="AP24" s="1137"/>
      <c r="AQ24" s="1137"/>
      <c r="AR24" s="1137"/>
      <c r="AS24" s="1137"/>
    </row>
    <row r="25" spans="1:45" s="1142" customFormat="1" ht="12" customHeight="1" x14ac:dyDescent="0.2">
      <c r="A25" s="1139" t="s">
        <v>730</v>
      </c>
      <c r="B25" s="1140" t="s">
        <v>731</v>
      </c>
      <c r="C25" s="1146">
        <f t="shared" si="2"/>
        <v>0</v>
      </c>
      <c r="D25" s="1148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7"/>
      <c r="AG25" s="1117"/>
      <c r="AH25" s="1117"/>
      <c r="AI25" s="1117"/>
      <c r="AJ25" s="1117"/>
      <c r="AK25" s="1117"/>
      <c r="AL25" s="1117"/>
      <c r="AM25" s="1117"/>
      <c r="AN25" s="1117"/>
      <c r="AO25" s="1117"/>
      <c r="AP25" s="1117"/>
      <c r="AQ25" s="1117"/>
      <c r="AR25" s="1117"/>
      <c r="AS25" s="1117"/>
    </row>
    <row r="26" spans="1:45" s="1142" customFormat="1" ht="12" customHeight="1" x14ac:dyDescent="0.2">
      <c r="A26" s="1139" t="s">
        <v>732</v>
      </c>
      <c r="B26" s="1140" t="s">
        <v>733</v>
      </c>
      <c r="C26" s="1146">
        <f t="shared" si="2"/>
        <v>0</v>
      </c>
      <c r="D26" s="1148"/>
      <c r="E26" s="1117"/>
      <c r="F26" s="1117"/>
      <c r="G26" s="1117"/>
      <c r="H26" s="1117"/>
      <c r="I26" s="1117"/>
      <c r="J26" s="1117"/>
      <c r="K26" s="1117"/>
      <c r="L26" s="1117"/>
      <c r="M26" s="1117"/>
      <c r="N26" s="1117"/>
      <c r="O26" s="1117"/>
      <c r="P26" s="1117"/>
      <c r="Q26" s="1117"/>
      <c r="R26" s="1117"/>
      <c r="S26" s="1117"/>
      <c r="T26" s="1117"/>
      <c r="U26" s="1117"/>
      <c r="V26" s="1117"/>
      <c r="W26" s="1117"/>
      <c r="X26" s="1117"/>
      <c r="Y26" s="1117"/>
      <c r="Z26" s="1117"/>
      <c r="AA26" s="1117"/>
      <c r="AB26" s="1117"/>
      <c r="AC26" s="1117"/>
      <c r="AD26" s="1117"/>
      <c r="AE26" s="1117"/>
      <c r="AF26" s="1117"/>
      <c r="AG26" s="1117"/>
      <c r="AH26" s="1117"/>
      <c r="AI26" s="1117"/>
      <c r="AJ26" s="1117"/>
      <c r="AK26" s="1117"/>
      <c r="AL26" s="1117"/>
      <c r="AM26" s="1117"/>
      <c r="AN26" s="1117"/>
      <c r="AO26" s="1117"/>
      <c r="AP26" s="1117"/>
      <c r="AQ26" s="1117"/>
      <c r="AR26" s="1117"/>
      <c r="AS26" s="1117"/>
    </row>
    <row r="27" spans="1:45" s="1142" customFormat="1" ht="12" customHeight="1" x14ac:dyDescent="0.2">
      <c r="A27" s="1139" t="s">
        <v>734</v>
      </c>
      <c r="B27" s="1140" t="s">
        <v>735</v>
      </c>
      <c r="C27" s="1146">
        <f t="shared" si="2"/>
        <v>0</v>
      </c>
      <c r="D27" s="1141"/>
      <c r="E27" s="1117"/>
      <c r="F27" s="1117"/>
      <c r="G27" s="1117"/>
      <c r="H27" s="1117"/>
      <c r="I27" s="1117"/>
      <c r="J27" s="1117"/>
      <c r="K27" s="1117"/>
      <c r="L27" s="1117"/>
      <c r="M27" s="1117"/>
      <c r="N27" s="1117"/>
      <c r="O27" s="1117"/>
      <c r="P27" s="1117"/>
      <c r="Q27" s="1117"/>
      <c r="R27" s="1117"/>
      <c r="S27" s="1117"/>
      <c r="T27" s="1117"/>
      <c r="U27" s="1117"/>
      <c r="V27" s="1117"/>
      <c r="W27" s="1117"/>
      <c r="X27" s="1117"/>
      <c r="Y27" s="1117"/>
      <c r="Z27" s="1117"/>
      <c r="AA27" s="1117"/>
      <c r="AB27" s="1117"/>
      <c r="AC27" s="1117"/>
      <c r="AD27" s="1117"/>
      <c r="AE27" s="1117"/>
      <c r="AF27" s="1117"/>
      <c r="AG27" s="1117"/>
      <c r="AH27" s="1117"/>
      <c r="AI27" s="1117"/>
      <c r="AJ27" s="1117"/>
      <c r="AK27" s="1117"/>
      <c r="AL27" s="1117"/>
      <c r="AM27" s="1117"/>
      <c r="AN27" s="1117"/>
      <c r="AO27" s="1117"/>
      <c r="AP27" s="1117"/>
      <c r="AQ27" s="1117"/>
      <c r="AR27" s="1117"/>
      <c r="AS27" s="1117"/>
    </row>
    <row r="28" spans="1:45" s="1142" customFormat="1" ht="12" customHeight="1" thickBot="1" x14ac:dyDescent="0.25">
      <c r="A28" s="1143" t="s">
        <v>736</v>
      </c>
      <c r="B28" s="1144" t="s">
        <v>737</v>
      </c>
      <c r="C28" s="1146">
        <f t="shared" si="2"/>
        <v>0</v>
      </c>
      <c r="D28" s="1149"/>
      <c r="E28" s="1117"/>
      <c r="F28" s="1117"/>
      <c r="G28" s="1117"/>
      <c r="H28" s="1117"/>
      <c r="I28" s="1117"/>
      <c r="J28" s="1117"/>
      <c r="K28" s="1117"/>
      <c r="L28" s="1117"/>
      <c r="M28" s="1117"/>
      <c r="N28" s="1117"/>
      <c r="O28" s="1117"/>
      <c r="P28" s="1117"/>
      <c r="Q28" s="1117"/>
      <c r="R28" s="1117"/>
      <c r="S28" s="1117"/>
      <c r="T28" s="1117"/>
      <c r="U28" s="1117"/>
      <c r="V28" s="1117"/>
      <c r="W28" s="1117"/>
      <c r="X28" s="1117"/>
      <c r="Y28" s="1117"/>
      <c r="Z28" s="1117"/>
      <c r="AA28" s="1117"/>
      <c r="AB28" s="1117"/>
      <c r="AC28" s="1117"/>
      <c r="AD28" s="1117"/>
      <c r="AE28" s="1117"/>
      <c r="AF28" s="1117"/>
      <c r="AG28" s="1117"/>
      <c r="AH28" s="1117"/>
      <c r="AI28" s="1117"/>
      <c r="AJ28" s="1117"/>
      <c r="AK28" s="1117"/>
      <c r="AL28" s="1117"/>
      <c r="AM28" s="1117"/>
      <c r="AN28" s="1117"/>
      <c r="AO28" s="1117"/>
      <c r="AP28" s="1117"/>
      <c r="AQ28" s="1117"/>
      <c r="AR28" s="1117"/>
      <c r="AS28" s="1117"/>
    </row>
    <row r="29" spans="1:45" s="1142" customFormat="1" ht="12" customHeight="1" thickBot="1" x14ac:dyDescent="0.3">
      <c r="A29" s="1128" t="s">
        <v>738</v>
      </c>
      <c r="B29" s="1129" t="s">
        <v>739</v>
      </c>
      <c r="C29" s="1150">
        <f>+C30+C36</f>
        <v>67732694</v>
      </c>
      <c r="D29" s="1151">
        <f>+D30+D34+D35+D36</f>
        <v>0</v>
      </c>
      <c r="E29" s="1117"/>
      <c r="F29" s="1117"/>
      <c r="G29" s="1117"/>
      <c r="H29" s="1117"/>
      <c r="I29" s="1117"/>
      <c r="J29" s="1117"/>
      <c r="K29" s="1117"/>
      <c r="L29" s="1117"/>
      <c r="M29" s="1117"/>
      <c r="N29" s="1117"/>
      <c r="O29" s="1117"/>
      <c r="P29" s="1117"/>
      <c r="Q29" s="1117"/>
      <c r="R29" s="1117"/>
      <c r="S29" s="1117"/>
      <c r="T29" s="1117"/>
      <c r="U29" s="1117"/>
      <c r="V29" s="1117"/>
      <c r="W29" s="1117"/>
      <c r="X29" s="1117"/>
      <c r="Y29" s="1117"/>
      <c r="Z29" s="1117"/>
      <c r="AA29" s="1117"/>
      <c r="AB29" s="1117"/>
      <c r="AC29" s="1117"/>
      <c r="AD29" s="1117"/>
      <c r="AE29" s="1117"/>
      <c r="AF29" s="1117"/>
      <c r="AG29" s="1117"/>
      <c r="AH29" s="1117"/>
      <c r="AI29" s="1117"/>
      <c r="AJ29" s="1117"/>
      <c r="AK29" s="1117"/>
      <c r="AL29" s="1117"/>
      <c r="AM29" s="1117"/>
      <c r="AN29" s="1117"/>
      <c r="AO29" s="1117"/>
      <c r="AP29" s="1117"/>
      <c r="AQ29" s="1117"/>
      <c r="AR29" s="1117"/>
      <c r="AS29" s="1117"/>
    </row>
    <row r="30" spans="1:45" s="1142" customFormat="1" ht="12" customHeight="1" x14ac:dyDescent="0.2">
      <c r="A30" s="1133" t="s">
        <v>740</v>
      </c>
      <c r="B30" s="1134" t="s">
        <v>741</v>
      </c>
      <c r="C30" s="1152">
        <f>C32+C33+C34+C35+C31</f>
        <v>67032694</v>
      </c>
      <c r="D30" s="1153">
        <f>D32+D33</f>
        <v>0</v>
      </c>
      <c r="E30" s="1117"/>
      <c r="F30" s="1117"/>
      <c r="G30" s="1117"/>
      <c r="H30" s="1117"/>
      <c r="I30" s="1117"/>
      <c r="J30" s="1117"/>
      <c r="K30" s="1117"/>
      <c r="L30" s="1117"/>
      <c r="M30" s="1117"/>
      <c r="N30" s="1117"/>
      <c r="O30" s="1117"/>
      <c r="P30" s="1117"/>
      <c r="Q30" s="1117"/>
      <c r="R30" s="1117"/>
      <c r="S30" s="1117"/>
      <c r="T30" s="1117"/>
      <c r="U30" s="1117"/>
      <c r="V30" s="1117"/>
      <c r="W30" s="1117"/>
      <c r="X30" s="1117"/>
      <c r="Y30" s="1117"/>
      <c r="Z30" s="1117"/>
      <c r="AA30" s="1117"/>
      <c r="AB30" s="1117"/>
      <c r="AC30" s="1117"/>
      <c r="AD30" s="1117"/>
      <c r="AE30" s="1117"/>
      <c r="AF30" s="1117"/>
      <c r="AG30" s="1117"/>
      <c r="AH30" s="1117"/>
      <c r="AI30" s="1117"/>
      <c r="AJ30" s="1117"/>
      <c r="AK30" s="1117"/>
      <c r="AL30" s="1117"/>
      <c r="AM30" s="1117"/>
      <c r="AN30" s="1117"/>
      <c r="AO30" s="1117"/>
      <c r="AP30" s="1117"/>
      <c r="AQ30" s="1117"/>
      <c r="AR30" s="1117"/>
      <c r="AS30" s="1117"/>
    </row>
    <row r="31" spans="1:45" s="1142" customFormat="1" ht="12" customHeight="1" x14ac:dyDescent="0.2">
      <c r="A31" s="1139" t="s">
        <v>742</v>
      </c>
      <c r="B31" s="1154" t="s">
        <v>743</v>
      </c>
      <c r="C31" s="1155">
        <f t="shared" ref="C31:C36" si="3">SUM(E31:AS31)</f>
        <v>40000</v>
      </c>
      <c r="D31" s="1153"/>
      <c r="E31" s="1117"/>
      <c r="F31" s="1117"/>
      <c r="G31" s="1117"/>
      <c r="H31" s="1117"/>
      <c r="I31" s="1117"/>
      <c r="J31" s="1117"/>
      <c r="K31" s="1117"/>
      <c r="L31" s="1117"/>
      <c r="M31" s="1117"/>
      <c r="N31" s="1117"/>
      <c r="O31" s="1117"/>
      <c r="P31" s="1117"/>
      <c r="Q31" s="1117"/>
      <c r="R31" s="1117"/>
      <c r="S31" s="1117"/>
      <c r="T31" s="1117"/>
      <c r="U31" s="1117"/>
      <c r="V31" s="1117"/>
      <c r="W31" s="1117"/>
      <c r="X31" s="1117"/>
      <c r="Y31" s="1117"/>
      <c r="Z31" s="1117"/>
      <c r="AA31" s="1117"/>
      <c r="AB31" s="1117"/>
      <c r="AC31" s="1117"/>
      <c r="AD31" s="1117"/>
      <c r="AE31" s="1117"/>
      <c r="AF31" s="1117"/>
      <c r="AG31" s="1117"/>
      <c r="AH31" s="1117"/>
      <c r="AI31" s="1117"/>
      <c r="AJ31" s="1117"/>
      <c r="AK31" s="1117"/>
      <c r="AL31" s="1117"/>
      <c r="AM31" s="1117"/>
      <c r="AN31" s="1117"/>
      <c r="AO31" s="1117"/>
      <c r="AP31" s="1117"/>
      <c r="AQ31" s="1117"/>
      <c r="AR31" s="1117">
        <v>40000</v>
      </c>
      <c r="AS31" s="1117"/>
    </row>
    <row r="32" spans="1:45" s="1142" customFormat="1" ht="12" customHeight="1" x14ac:dyDescent="0.2">
      <c r="A32" s="1139" t="s">
        <v>744</v>
      </c>
      <c r="B32" s="1140" t="s">
        <v>745</v>
      </c>
      <c r="C32" s="1155">
        <f t="shared" si="3"/>
        <v>7500000</v>
      </c>
      <c r="D32" s="1141"/>
      <c r="E32" s="1117"/>
      <c r="F32" s="1117"/>
      <c r="G32" s="1117"/>
      <c r="H32" s="1117"/>
      <c r="I32" s="1117"/>
      <c r="J32" s="1117"/>
      <c r="K32" s="1117"/>
      <c r="L32" s="1117"/>
      <c r="M32" s="1117"/>
      <c r="N32" s="1117"/>
      <c r="O32" s="1117"/>
      <c r="P32" s="1117"/>
      <c r="Q32" s="1117"/>
      <c r="R32" s="1117"/>
      <c r="S32" s="1117"/>
      <c r="T32" s="1117"/>
      <c r="U32" s="1117"/>
      <c r="V32" s="1117"/>
      <c r="W32" s="1117"/>
      <c r="X32" s="1117"/>
      <c r="Y32" s="1117"/>
      <c r="Z32" s="1117"/>
      <c r="AA32" s="1117"/>
      <c r="AB32" s="1117"/>
      <c r="AC32" s="1117"/>
      <c r="AD32" s="1117"/>
      <c r="AE32" s="1117"/>
      <c r="AF32" s="1117"/>
      <c r="AG32" s="1117"/>
      <c r="AH32" s="1117"/>
      <c r="AI32" s="1117"/>
      <c r="AJ32" s="1117"/>
      <c r="AK32" s="1117"/>
      <c r="AL32" s="1117"/>
      <c r="AM32" s="1117"/>
      <c r="AN32" s="1117"/>
      <c r="AO32" s="1117"/>
      <c r="AP32" s="1117"/>
      <c r="AQ32" s="1117"/>
      <c r="AR32" s="1117">
        <v>7500000</v>
      </c>
      <c r="AS32" s="1117"/>
    </row>
    <row r="33" spans="1:45" s="1142" customFormat="1" ht="12" customHeight="1" x14ac:dyDescent="0.2">
      <c r="A33" s="1139" t="s">
        <v>746</v>
      </c>
      <c r="B33" s="1154" t="s">
        <v>747</v>
      </c>
      <c r="C33" s="1155">
        <f>SUM(E33:AS33)-'7.1.2 Önkormányzat (ÁIG)'!C33-'7.1.3 Önkormányzat (ÖNK)'!C33</f>
        <v>48292694</v>
      </c>
      <c r="D33" s="1141"/>
      <c r="E33" s="1117"/>
      <c r="F33" s="1117"/>
      <c r="G33" s="1117"/>
      <c r="H33" s="1117"/>
      <c r="I33" s="1117"/>
      <c r="J33" s="1117"/>
      <c r="K33" s="1117"/>
      <c r="L33" s="1117"/>
      <c r="M33" s="1117"/>
      <c r="N33" s="1117"/>
      <c r="O33" s="1117"/>
      <c r="P33" s="1117"/>
      <c r="Q33" s="1117"/>
      <c r="R33" s="1117"/>
      <c r="S33" s="1117"/>
      <c r="T33" s="1117"/>
      <c r="U33" s="1117"/>
      <c r="V33" s="1117"/>
      <c r="W33" s="1117"/>
      <c r="X33" s="1117"/>
      <c r="Y33" s="1117"/>
      <c r="Z33" s="1117"/>
      <c r="AA33" s="1117"/>
      <c r="AB33" s="1117"/>
      <c r="AC33" s="1117"/>
      <c r="AD33" s="1117"/>
      <c r="AE33" s="1117"/>
      <c r="AF33" s="1117"/>
      <c r="AG33" s="1117"/>
      <c r="AH33" s="1117"/>
      <c r="AI33" s="1117"/>
      <c r="AJ33" s="1117"/>
      <c r="AK33" s="1117"/>
      <c r="AL33" s="1117"/>
      <c r="AM33" s="1117"/>
      <c r="AN33" s="1117"/>
      <c r="AO33" s="1117"/>
      <c r="AP33" s="1117"/>
      <c r="AQ33" s="1117"/>
      <c r="AR33" s="1117">
        <v>72000000</v>
      </c>
      <c r="AS33" s="1117"/>
    </row>
    <row r="34" spans="1:45" s="1142" customFormat="1" ht="12" customHeight="1" x14ac:dyDescent="0.2">
      <c r="A34" s="1139" t="s">
        <v>748</v>
      </c>
      <c r="B34" s="1154" t="s">
        <v>749</v>
      </c>
      <c r="C34" s="1155">
        <f t="shared" si="3"/>
        <v>11000000</v>
      </c>
      <c r="D34" s="1141"/>
      <c r="E34" s="1117"/>
      <c r="F34" s="1117"/>
      <c r="G34" s="1117"/>
      <c r="H34" s="1117"/>
      <c r="I34" s="1117"/>
      <c r="J34" s="1117"/>
      <c r="K34" s="1117"/>
      <c r="L34" s="1117"/>
      <c r="M34" s="1117"/>
      <c r="N34" s="1117"/>
      <c r="O34" s="1117"/>
      <c r="P34" s="1117"/>
      <c r="Q34" s="1117"/>
      <c r="R34" s="1117"/>
      <c r="S34" s="1117"/>
      <c r="T34" s="1117"/>
      <c r="U34" s="1117"/>
      <c r="V34" s="1117"/>
      <c r="W34" s="1117"/>
      <c r="X34" s="1117"/>
      <c r="Y34" s="1117"/>
      <c r="Z34" s="1117"/>
      <c r="AA34" s="1117"/>
      <c r="AB34" s="1117"/>
      <c r="AC34" s="1117"/>
      <c r="AD34" s="1117"/>
      <c r="AE34" s="1117"/>
      <c r="AF34" s="1117"/>
      <c r="AG34" s="1117"/>
      <c r="AH34" s="1117"/>
      <c r="AI34" s="1117"/>
      <c r="AJ34" s="1117"/>
      <c r="AK34" s="1117"/>
      <c r="AL34" s="1117"/>
      <c r="AM34" s="1117"/>
      <c r="AN34" s="1117"/>
      <c r="AO34" s="1117"/>
      <c r="AP34" s="1117"/>
      <c r="AQ34" s="1117"/>
      <c r="AR34" s="1117">
        <v>11000000</v>
      </c>
      <c r="AS34" s="1117"/>
    </row>
    <row r="35" spans="1:45" s="1142" customFormat="1" ht="12" customHeight="1" x14ac:dyDescent="0.2">
      <c r="A35" s="1139" t="s">
        <v>750</v>
      </c>
      <c r="B35" s="1154" t="s">
        <v>751</v>
      </c>
      <c r="C35" s="1155">
        <f t="shared" si="3"/>
        <v>200000</v>
      </c>
      <c r="D35" s="1141"/>
      <c r="E35" s="1117"/>
      <c r="F35" s="1117"/>
      <c r="G35" s="1117"/>
      <c r="H35" s="1117"/>
      <c r="I35" s="1117"/>
      <c r="J35" s="1117"/>
      <c r="K35" s="1117"/>
      <c r="L35" s="1117"/>
      <c r="M35" s="1117"/>
      <c r="N35" s="1117"/>
      <c r="O35" s="1117"/>
      <c r="P35" s="1117"/>
      <c r="Q35" s="1117"/>
      <c r="R35" s="1117"/>
      <c r="S35" s="1117"/>
      <c r="T35" s="1117"/>
      <c r="U35" s="1117"/>
      <c r="V35" s="1117"/>
      <c r="W35" s="1117"/>
      <c r="X35" s="1117"/>
      <c r="Y35" s="1117"/>
      <c r="Z35" s="1117"/>
      <c r="AA35" s="1117"/>
      <c r="AB35" s="1117"/>
      <c r="AC35" s="1117"/>
      <c r="AD35" s="1117"/>
      <c r="AE35" s="1117"/>
      <c r="AF35" s="1117"/>
      <c r="AG35" s="1117"/>
      <c r="AH35" s="1117"/>
      <c r="AI35" s="1117"/>
      <c r="AJ35" s="1117"/>
      <c r="AK35" s="1117"/>
      <c r="AL35" s="1117"/>
      <c r="AM35" s="1117"/>
      <c r="AN35" s="1117"/>
      <c r="AO35" s="1117"/>
      <c r="AP35" s="1117"/>
      <c r="AQ35" s="1117"/>
      <c r="AR35" s="1117">
        <v>200000</v>
      </c>
      <c r="AS35" s="1117"/>
    </row>
    <row r="36" spans="1:45" s="1142" customFormat="1" ht="12" customHeight="1" thickBot="1" x14ac:dyDescent="0.25">
      <c r="A36" s="1143" t="s">
        <v>752</v>
      </c>
      <c r="B36" s="1144" t="s">
        <v>248</v>
      </c>
      <c r="C36" s="1155">
        <f t="shared" si="3"/>
        <v>700000</v>
      </c>
      <c r="D36" s="1156"/>
      <c r="E36" s="1117"/>
      <c r="F36" s="1117"/>
      <c r="G36" s="1117"/>
      <c r="H36" s="1117"/>
      <c r="I36" s="1117"/>
      <c r="J36" s="1117"/>
      <c r="K36" s="1117"/>
      <c r="L36" s="1117"/>
      <c r="M36" s="1117"/>
      <c r="N36" s="1117"/>
      <c r="O36" s="1117"/>
      <c r="P36" s="1117"/>
      <c r="Q36" s="1117"/>
      <c r="R36" s="1117"/>
      <c r="S36" s="1117"/>
      <c r="T36" s="1117"/>
      <c r="U36" s="1117"/>
      <c r="V36" s="1117"/>
      <c r="W36" s="1117"/>
      <c r="X36" s="1117"/>
      <c r="Y36" s="1117"/>
      <c r="Z36" s="1117"/>
      <c r="AA36" s="1117"/>
      <c r="AB36" s="1117"/>
      <c r="AC36" s="1117"/>
      <c r="AD36" s="1117"/>
      <c r="AE36" s="1117"/>
      <c r="AF36" s="1117"/>
      <c r="AG36" s="1117"/>
      <c r="AH36" s="1117"/>
      <c r="AI36" s="1117"/>
      <c r="AJ36" s="1117"/>
      <c r="AK36" s="1117"/>
      <c r="AL36" s="1117"/>
      <c r="AM36" s="1117"/>
      <c r="AN36" s="1117"/>
      <c r="AO36" s="1117"/>
      <c r="AP36" s="1117"/>
      <c r="AQ36" s="1117"/>
      <c r="AR36" s="1117">
        <v>700000</v>
      </c>
      <c r="AS36" s="1117"/>
    </row>
    <row r="37" spans="1:45" s="1142" customFormat="1" ht="12" customHeight="1" thickBot="1" x14ac:dyDescent="0.3">
      <c r="A37" s="1128" t="s">
        <v>753</v>
      </c>
      <c r="B37" s="1129" t="s">
        <v>754</v>
      </c>
      <c r="C37" s="1130">
        <f>SUM(C38:C47)</f>
        <v>9752000</v>
      </c>
      <c r="D37" s="1131">
        <f>SUM(D38:D47)</f>
        <v>0</v>
      </c>
      <c r="E37" s="1117"/>
      <c r="F37" s="1117"/>
      <c r="G37" s="1117"/>
      <c r="H37" s="1117"/>
      <c r="I37" s="1117"/>
      <c r="J37" s="1117"/>
      <c r="K37" s="1117"/>
      <c r="L37" s="1117"/>
      <c r="M37" s="1117"/>
      <c r="N37" s="1117"/>
      <c r="O37" s="1117"/>
      <c r="P37" s="1117"/>
      <c r="Q37" s="1117"/>
      <c r="R37" s="1117"/>
      <c r="S37" s="1117"/>
      <c r="T37" s="1117"/>
      <c r="U37" s="1117"/>
      <c r="V37" s="1117"/>
      <c r="W37" s="1117"/>
      <c r="X37" s="1117"/>
      <c r="Y37" s="1117"/>
      <c r="Z37" s="1117"/>
      <c r="AA37" s="1117"/>
      <c r="AB37" s="1117"/>
      <c r="AC37" s="1117"/>
      <c r="AD37" s="1117"/>
      <c r="AE37" s="1117"/>
      <c r="AF37" s="1117"/>
      <c r="AG37" s="1117"/>
      <c r="AH37" s="1117"/>
      <c r="AI37" s="1117"/>
      <c r="AJ37" s="1117"/>
      <c r="AK37" s="1117"/>
      <c r="AL37" s="1117"/>
      <c r="AM37" s="1117"/>
      <c r="AN37" s="1117"/>
      <c r="AO37" s="1117"/>
      <c r="AP37" s="1117"/>
      <c r="AQ37" s="1117"/>
      <c r="AR37" s="1117"/>
      <c r="AS37" s="1117"/>
    </row>
    <row r="38" spans="1:45" s="1142" customFormat="1" ht="12" customHeight="1" x14ac:dyDescent="0.2">
      <c r="A38" s="1133" t="s">
        <v>755</v>
      </c>
      <c r="B38" s="1134" t="s">
        <v>756</v>
      </c>
      <c r="C38" s="1157">
        <f>SUM(E38:AS38)-'7.1.3 Önkormányzat (ÖNK)'!C38</f>
        <v>0</v>
      </c>
      <c r="D38" s="1148"/>
      <c r="E38" s="1117"/>
      <c r="F38" s="1117"/>
      <c r="G38" s="1117">
        <v>2000000</v>
      </c>
      <c r="H38" s="1117"/>
      <c r="I38" s="1117"/>
      <c r="J38" s="1117"/>
      <c r="K38" s="1117"/>
      <c r="L38" s="1117"/>
      <c r="M38" s="1117"/>
      <c r="N38" s="1117"/>
      <c r="O38" s="1117"/>
      <c r="P38" s="1117"/>
      <c r="Q38" s="1117"/>
      <c r="R38" s="1117"/>
      <c r="S38" s="1117"/>
      <c r="T38" s="1117"/>
      <c r="U38" s="1117"/>
      <c r="V38" s="1117"/>
      <c r="W38" s="1117"/>
      <c r="X38" s="1117"/>
      <c r="Y38" s="1117"/>
      <c r="Z38" s="1117"/>
      <c r="AA38" s="1117"/>
      <c r="AB38" s="1117"/>
      <c r="AC38" s="1117"/>
      <c r="AD38" s="1117"/>
      <c r="AE38" s="1117"/>
      <c r="AF38" s="1117"/>
      <c r="AG38" s="1117"/>
      <c r="AH38" s="1117"/>
      <c r="AI38" s="1117"/>
      <c r="AJ38" s="1117"/>
      <c r="AK38" s="1117"/>
      <c r="AL38" s="1117"/>
      <c r="AM38" s="1117"/>
      <c r="AN38" s="1117"/>
      <c r="AO38" s="1117"/>
      <c r="AP38" s="1117"/>
      <c r="AQ38" s="1117"/>
      <c r="AR38" s="1117"/>
      <c r="AS38" s="1117"/>
    </row>
    <row r="39" spans="1:45" s="1142" customFormat="1" ht="12" customHeight="1" x14ac:dyDescent="0.2">
      <c r="A39" s="1139" t="s">
        <v>757</v>
      </c>
      <c r="B39" s="1140" t="s">
        <v>758</v>
      </c>
      <c r="C39" s="1157">
        <f t="shared" ref="C39:C47" si="4">SUM(E39:AS39)</f>
        <v>7690000</v>
      </c>
      <c r="D39" s="1148"/>
      <c r="E39" s="1117"/>
      <c r="F39" s="1117">
        <v>4437000</v>
      </c>
      <c r="G39" s="1117">
        <v>3065000</v>
      </c>
      <c r="H39" s="1117"/>
      <c r="I39" s="1117"/>
      <c r="J39" s="1117"/>
      <c r="K39" s="1117"/>
      <c r="L39" s="1117"/>
      <c r="M39" s="1117"/>
      <c r="N39" s="1117"/>
      <c r="O39" s="1117"/>
      <c r="P39" s="1117"/>
      <c r="Q39" s="1117"/>
      <c r="R39" s="1117"/>
      <c r="S39" s="1117">
        <v>188000</v>
      </c>
      <c r="T39" s="1117"/>
      <c r="U39" s="1117"/>
      <c r="V39" s="1117"/>
      <c r="W39" s="1117"/>
      <c r="X39" s="1117"/>
      <c r="Y39" s="1117"/>
      <c r="Z39" s="1117"/>
      <c r="AA39" s="1117"/>
      <c r="AB39" s="1117"/>
      <c r="AC39" s="1117"/>
      <c r="AD39" s="1117"/>
      <c r="AE39" s="1117"/>
      <c r="AF39" s="1117"/>
      <c r="AG39" s="1117"/>
      <c r="AH39" s="1117"/>
      <c r="AI39" s="1117"/>
      <c r="AJ39" s="1117"/>
      <c r="AK39" s="1117"/>
      <c r="AL39" s="1117"/>
      <c r="AM39" s="1117"/>
      <c r="AN39" s="1117"/>
      <c r="AO39" s="1117"/>
      <c r="AP39" s="1117"/>
      <c r="AQ39" s="1117"/>
      <c r="AR39" s="1117"/>
      <c r="AS39" s="1117"/>
    </row>
    <row r="40" spans="1:45" s="1142" customFormat="1" ht="12" customHeight="1" x14ac:dyDescent="0.2">
      <c r="A40" s="1139" t="s">
        <v>759</v>
      </c>
      <c r="B40" s="1140" t="s">
        <v>760</v>
      </c>
      <c r="C40" s="1157">
        <f t="shared" si="4"/>
        <v>440000</v>
      </c>
      <c r="D40" s="1148"/>
      <c r="E40" s="1117">
        <v>240000</v>
      </c>
      <c r="F40" s="1117"/>
      <c r="G40" s="1117">
        <v>200000</v>
      </c>
      <c r="H40" s="1117"/>
      <c r="I40" s="1117"/>
      <c r="J40" s="1117"/>
      <c r="K40" s="1117"/>
      <c r="L40" s="1117"/>
      <c r="M40" s="1117"/>
      <c r="N40" s="1117"/>
      <c r="O40" s="1117"/>
      <c r="P40" s="1117"/>
      <c r="Q40" s="1117"/>
      <c r="R40" s="1117"/>
      <c r="S40" s="1117"/>
      <c r="T40" s="1117"/>
      <c r="U40" s="1117"/>
      <c r="V40" s="1117"/>
      <c r="W40" s="1117"/>
      <c r="X40" s="1117"/>
      <c r="Y40" s="1117"/>
      <c r="Z40" s="1117"/>
      <c r="AA40" s="1117"/>
      <c r="AB40" s="1117"/>
      <c r="AC40" s="1117"/>
      <c r="AD40" s="1117"/>
      <c r="AE40" s="1117"/>
      <c r="AF40" s="1117"/>
      <c r="AG40" s="1117"/>
      <c r="AH40" s="1117"/>
      <c r="AI40" s="1117"/>
      <c r="AJ40" s="1117"/>
      <c r="AK40" s="1117"/>
      <c r="AL40" s="1117"/>
      <c r="AM40" s="1117"/>
      <c r="AN40" s="1117"/>
      <c r="AO40" s="1117"/>
      <c r="AP40" s="1117"/>
      <c r="AQ40" s="1117"/>
      <c r="AR40" s="1117"/>
      <c r="AS40" s="1117"/>
    </row>
    <row r="41" spans="1:45" s="1142" customFormat="1" ht="12" customHeight="1" x14ac:dyDescent="0.2">
      <c r="A41" s="1139" t="s">
        <v>761</v>
      </c>
      <c r="B41" s="1140" t="s">
        <v>762</v>
      </c>
      <c r="C41" s="1157">
        <f t="shared" si="4"/>
        <v>0</v>
      </c>
      <c r="D41" s="1148"/>
      <c r="E41" s="1117"/>
      <c r="F41" s="1117"/>
      <c r="G41" s="1117"/>
      <c r="H41" s="1117"/>
      <c r="I41" s="1117"/>
      <c r="J41" s="1117"/>
      <c r="K41" s="1117"/>
      <c r="L41" s="1117"/>
      <c r="M41" s="1117"/>
      <c r="N41" s="1117"/>
      <c r="O41" s="1117"/>
      <c r="P41" s="1117"/>
      <c r="Q41" s="1117"/>
      <c r="R41" s="1117"/>
      <c r="S41" s="1117"/>
      <c r="T41" s="1117"/>
      <c r="U41" s="1117"/>
      <c r="V41" s="1117"/>
      <c r="W41" s="1117"/>
      <c r="X41" s="1117"/>
      <c r="Y41" s="1117"/>
      <c r="Z41" s="1117"/>
      <c r="AA41" s="1117"/>
      <c r="AB41" s="1117"/>
      <c r="AC41" s="1117"/>
      <c r="AD41" s="1117"/>
      <c r="AE41" s="1117"/>
      <c r="AF41" s="1117"/>
      <c r="AG41" s="1117"/>
      <c r="AH41" s="1117"/>
      <c r="AI41" s="1117"/>
      <c r="AJ41" s="1117"/>
      <c r="AK41" s="1117"/>
      <c r="AL41" s="1117"/>
      <c r="AM41" s="1117"/>
      <c r="AN41" s="1117"/>
      <c r="AO41" s="1117"/>
      <c r="AP41" s="1117"/>
      <c r="AQ41" s="1117"/>
      <c r="AR41" s="1117"/>
      <c r="AS41" s="1117"/>
    </row>
    <row r="42" spans="1:45" s="1142" customFormat="1" ht="12" customHeight="1" x14ac:dyDescent="0.2">
      <c r="A42" s="1139" t="s">
        <v>763</v>
      </c>
      <c r="B42" s="1140" t="s">
        <v>764</v>
      </c>
      <c r="C42" s="1157">
        <f t="shared" si="4"/>
        <v>0</v>
      </c>
      <c r="D42" s="1148"/>
      <c r="E42" s="1117"/>
      <c r="F42" s="1117"/>
      <c r="G42" s="1117"/>
      <c r="H42" s="1117"/>
      <c r="I42" s="1117"/>
      <c r="J42" s="1117"/>
      <c r="K42" s="1117"/>
      <c r="L42" s="1117"/>
      <c r="M42" s="1117"/>
      <c r="N42" s="1117"/>
      <c r="O42" s="1117"/>
      <c r="P42" s="1117"/>
      <c r="Q42" s="1117"/>
      <c r="R42" s="1117"/>
      <c r="S42" s="1117"/>
      <c r="T42" s="1117"/>
      <c r="U42" s="1117"/>
      <c r="V42" s="1117"/>
      <c r="W42" s="1117"/>
      <c r="X42" s="1117"/>
      <c r="Y42" s="1117"/>
      <c r="Z42" s="1117"/>
      <c r="AA42" s="1117"/>
      <c r="AB42" s="1117"/>
      <c r="AC42" s="1117"/>
      <c r="AD42" s="1117"/>
      <c r="AE42" s="1117"/>
      <c r="AF42" s="1117"/>
      <c r="AG42" s="1117"/>
      <c r="AH42" s="1117"/>
      <c r="AI42" s="1117"/>
      <c r="AJ42" s="1117"/>
      <c r="AK42" s="1117"/>
      <c r="AL42" s="1117"/>
      <c r="AM42" s="1117"/>
      <c r="AN42" s="1117"/>
      <c r="AO42" s="1117"/>
      <c r="AP42" s="1117"/>
      <c r="AQ42" s="1117"/>
      <c r="AR42" s="1117"/>
      <c r="AS42" s="1117"/>
    </row>
    <row r="43" spans="1:45" s="1142" customFormat="1" ht="12" customHeight="1" x14ac:dyDescent="0.2">
      <c r="A43" s="1139" t="s">
        <v>765</v>
      </c>
      <c r="B43" s="1140" t="s">
        <v>766</v>
      </c>
      <c r="C43" s="1157">
        <f>SUM(E43:AS43)-'7.1.3 Önkormányzat (ÖNK)'!C43</f>
        <v>1467000</v>
      </c>
      <c r="D43" s="1148"/>
      <c r="E43" s="1117">
        <v>65000</v>
      </c>
      <c r="F43" s="1117">
        <v>1198000</v>
      </c>
      <c r="G43" s="1117">
        <v>693000</v>
      </c>
      <c r="H43" s="1117"/>
      <c r="I43" s="1117"/>
      <c r="J43" s="1117"/>
      <c r="K43" s="1117"/>
      <c r="L43" s="1117"/>
      <c r="M43" s="1117"/>
      <c r="N43" s="1117"/>
      <c r="O43" s="1117"/>
      <c r="P43" s="1117"/>
      <c r="Q43" s="1117"/>
      <c r="R43" s="1117"/>
      <c r="S43" s="1117">
        <v>51000</v>
      </c>
      <c r="T43" s="1117"/>
      <c r="U43" s="1117"/>
      <c r="V43" s="1117"/>
      <c r="W43" s="1117"/>
      <c r="X43" s="1117"/>
      <c r="Y43" s="1117"/>
      <c r="Z43" s="1117"/>
      <c r="AA43" s="1117"/>
      <c r="AB43" s="1117"/>
      <c r="AC43" s="1117"/>
      <c r="AD43" s="1117"/>
      <c r="AE43" s="1117"/>
      <c r="AF43" s="1117"/>
      <c r="AG43" s="1117"/>
      <c r="AH43" s="1117"/>
      <c r="AI43" s="1117"/>
      <c r="AJ43" s="1117"/>
      <c r="AK43" s="1117"/>
      <c r="AL43" s="1117"/>
      <c r="AM43" s="1117"/>
      <c r="AN43" s="1117"/>
      <c r="AO43" s="1117"/>
      <c r="AP43" s="1117"/>
      <c r="AQ43" s="1117"/>
      <c r="AR43" s="1117"/>
      <c r="AS43" s="1117"/>
    </row>
    <row r="44" spans="1:45" s="1142" customFormat="1" ht="12" customHeight="1" x14ac:dyDescent="0.2">
      <c r="A44" s="1139" t="s">
        <v>767</v>
      </c>
      <c r="B44" s="1140" t="s">
        <v>768</v>
      </c>
      <c r="C44" s="1157">
        <f t="shared" si="4"/>
        <v>0</v>
      </c>
      <c r="D44" s="1148"/>
      <c r="E44" s="1117"/>
      <c r="F44" s="1117"/>
      <c r="G44" s="1117"/>
      <c r="H44" s="1117"/>
      <c r="I44" s="1117"/>
      <c r="J44" s="1117"/>
      <c r="K44" s="1117"/>
      <c r="L44" s="1117"/>
      <c r="M44" s="1117"/>
      <c r="N44" s="1117"/>
      <c r="O44" s="1117"/>
      <c r="P44" s="1117"/>
      <c r="Q44" s="1117"/>
      <c r="R44" s="1117"/>
      <c r="S44" s="1117"/>
      <c r="T44" s="1117"/>
      <c r="U44" s="1117"/>
      <c r="V44" s="1117"/>
      <c r="W44" s="1117"/>
      <c r="X44" s="1117"/>
      <c r="Y44" s="1117"/>
      <c r="Z44" s="1117"/>
      <c r="AA44" s="1117"/>
      <c r="AB44" s="1117"/>
      <c r="AC44" s="1117"/>
      <c r="AD44" s="1117"/>
      <c r="AE44" s="1117"/>
      <c r="AF44" s="1117"/>
      <c r="AG44" s="1117"/>
      <c r="AH44" s="1117"/>
      <c r="AI44" s="1117"/>
      <c r="AJ44" s="1117"/>
      <c r="AK44" s="1117"/>
      <c r="AL44" s="1117"/>
      <c r="AM44" s="1117"/>
      <c r="AN44" s="1117"/>
      <c r="AO44" s="1117"/>
      <c r="AP44" s="1117"/>
      <c r="AQ44" s="1117"/>
      <c r="AR44" s="1117"/>
      <c r="AS44" s="1117"/>
    </row>
    <row r="45" spans="1:45" s="1142" customFormat="1" ht="12" customHeight="1" x14ac:dyDescent="0.2">
      <c r="A45" s="1139" t="s">
        <v>769</v>
      </c>
      <c r="B45" s="1140" t="s">
        <v>770</v>
      </c>
      <c r="C45" s="1157">
        <f t="shared" si="4"/>
        <v>5000</v>
      </c>
      <c r="D45" s="1148"/>
      <c r="E45" s="1117">
        <v>5000</v>
      </c>
      <c r="F45" s="1117"/>
      <c r="G45" s="1117"/>
      <c r="H45" s="1117"/>
      <c r="I45" s="1117"/>
      <c r="J45" s="1117"/>
      <c r="K45" s="1117"/>
      <c r="L45" s="1117"/>
      <c r="M45" s="1117"/>
      <c r="N45" s="1117"/>
      <c r="O45" s="1117"/>
      <c r="P45" s="1117"/>
      <c r="Q45" s="1117"/>
      <c r="R45" s="1117"/>
      <c r="S45" s="1117"/>
      <c r="T45" s="1117"/>
      <c r="U45" s="1117"/>
      <c r="V45" s="1117"/>
      <c r="W45" s="1117"/>
      <c r="X45" s="1117"/>
      <c r="Y45" s="1117"/>
      <c r="Z45" s="1117"/>
      <c r="AA45" s="1117"/>
      <c r="AB45" s="1117"/>
      <c r="AC45" s="1117"/>
      <c r="AD45" s="1117"/>
      <c r="AE45" s="1117"/>
      <c r="AF45" s="1117"/>
      <c r="AG45" s="1117"/>
      <c r="AH45" s="1117"/>
      <c r="AI45" s="1117"/>
      <c r="AJ45" s="1117"/>
      <c r="AK45" s="1117"/>
      <c r="AL45" s="1117"/>
      <c r="AM45" s="1117"/>
      <c r="AN45" s="1117"/>
      <c r="AO45" s="1117"/>
      <c r="AP45" s="1117"/>
      <c r="AQ45" s="1117"/>
      <c r="AR45" s="1117"/>
      <c r="AS45" s="1117"/>
    </row>
    <row r="46" spans="1:45" s="1142" customFormat="1" ht="12" customHeight="1" x14ac:dyDescent="0.2">
      <c r="A46" s="1139" t="s">
        <v>771</v>
      </c>
      <c r="B46" s="1140" t="s">
        <v>772</v>
      </c>
      <c r="C46" s="1157">
        <f t="shared" si="4"/>
        <v>0</v>
      </c>
      <c r="D46" s="1158"/>
      <c r="E46" s="1117"/>
      <c r="F46" s="1117"/>
      <c r="G46" s="1117"/>
      <c r="H46" s="1117"/>
      <c r="I46" s="1117"/>
      <c r="J46" s="1117"/>
      <c r="K46" s="1117"/>
      <c r="L46" s="1117"/>
      <c r="M46" s="1117"/>
      <c r="N46" s="1117"/>
      <c r="O46" s="1117"/>
      <c r="P46" s="1117"/>
      <c r="Q46" s="1117"/>
      <c r="R46" s="1117"/>
      <c r="S46" s="1117"/>
      <c r="T46" s="1117"/>
      <c r="U46" s="1117"/>
      <c r="V46" s="1117"/>
      <c r="W46" s="1117"/>
      <c r="X46" s="1117"/>
      <c r="Y46" s="1117"/>
      <c r="Z46" s="1117"/>
      <c r="AA46" s="1117"/>
      <c r="AB46" s="1117"/>
      <c r="AC46" s="1117"/>
      <c r="AD46" s="1117"/>
      <c r="AE46" s="1117"/>
      <c r="AF46" s="1117"/>
      <c r="AG46" s="1117"/>
      <c r="AH46" s="1117"/>
      <c r="AI46" s="1117"/>
      <c r="AJ46" s="1117"/>
      <c r="AK46" s="1117"/>
      <c r="AL46" s="1117"/>
      <c r="AM46" s="1117"/>
      <c r="AN46" s="1117"/>
      <c r="AO46" s="1117"/>
      <c r="AP46" s="1117"/>
      <c r="AQ46" s="1117"/>
      <c r="AR46" s="1117"/>
      <c r="AS46" s="1117"/>
    </row>
    <row r="47" spans="1:45" s="1142" customFormat="1" ht="12" customHeight="1" thickBot="1" x14ac:dyDescent="0.25">
      <c r="A47" s="1143" t="s">
        <v>773</v>
      </c>
      <c r="B47" s="1144" t="s">
        <v>774</v>
      </c>
      <c r="C47" s="1157">
        <f t="shared" si="4"/>
        <v>150000</v>
      </c>
      <c r="D47" s="1159"/>
      <c r="E47" s="1117">
        <v>150000</v>
      </c>
      <c r="F47" s="1117"/>
      <c r="G47" s="1117"/>
      <c r="H47" s="1117"/>
      <c r="I47" s="1117"/>
      <c r="J47" s="1117"/>
      <c r="K47" s="1117"/>
      <c r="L47" s="1117"/>
      <c r="M47" s="1117"/>
      <c r="N47" s="1117"/>
      <c r="O47" s="1117"/>
      <c r="P47" s="1117"/>
      <c r="Q47" s="1117"/>
      <c r="R47" s="1117"/>
      <c r="S47" s="1117"/>
      <c r="T47" s="1117"/>
      <c r="U47" s="1117"/>
      <c r="V47" s="1117"/>
      <c r="W47" s="1117"/>
      <c r="X47" s="1117"/>
      <c r="Y47" s="1117"/>
      <c r="Z47" s="1117"/>
      <c r="AA47" s="1117"/>
      <c r="AB47" s="1117"/>
      <c r="AC47" s="1117"/>
      <c r="AD47" s="1117"/>
      <c r="AE47" s="1117"/>
      <c r="AF47" s="1117"/>
      <c r="AG47" s="1117"/>
      <c r="AH47" s="1117"/>
      <c r="AI47" s="1117"/>
      <c r="AJ47" s="1117"/>
      <c r="AK47" s="1117"/>
      <c r="AL47" s="1117"/>
      <c r="AM47" s="1117"/>
      <c r="AN47" s="1117"/>
      <c r="AO47" s="1117"/>
      <c r="AP47" s="1117"/>
      <c r="AQ47" s="1117"/>
      <c r="AR47" s="1117"/>
      <c r="AS47" s="1117"/>
    </row>
    <row r="48" spans="1:45" s="1142" customFormat="1" ht="12" customHeight="1" thickBot="1" x14ac:dyDescent="0.3">
      <c r="A48" s="1128" t="s">
        <v>775</v>
      </c>
      <c r="B48" s="1129" t="s">
        <v>776</v>
      </c>
      <c r="C48" s="1130">
        <f>SUM(C49:C53)</f>
        <v>0</v>
      </c>
      <c r="D48" s="1131">
        <f>SUM(D49:D53)</f>
        <v>0</v>
      </c>
      <c r="E48" s="1117"/>
      <c r="F48" s="1117"/>
      <c r="G48" s="1117"/>
      <c r="H48" s="1117"/>
      <c r="I48" s="1117"/>
      <c r="J48" s="1117"/>
      <c r="K48" s="1117"/>
      <c r="L48" s="1117"/>
      <c r="M48" s="1117"/>
      <c r="N48" s="1117"/>
      <c r="O48" s="1117"/>
      <c r="P48" s="1117"/>
      <c r="Q48" s="1117"/>
      <c r="R48" s="1117"/>
      <c r="S48" s="1117"/>
      <c r="T48" s="1117"/>
      <c r="U48" s="1117"/>
      <c r="V48" s="1117"/>
      <c r="W48" s="1117"/>
      <c r="X48" s="1117"/>
      <c r="Y48" s="1117"/>
      <c r="Z48" s="1117"/>
      <c r="AA48" s="1117"/>
      <c r="AB48" s="1117"/>
      <c r="AC48" s="1117"/>
      <c r="AD48" s="1117"/>
      <c r="AE48" s="1117"/>
      <c r="AF48" s="1117"/>
      <c r="AG48" s="1117"/>
      <c r="AH48" s="1117"/>
      <c r="AI48" s="1117"/>
      <c r="AJ48" s="1117"/>
      <c r="AK48" s="1117"/>
      <c r="AL48" s="1117"/>
      <c r="AM48" s="1117"/>
      <c r="AN48" s="1117"/>
      <c r="AO48" s="1117"/>
      <c r="AP48" s="1117"/>
      <c r="AQ48" s="1117"/>
      <c r="AR48" s="1117"/>
      <c r="AS48" s="1117"/>
    </row>
    <row r="49" spans="1:45" s="1142" customFormat="1" ht="12" customHeight="1" x14ac:dyDescent="0.2">
      <c r="A49" s="1133" t="s">
        <v>777</v>
      </c>
      <c r="B49" s="1134" t="s">
        <v>778</v>
      </c>
      <c r="C49" s="1160">
        <f>SUM(E49:AS49)</f>
        <v>0</v>
      </c>
      <c r="D49" s="1161"/>
      <c r="E49" s="1117"/>
      <c r="F49" s="1117"/>
      <c r="G49" s="1117"/>
      <c r="H49" s="1117"/>
      <c r="I49" s="1117"/>
      <c r="J49" s="1117"/>
      <c r="K49" s="1117"/>
      <c r="L49" s="1117"/>
      <c r="M49" s="1117"/>
      <c r="N49" s="1117"/>
      <c r="O49" s="1117"/>
      <c r="P49" s="1117"/>
      <c r="Q49" s="1117"/>
      <c r="R49" s="1117"/>
      <c r="S49" s="1117"/>
      <c r="T49" s="1117"/>
      <c r="U49" s="1117"/>
      <c r="V49" s="1117"/>
      <c r="W49" s="1117"/>
      <c r="X49" s="1117"/>
      <c r="Y49" s="1117"/>
      <c r="Z49" s="1117"/>
      <c r="AA49" s="1117"/>
      <c r="AB49" s="1117"/>
      <c r="AC49" s="1117"/>
      <c r="AD49" s="1117"/>
      <c r="AE49" s="1117"/>
      <c r="AF49" s="1117"/>
      <c r="AG49" s="1117"/>
      <c r="AH49" s="1117"/>
      <c r="AI49" s="1117"/>
      <c r="AJ49" s="1117"/>
      <c r="AK49" s="1117"/>
      <c r="AL49" s="1117"/>
      <c r="AM49" s="1117"/>
      <c r="AN49" s="1117"/>
      <c r="AO49" s="1117"/>
      <c r="AP49" s="1117"/>
      <c r="AQ49" s="1117"/>
      <c r="AR49" s="1117"/>
      <c r="AS49" s="1117"/>
    </row>
    <row r="50" spans="1:45" s="1142" customFormat="1" ht="12" customHeight="1" x14ac:dyDescent="0.2">
      <c r="A50" s="1139" t="s">
        <v>779</v>
      </c>
      <c r="B50" s="1140" t="s">
        <v>525</v>
      </c>
      <c r="C50" s="1160">
        <f>SUM(E50:AS50)</f>
        <v>0</v>
      </c>
      <c r="D50" s="1158"/>
      <c r="E50" s="1117"/>
      <c r="F50" s="1117"/>
      <c r="G50" s="1117"/>
      <c r="H50" s="1117"/>
      <c r="I50" s="1117"/>
      <c r="J50" s="1117"/>
      <c r="K50" s="1117"/>
      <c r="L50" s="1117"/>
      <c r="M50" s="1117"/>
      <c r="N50" s="1117"/>
      <c r="O50" s="1117"/>
      <c r="P50" s="1117"/>
      <c r="Q50" s="1117"/>
      <c r="R50" s="1117"/>
      <c r="S50" s="1117"/>
      <c r="T50" s="1117"/>
      <c r="U50" s="1117"/>
      <c r="V50" s="1117"/>
      <c r="W50" s="1117"/>
      <c r="X50" s="1117"/>
      <c r="Y50" s="1117"/>
      <c r="Z50" s="1117"/>
      <c r="AA50" s="1117"/>
      <c r="AB50" s="1117"/>
      <c r="AC50" s="1117"/>
      <c r="AD50" s="1117"/>
      <c r="AE50" s="1117"/>
      <c r="AF50" s="1117"/>
      <c r="AG50" s="1117"/>
      <c r="AH50" s="1117"/>
      <c r="AI50" s="1117"/>
      <c r="AJ50" s="1117"/>
      <c r="AK50" s="1117"/>
      <c r="AL50" s="1117"/>
      <c r="AM50" s="1117"/>
      <c r="AN50" s="1117"/>
      <c r="AO50" s="1117"/>
      <c r="AP50" s="1117"/>
      <c r="AQ50" s="1117"/>
      <c r="AR50" s="1117"/>
      <c r="AS50" s="1117"/>
    </row>
    <row r="51" spans="1:45" s="1142" customFormat="1" ht="12" customHeight="1" x14ac:dyDescent="0.2">
      <c r="A51" s="1139" t="s">
        <v>780</v>
      </c>
      <c r="B51" s="1140" t="s">
        <v>781</v>
      </c>
      <c r="C51" s="1160">
        <f>SUM(E51:AS51)</f>
        <v>0</v>
      </c>
      <c r="D51" s="1158"/>
      <c r="E51" s="1117"/>
      <c r="F51" s="1117"/>
      <c r="G51" s="1117"/>
      <c r="H51" s="1117"/>
      <c r="I51" s="1117"/>
      <c r="J51" s="1117"/>
      <c r="K51" s="1117"/>
      <c r="L51" s="1117"/>
      <c r="M51" s="1117"/>
      <c r="N51" s="1117"/>
      <c r="O51" s="1117"/>
      <c r="P51" s="1117"/>
      <c r="Q51" s="1117"/>
      <c r="R51" s="1117"/>
      <c r="S51" s="1117"/>
      <c r="T51" s="1117"/>
      <c r="U51" s="1117"/>
      <c r="V51" s="1117"/>
      <c r="W51" s="1117"/>
      <c r="X51" s="1117"/>
      <c r="Y51" s="1117"/>
      <c r="Z51" s="1117"/>
      <c r="AA51" s="1117"/>
      <c r="AB51" s="1117"/>
      <c r="AC51" s="1117"/>
      <c r="AD51" s="1117"/>
      <c r="AE51" s="1117"/>
      <c r="AF51" s="1117"/>
      <c r="AG51" s="1117"/>
      <c r="AH51" s="1117"/>
      <c r="AI51" s="1117"/>
      <c r="AJ51" s="1117"/>
      <c r="AK51" s="1117"/>
      <c r="AL51" s="1117"/>
      <c r="AM51" s="1117"/>
      <c r="AN51" s="1117"/>
      <c r="AO51" s="1117"/>
      <c r="AP51" s="1117"/>
      <c r="AQ51" s="1117"/>
      <c r="AR51" s="1117"/>
      <c r="AS51" s="1117"/>
    </row>
    <row r="52" spans="1:45" s="1142" customFormat="1" ht="12" customHeight="1" x14ac:dyDescent="0.2">
      <c r="A52" s="1139" t="s">
        <v>782</v>
      </c>
      <c r="B52" s="1140" t="s">
        <v>783</v>
      </c>
      <c r="C52" s="1160">
        <f>SUM(E52:AS52)</f>
        <v>0</v>
      </c>
      <c r="D52" s="1158"/>
      <c r="E52" s="1117"/>
      <c r="F52" s="1117"/>
      <c r="G52" s="1117"/>
      <c r="H52" s="1117"/>
      <c r="I52" s="1117"/>
      <c r="J52" s="1117"/>
      <c r="K52" s="1117"/>
      <c r="L52" s="1117"/>
      <c r="M52" s="1117"/>
      <c r="N52" s="1117"/>
      <c r="O52" s="1117"/>
      <c r="P52" s="1117"/>
      <c r="Q52" s="1117"/>
      <c r="R52" s="1117"/>
      <c r="S52" s="1117"/>
      <c r="T52" s="1117"/>
      <c r="U52" s="1117"/>
      <c r="V52" s="1117"/>
      <c r="W52" s="1117"/>
      <c r="X52" s="1117"/>
      <c r="Y52" s="1117"/>
      <c r="Z52" s="1117"/>
      <c r="AA52" s="1117"/>
      <c r="AB52" s="1117"/>
      <c r="AC52" s="1117"/>
      <c r="AD52" s="1117"/>
      <c r="AE52" s="1117"/>
      <c r="AF52" s="1117"/>
      <c r="AG52" s="1117"/>
      <c r="AH52" s="1117"/>
      <c r="AI52" s="1117"/>
      <c r="AJ52" s="1117"/>
      <c r="AK52" s="1117"/>
      <c r="AL52" s="1117"/>
      <c r="AM52" s="1117"/>
      <c r="AN52" s="1117"/>
      <c r="AO52" s="1117"/>
      <c r="AP52" s="1117"/>
      <c r="AQ52" s="1117"/>
      <c r="AR52" s="1117"/>
      <c r="AS52" s="1117"/>
    </row>
    <row r="53" spans="1:45" s="1142" customFormat="1" ht="12" customHeight="1" thickBot="1" x14ac:dyDescent="0.25">
      <c r="A53" s="1143" t="s">
        <v>784</v>
      </c>
      <c r="B53" s="1144" t="s">
        <v>785</v>
      </c>
      <c r="C53" s="1160">
        <f>SUM(E53:AS53)</f>
        <v>0</v>
      </c>
      <c r="D53" s="1159"/>
      <c r="E53" s="1117"/>
      <c r="F53" s="1117"/>
      <c r="G53" s="1117"/>
      <c r="H53" s="1117"/>
      <c r="I53" s="1117"/>
      <c r="J53" s="1117"/>
      <c r="K53" s="1117"/>
      <c r="L53" s="1117"/>
      <c r="M53" s="1117"/>
      <c r="N53" s="1117"/>
      <c r="O53" s="1117"/>
      <c r="P53" s="1117"/>
      <c r="Q53" s="1117"/>
      <c r="R53" s="1117"/>
      <c r="S53" s="1117"/>
      <c r="T53" s="1117"/>
      <c r="U53" s="1117"/>
      <c r="V53" s="1117"/>
      <c r="W53" s="1117"/>
      <c r="X53" s="1117"/>
      <c r="Y53" s="1117"/>
      <c r="Z53" s="1117"/>
      <c r="AA53" s="1117"/>
      <c r="AB53" s="1117"/>
      <c r="AC53" s="1117"/>
      <c r="AD53" s="1117"/>
      <c r="AE53" s="1117"/>
      <c r="AF53" s="1117"/>
      <c r="AG53" s="1117"/>
      <c r="AH53" s="1117"/>
      <c r="AI53" s="1117"/>
      <c r="AJ53" s="1117"/>
      <c r="AK53" s="1117"/>
      <c r="AL53" s="1117"/>
      <c r="AM53" s="1117"/>
      <c r="AN53" s="1117"/>
      <c r="AO53" s="1117"/>
      <c r="AP53" s="1117"/>
      <c r="AQ53" s="1117"/>
      <c r="AR53" s="1117"/>
      <c r="AS53" s="1117"/>
    </row>
    <row r="54" spans="1:45" s="1142" customFormat="1" ht="12" customHeight="1" thickBot="1" x14ac:dyDescent="0.3">
      <c r="A54" s="1128" t="s">
        <v>786</v>
      </c>
      <c r="B54" s="1129" t="s">
        <v>787</v>
      </c>
      <c r="C54" s="1130">
        <f>SUM(C55:C57)</f>
        <v>0</v>
      </c>
      <c r="D54" s="1131">
        <f>SUM(D55:D57)</f>
        <v>0</v>
      </c>
      <c r="E54" s="1117"/>
      <c r="F54" s="1117"/>
      <c r="G54" s="1117"/>
      <c r="H54" s="1117"/>
      <c r="I54" s="1117"/>
      <c r="J54" s="1117"/>
      <c r="K54" s="1117"/>
      <c r="L54" s="1117"/>
      <c r="M54" s="1117"/>
      <c r="N54" s="1117"/>
      <c r="O54" s="1117"/>
      <c r="P54" s="1117"/>
      <c r="Q54" s="1117"/>
      <c r="R54" s="1117"/>
      <c r="S54" s="1117"/>
      <c r="T54" s="1117"/>
      <c r="U54" s="1117"/>
      <c r="V54" s="1117"/>
      <c r="W54" s="1117"/>
      <c r="X54" s="1117"/>
      <c r="Y54" s="1117"/>
      <c r="Z54" s="1117"/>
      <c r="AA54" s="1117"/>
      <c r="AB54" s="1117"/>
      <c r="AC54" s="1117"/>
      <c r="AD54" s="1117"/>
      <c r="AE54" s="1117"/>
      <c r="AF54" s="1117"/>
      <c r="AG54" s="1117"/>
      <c r="AH54" s="1117"/>
      <c r="AI54" s="1117"/>
      <c r="AJ54" s="1117"/>
      <c r="AK54" s="1117"/>
      <c r="AL54" s="1117"/>
      <c r="AM54" s="1117"/>
      <c r="AN54" s="1117"/>
      <c r="AO54" s="1117"/>
      <c r="AP54" s="1117"/>
      <c r="AQ54" s="1117"/>
      <c r="AR54" s="1117"/>
      <c r="AS54" s="1117"/>
    </row>
    <row r="55" spans="1:45" s="1142" customFormat="1" ht="12" customHeight="1" x14ac:dyDescent="0.2">
      <c r="A55" s="1133" t="s">
        <v>788</v>
      </c>
      <c r="B55" s="1134" t="s">
        <v>789</v>
      </c>
      <c r="C55" s="1146">
        <f>SUM(E55:AS55)</f>
        <v>0</v>
      </c>
      <c r="D55" s="1147"/>
      <c r="E55" s="1117"/>
      <c r="F55" s="1117"/>
      <c r="G55" s="1117"/>
      <c r="H55" s="1117"/>
      <c r="I55" s="1117"/>
      <c r="J55" s="1117"/>
      <c r="K55" s="1117"/>
      <c r="L55" s="1117"/>
      <c r="M55" s="1117"/>
      <c r="N55" s="1117"/>
      <c r="O55" s="1117"/>
      <c r="P55" s="1117"/>
      <c r="Q55" s="1117"/>
      <c r="R55" s="1117"/>
      <c r="S55" s="1117"/>
      <c r="T55" s="1117"/>
      <c r="U55" s="1117"/>
      <c r="V55" s="1117"/>
      <c r="W55" s="1117"/>
      <c r="X55" s="1117"/>
      <c r="Y55" s="1117"/>
      <c r="Z55" s="1117"/>
      <c r="AA55" s="1117"/>
      <c r="AB55" s="1117"/>
      <c r="AC55" s="1117"/>
      <c r="AD55" s="1117"/>
      <c r="AE55" s="1117"/>
      <c r="AF55" s="1117"/>
      <c r="AG55" s="1117"/>
      <c r="AH55" s="1117"/>
      <c r="AI55" s="1117"/>
      <c r="AJ55" s="1117"/>
      <c r="AK55" s="1117"/>
      <c r="AL55" s="1117"/>
      <c r="AM55" s="1117"/>
      <c r="AN55" s="1117"/>
      <c r="AO55" s="1117"/>
      <c r="AP55" s="1117"/>
      <c r="AQ55" s="1117"/>
      <c r="AR55" s="1117"/>
      <c r="AS55" s="1117"/>
    </row>
    <row r="56" spans="1:45" s="1142" customFormat="1" ht="12" customHeight="1" x14ac:dyDescent="0.2">
      <c r="A56" s="1139" t="s">
        <v>790</v>
      </c>
      <c r="B56" s="1140" t="s">
        <v>791</v>
      </c>
      <c r="C56" s="1146">
        <f>SUM(E56:AS56)</f>
        <v>0</v>
      </c>
      <c r="D56" s="1148"/>
      <c r="E56" s="1117"/>
      <c r="F56" s="1117"/>
      <c r="G56" s="1117"/>
      <c r="H56" s="1117"/>
      <c r="I56" s="1117"/>
      <c r="J56" s="1117"/>
      <c r="K56" s="1117"/>
      <c r="L56" s="1117"/>
      <c r="M56" s="1117"/>
      <c r="N56" s="1117"/>
      <c r="O56" s="1117"/>
      <c r="P56" s="1117"/>
      <c r="Q56" s="1117"/>
      <c r="R56" s="1117"/>
      <c r="S56" s="1117"/>
      <c r="T56" s="1117"/>
      <c r="U56" s="1117"/>
      <c r="V56" s="1117"/>
      <c r="W56" s="1117"/>
      <c r="X56" s="1117"/>
      <c r="Y56" s="1117"/>
      <c r="Z56" s="1117"/>
      <c r="AA56" s="1117"/>
      <c r="AB56" s="1117"/>
      <c r="AC56" s="1117"/>
      <c r="AD56" s="1117"/>
      <c r="AE56" s="1117"/>
      <c r="AF56" s="1117"/>
      <c r="AG56" s="1117"/>
      <c r="AH56" s="1117"/>
      <c r="AI56" s="1117"/>
      <c r="AJ56" s="1117"/>
      <c r="AK56" s="1117"/>
      <c r="AL56" s="1117"/>
      <c r="AM56" s="1117"/>
      <c r="AN56" s="1117"/>
      <c r="AO56" s="1117"/>
      <c r="AP56" s="1117"/>
      <c r="AQ56" s="1117"/>
      <c r="AR56" s="1117"/>
      <c r="AS56" s="1117"/>
    </row>
    <row r="57" spans="1:45" s="1142" customFormat="1" ht="12" customHeight="1" x14ac:dyDescent="0.2">
      <c r="A57" s="1139" t="s">
        <v>792</v>
      </c>
      <c r="B57" s="1140" t="s">
        <v>793</v>
      </c>
      <c r="C57" s="1146">
        <f>SUM(E57:AS57)</f>
        <v>0</v>
      </c>
      <c r="D57" s="1141"/>
      <c r="E57" s="1117"/>
      <c r="F57" s="1117"/>
      <c r="G57" s="1117"/>
      <c r="H57" s="1117"/>
      <c r="I57" s="1117"/>
      <c r="J57" s="1117"/>
      <c r="K57" s="1117"/>
      <c r="L57" s="1117"/>
      <c r="M57" s="1117"/>
      <c r="N57" s="1117"/>
      <c r="O57" s="1117"/>
      <c r="P57" s="1117"/>
      <c r="Q57" s="1117"/>
      <c r="R57" s="1117"/>
      <c r="S57" s="1117"/>
      <c r="T57" s="1117"/>
      <c r="U57" s="1117"/>
      <c r="V57" s="1117"/>
      <c r="W57" s="1117"/>
      <c r="X57" s="1117"/>
      <c r="Y57" s="1117"/>
      <c r="Z57" s="1117"/>
      <c r="AA57" s="1117"/>
      <c r="AB57" s="1117"/>
      <c r="AC57" s="1117"/>
      <c r="AD57" s="1117"/>
      <c r="AE57" s="1117"/>
      <c r="AF57" s="1117"/>
      <c r="AG57" s="1117"/>
      <c r="AH57" s="1117"/>
      <c r="AI57" s="1117"/>
      <c r="AJ57" s="1117"/>
      <c r="AK57" s="1117"/>
      <c r="AL57" s="1117"/>
      <c r="AM57" s="1117"/>
      <c r="AN57" s="1117"/>
      <c r="AO57" s="1117"/>
      <c r="AP57" s="1117"/>
      <c r="AQ57" s="1117"/>
      <c r="AR57" s="1117"/>
      <c r="AS57" s="1117"/>
    </row>
    <row r="58" spans="1:45" s="1142" customFormat="1" ht="12" customHeight="1" thickBot="1" x14ac:dyDescent="0.25">
      <c r="A58" s="1143" t="s">
        <v>794</v>
      </c>
      <c r="B58" s="1144" t="s">
        <v>795</v>
      </c>
      <c r="C58" s="1146">
        <f>SUM(E58:AS58)</f>
        <v>0</v>
      </c>
      <c r="D58" s="1156"/>
      <c r="E58" s="1117"/>
      <c r="F58" s="1117"/>
      <c r="G58" s="1117"/>
      <c r="H58" s="1117"/>
      <c r="I58" s="1117"/>
      <c r="J58" s="1117"/>
      <c r="K58" s="1117"/>
      <c r="L58" s="1117"/>
      <c r="M58" s="1117"/>
      <c r="N58" s="1117"/>
      <c r="O58" s="1117"/>
      <c r="P58" s="1117"/>
      <c r="Q58" s="1117"/>
      <c r="R58" s="1117"/>
      <c r="S58" s="1117"/>
      <c r="T58" s="1117"/>
      <c r="U58" s="1117"/>
      <c r="V58" s="1117"/>
      <c r="W58" s="1117"/>
      <c r="X58" s="1117"/>
      <c r="Y58" s="1117"/>
      <c r="Z58" s="1117"/>
      <c r="AA58" s="1117"/>
      <c r="AB58" s="1117"/>
      <c r="AC58" s="1117"/>
      <c r="AD58" s="1117"/>
      <c r="AE58" s="1117"/>
      <c r="AF58" s="1117"/>
      <c r="AG58" s="1117"/>
      <c r="AH58" s="1117"/>
      <c r="AI58" s="1117"/>
      <c r="AJ58" s="1117"/>
      <c r="AK58" s="1117"/>
      <c r="AL58" s="1117"/>
      <c r="AM58" s="1117"/>
      <c r="AN58" s="1117"/>
      <c r="AO58" s="1117"/>
      <c r="AP58" s="1117"/>
      <c r="AQ58" s="1117"/>
      <c r="AR58" s="1117"/>
      <c r="AS58" s="1117"/>
    </row>
    <row r="59" spans="1:45" s="1142" customFormat="1" ht="12" customHeight="1" thickBot="1" x14ac:dyDescent="0.3">
      <c r="A59" s="1128" t="s">
        <v>796</v>
      </c>
      <c r="B59" s="1145" t="s">
        <v>797</v>
      </c>
      <c r="C59" s="1130">
        <f>SUM(C60:C62)</f>
        <v>0</v>
      </c>
      <c r="D59" s="1162">
        <f>SUM(D60:D62)</f>
        <v>0</v>
      </c>
      <c r="E59" s="1117"/>
      <c r="F59" s="1117"/>
      <c r="G59" s="1117"/>
      <c r="H59" s="1117"/>
      <c r="I59" s="1117"/>
      <c r="J59" s="1117"/>
      <c r="K59" s="1117"/>
      <c r="L59" s="1117"/>
      <c r="M59" s="1117"/>
      <c r="N59" s="1117"/>
      <c r="O59" s="1117"/>
      <c r="P59" s="1117"/>
      <c r="Q59" s="1117"/>
      <c r="R59" s="1117"/>
      <c r="S59" s="1117"/>
      <c r="T59" s="1117"/>
      <c r="U59" s="1117"/>
      <c r="V59" s="1117"/>
      <c r="W59" s="1117"/>
      <c r="X59" s="1117"/>
      <c r="Y59" s="1117"/>
      <c r="Z59" s="1117"/>
      <c r="AA59" s="1117"/>
      <c r="AB59" s="1117"/>
      <c r="AC59" s="1117"/>
      <c r="AD59" s="1117"/>
      <c r="AE59" s="1117"/>
      <c r="AF59" s="1117"/>
      <c r="AG59" s="1117"/>
      <c r="AH59" s="1117"/>
      <c r="AI59" s="1117"/>
      <c r="AJ59" s="1117"/>
      <c r="AK59" s="1117"/>
      <c r="AL59" s="1117"/>
      <c r="AM59" s="1117"/>
      <c r="AN59" s="1117"/>
      <c r="AO59" s="1117"/>
      <c r="AP59" s="1117"/>
      <c r="AQ59" s="1117"/>
      <c r="AR59" s="1117"/>
      <c r="AS59" s="1117"/>
    </row>
    <row r="60" spans="1:45" s="1142" customFormat="1" ht="12" customHeight="1" x14ac:dyDescent="0.2">
      <c r="A60" s="1133" t="s">
        <v>798</v>
      </c>
      <c r="B60" s="1134" t="s">
        <v>799</v>
      </c>
      <c r="C60" s="1163">
        <f>SUM(E60:AS60)</f>
        <v>0</v>
      </c>
      <c r="D60" s="1141"/>
      <c r="E60" s="1117"/>
      <c r="F60" s="1117"/>
      <c r="G60" s="1117"/>
      <c r="H60" s="1117"/>
      <c r="I60" s="1117"/>
      <c r="J60" s="1117"/>
      <c r="K60" s="1117"/>
      <c r="L60" s="1117"/>
      <c r="M60" s="1117"/>
      <c r="N60" s="1117"/>
      <c r="O60" s="1117"/>
      <c r="P60" s="1117"/>
      <c r="Q60" s="1117"/>
      <c r="R60" s="1117"/>
      <c r="S60" s="1117"/>
      <c r="T60" s="1117"/>
      <c r="U60" s="1117"/>
      <c r="V60" s="1117"/>
      <c r="W60" s="1117"/>
      <c r="X60" s="1117"/>
      <c r="Y60" s="1117"/>
      <c r="Z60" s="1117"/>
      <c r="AA60" s="1117"/>
      <c r="AB60" s="1117"/>
      <c r="AC60" s="1117"/>
      <c r="AD60" s="1117"/>
      <c r="AE60" s="1117"/>
      <c r="AF60" s="1117"/>
      <c r="AG60" s="1117"/>
      <c r="AH60" s="1117"/>
      <c r="AI60" s="1117"/>
      <c r="AJ60" s="1117"/>
      <c r="AK60" s="1117"/>
      <c r="AL60" s="1117"/>
      <c r="AM60" s="1117"/>
      <c r="AN60" s="1117"/>
      <c r="AO60" s="1117"/>
      <c r="AP60" s="1117"/>
      <c r="AQ60" s="1117"/>
      <c r="AR60" s="1117"/>
      <c r="AS60" s="1117"/>
    </row>
    <row r="61" spans="1:45" s="1142" customFormat="1" ht="12" customHeight="1" x14ac:dyDescent="0.2">
      <c r="A61" s="1139" t="s">
        <v>800</v>
      </c>
      <c r="B61" s="1140" t="s">
        <v>801</v>
      </c>
      <c r="C61" s="1163">
        <f>SUM(E61:AS61)</f>
        <v>0</v>
      </c>
      <c r="D61" s="1148"/>
      <c r="E61" s="1117"/>
      <c r="F61" s="1117"/>
      <c r="G61" s="1117"/>
      <c r="H61" s="1117"/>
      <c r="I61" s="1117"/>
      <c r="J61" s="1117"/>
      <c r="K61" s="1117"/>
      <c r="L61" s="1117"/>
      <c r="M61" s="1117"/>
      <c r="N61" s="1117"/>
      <c r="O61" s="1117"/>
      <c r="P61" s="1117"/>
      <c r="Q61" s="1117"/>
      <c r="R61" s="1117"/>
      <c r="S61" s="1117"/>
      <c r="T61" s="1117"/>
      <c r="U61" s="1117"/>
      <c r="V61" s="1117"/>
      <c r="W61" s="1117"/>
      <c r="X61" s="1117"/>
      <c r="Y61" s="1117"/>
      <c r="Z61" s="1117"/>
      <c r="AA61" s="1117"/>
      <c r="AB61" s="1117"/>
      <c r="AC61" s="1117"/>
      <c r="AD61" s="1117"/>
      <c r="AE61" s="1117"/>
      <c r="AF61" s="1117"/>
      <c r="AG61" s="1117"/>
      <c r="AH61" s="1117"/>
      <c r="AI61" s="1117"/>
      <c r="AJ61" s="1117"/>
      <c r="AK61" s="1117"/>
      <c r="AL61" s="1117"/>
      <c r="AM61" s="1117"/>
      <c r="AN61" s="1117"/>
      <c r="AO61" s="1117"/>
      <c r="AP61" s="1117"/>
      <c r="AQ61" s="1117"/>
      <c r="AR61" s="1117"/>
      <c r="AS61" s="1117"/>
    </row>
    <row r="62" spans="1:45" s="1142" customFormat="1" ht="12" customHeight="1" x14ac:dyDescent="0.2">
      <c r="A62" s="1139" t="s">
        <v>802</v>
      </c>
      <c r="B62" s="1140" t="s">
        <v>803</v>
      </c>
      <c r="C62" s="1163">
        <f>SUM(E62:AS62)</f>
        <v>0</v>
      </c>
      <c r="D62" s="1148"/>
      <c r="E62" s="1117"/>
      <c r="F62" s="1117"/>
      <c r="G62" s="1117"/>
      <c r="H62" s="1117"/>
      <c r="I62" s="1117"/>
      <c r="J62" s="1117"/>
      <c r="K62" s="1117"/>
      <c r="L62" s="1117"/>
      <c r="M62" s="1117"/>
      <c r="N62" s="1117"/>
      <c r="O62" s="1117"/>
      <c r="P62" s="1117"/>
      <c r="Q62" s="1117"/>
      <c r="R62" s="1117"/>
      <c r="S62" s="1117"/>
      <c r="T62" s="1117"/>
      <c r="U62" s="1117"/>
      <c r="V62" s="1117"/>
      <c r="W62" s="1117"/>
      <c r="X62" s="1117"/>
      <c r="Y62" s="1117"/>
      <c r="Z62" s="1117"/>
      <c r="AA62" s="1117"/>
      <c r="AB62" s="1117"/>
      <c r="AC62" s="1117"/>
      <c r="AD62" s="1117"/>
      <c r="AE62" s="1117"/>
      <c r="AF62" s="1117"/>
      <c r="AG62" s="1117"/>
      <c r="AH62" s="1117"/>
      <c r="AI62" s="1117"/>
      <c r="AJ62" s="1117"/>
      <c r="AK62" s="1117"/>
      <c r="AL62" s="1117"/>
      <c r="AM62" s="1117"/>
      <c r="AN62" s="1117"/>
      <c r="AO62" s="1117"/>
      <c r="AP62" s="1117"/>
      <c r="AQ62" s="1117"/>
      <c r="AR62" s="1117"/>
      <c r="AS62" s="1117"/>
    </row>
    <row r="63" spans="1:45" s="1142" customFormat="1" ht="12" customHeight="1" thickBot="1" x14ac:dyDescent="0.25">
      <c r="A63" s="1143" t="s">
        <v>804</v>
      </c>
      <c r="B63" s="1144" t="s">
        <v>805</v>
      </c>
      <c r="C63" s="1163">
        <f>SUM(E63:AS63)</f>
        <v>0</v>
      </c>
      <c r="D63" s="1158"/>
      <c r="E63" s="1117"/>
      <c r="F63" s="1117"/>
      <c r="G63" s="1117"/>
      <c r="H63" s="1117"/>
      <c r="I63" s="1117"/>
      <c r="J63" s="1117"/>
      <c r="K63" s="1117"/>
      <c r="L63" s="1117"/>
      <c r="M63" s="1117"/>
      <c r="N63" s="1117"/>
      <c r="O63" s="1117"/>
      <c r="P63" s="1117"/>
      <c r="Q63" s="1117"/>
      <c r="R63" s="1117"/>
      <c r="S63" s="1117"/>
      <c r="T63" s="1117"/>
      <c r="U63" s="1117"/>
      <c r="V63" s="1117"/>
      <c r="W63" s="1117"/>
      <c r="X63" s="1117"/>
      <c r="Y63" s="1117"/>
      <c r="Z63" s="1117"/>
      <c r="AA63" s="1117"/>
      <c r="AB63" s="1117"/>
      <c r="AC63" s="1117"/>
      <c r="AD63" s="1117"/>
      <c r="AE63" s="1117"/>
      <c r="AF63" s="1117"/>
      <c r="AG63" s="1117"/>
      <c r="AH63" s="1117"/>
      <c r="AI63" s="1117"/>
      <c r="AJ63" s="1117"/>
      <c r="AK63" s="1117"/>
      <c r="AL63" s="1117"/>
      <c r="AM63" s="1117"/>
      <c r="AN63" s="1117"/>
      <c r="AO63" s="1117"/>
      <c r="AP63" s="1117"/>
      <c r="AQ63" s="1117"/>
      <c r="AR63" s="1117"/>
      <c r="AS63" s="1117"/>
    </row>
    <row r="64" spans="1:45" s="1142" customFormat="1" ht="12" customHeight="1" thickBot="1" x14ac:dyDescent="0.3">
      <c r="A64" s="1128" t="s">
        <v>806</v>
      </c>
      <c r="B64" s="1129" t="s">
        <v>807</v>
      </c>
      <c r="C64" s="1150">
        <f>+C8+C15+C22+C29+C37+C48+C54+C59</f>
        <v>215380580</v>
      </c>
      <c r="D64" s="1151">
        <f>+D8+D15+D22+D29+D37+D48+D54+D59</f>
        <v>0</v>
      </c>
      <c r="E64" s="1117"/>
      <c r="F64" s="1117"/>
      <c r="G64" s="1117"/>
      <c r="H64" s="1117"/>
      <c r="I64" s="1117"/>
      <c r="J64" s="1117"/>
      <c r="K64" s="1117"/>
      <c r="L64" s="1117"/>
      <c r="M64" s="1117"/>
      <c r="N64" s="1117"/>
      <c r="O64" s="1117"/>
      <c r="P64" s="1117"/>
      <c r="Q64" s="1117"/>
      <c r="R64" s="1117"/>
      <c r="S64" s="1117"/>
      <c r="T64" s="1117"/>
      <c r="U64" s="1117"/>
      <c r="V64" s="1117"/>
      <c r="W64" s="1117"/>
      <c r="X64" s="1117"/>
      <c r="Y64" s="1117"/>
      <c r="Z64" s="1117"/>
      <c r="AA64" s="1117"/>
      <c r="AB64" s="1117"/>
      <c r="AC64" s="1117"/>
      <c r="AD64" s="1117"/>
      <c r="AE64" s="1117"/>
      <c r="AF64" s="1117"/>
      <c r="AG64" s="1117"/>
      <c r="AH64" s="1117"/>
      <c r="AI64" s="1117"/>
      <c r="AJ64" s="1117"/>
      <c r="AK64" s="1117"/>
      <c r="AL64" s="1117"/>
      <c r="AM64" s="1117"/>
      <c r="AN64" s="1117"/>
      <c r="AO64" s="1117"/>
      <c r="AP64" s="1117"/>
      <c r="AQ64" s="1117"/>
      <c r="AR64" s="1117"/>
      <c r="AS64" s="1117"/>
    </row>
    <row r="65" spans="1:45" s="1142" customFormat="1" ht="12" customHeight="1" thickBot="1" x14ac:dyDescent="0.2">
      <c r="A65" s="1164" t="s">
        <v>808</v>
      </c>
      <c r="B65" s="1145" t="s">
        <v>809</v>
      </c>
      <c r="C65" s="1130">
        <f>SUM(C66:C68)</f>
        <v>0</v>
      </c>
      <c r="D65" s="1131">
        <f>SUM(D66:D68)</f>
        <v>0</v>
      </c>
      <c r="E65" s="1117"/>
      <c r="F65" s="1117"/>
      <c r="G65" s="1117"/>
      <c r="H65" s="1117"/>
      <c r="I65" s="1117"/>
      <c r="J65" s="1117"/>
      <c r="K65" s="1117"/>
      <c r="L65" s="1117"/>
      <c r="M65" s="1117"/>
      <c r="N65" s="1117"/>
      <c r="O65" s="1117"/>
      <c r="P65" s="1117"/>
      <c r="Q65" s="1117"/>
      <c r="R65" s="1117"/>
      <c r="S65" s="1117"/>
      <c r="T65" s="1117"/>
      <c r="U65" s="1117"/>
      <c r="V65" s="1117"/>
      <c r="W65" s="1117"/>
      <c r="X65" s="1117"/>
      <c r="Y65" s="1117"/>
      <c r="Z65" s="1117"/>
      <c r="AA65" s="1117"/>
      <c r="AB65" s="1117"/>
      <c r="AC65" s="1117"/>
      <c r="AD65" s="1117"/>
      <c r="AE65" s="1117"/>
      <c r="AF65" s="1117"/>
      <c r="AG65" s="1117"/>
      <c r="AH65" s="1117"/>
      <c r="AI65" s="1117"/>
      <c r="AJ65" s="1117"/>
      <c r="AK65" s="1117"/>
      <c r="AL65" s="1117"/>
      <c r="AM65" s="1117"/>
      <c r="AN65" s="1117"/>
      <c r="AO65" s="1117"/>
      <c r="AP65" s="1117"/>
      <c r="AQ65" s="1117"/>
      <c r="AR65" s="1117"/>
      <c r="AS65" s="1117"/>
    </row>
    <row r="66" spans="1:45" s="1142" customFormat="1" ht="12" customHeight="1" x14ac:dyDescent="0.2">
      <c r="A66" s="1133" t="s">
        <v>810</v>
      </c>
      <c r="B66" s="1134" t="s">
        <v>811</v>
      </c>
      <c r="C66" s="1163">
        <f>SUM(E66:AS66)</f>
        <v>0</v>
      </c>
      <c r="D66" s="1158"/>
      <c r="E66" s="1117"/>
      <c r="F66" s="1117"/>
      <c r="G66" s="1117"/>
      <c r="H66" s="1117"/>
      <c r="I66" s="1117"/>
      <c r="J66" s="1117"/>
      <c r="K66" s="1117"/>
      <c r="L66" s="1117"/>
      <c r="M66" s="1117"/>
      <c r="N66" s="1117"/>
      <c r="O66" s="1117"/>
      <c r="P66" s="1117"/>
      <c r="Q66" s="1117"/>
      <c r="R66" s="1117"/>
      <c r="S66" s="1117"/>
      <c r="T66" s="1117"/>
      <c r="U66" s="1117"/>
      <c r="V66" s="1117"/>
      <c r="W66" s="1117"/>
      <c r="X66" s="1117"/>
      <c r="Y66" s="1117"/>
      <c r="Z66" s="1117"/>
      <c r="AA66" s="1117"/>
      <c r="AB66" s="1117"/>
      <c r="AC66" s="1117"/>
      <c r="AD66" s="1117"/>
      <c r="AE66" s="1117"/>
      <c r="AF66" s="1117"/>
      <c r="AG66" s="1117"/>
      <c r="AH66" s="1117"/>
      <c r="AI66" s="1117"/>
      <c r="AJ66" s="1117"/>
      <c r="AK66" s="1117"/>
      <c r="AL66" s="1117"/>
      <c r="AM66" s="1117"/>
      <c r="AN66" s="1117"/>
      <c r="AO66" s="1117"/>
      <c r="AP66" s="1117"/>
      <c r="AQ66" s="1117"/>
      <c r="AR66" s="1117"/>
      <c r="AS66" s="1117"/>
    </row>
    <row r="67" spans="1:45" s="1142" customFormat="1" ht="12" customHeight="1" x14ac:dyDescent="0.2">
      <c r="A67" s="1139" t="s">
        <v>812</v>
      </c>
      <c r="B67" s="1140" t="s">
        <v>813</v>
      </c>
      <c r="C67" s="1163">
        <f>SUM(E67:AS67)</f>
        <v>0</v>
      </c>
      <c r="D67" s="1158"/>
      <c r="E67" s="1117"/>
      <c r="F67" s="1117"/>
      <c r="G67" s="1117"/>
      <c r="H67" s="1117"/>
      <c r="I67" s="1117"/>
      <c r="J67" s="1117"/>
      <c r="K67" s="1117"/>
      <c r="L67" s="1117"/>
      <c r="M67" s="1117"/>
      <c r="N67" s="1117"/>
      <c r="O67" s="1117"/>
      <c r="P67" s="1117"/>
      <c r="Q67" s="1117"/>
      <c r="R67" s="1117"/>
      <c r="S67" s="1117"/>
      <c r="T67" s="1117"/>
      <c r="U67" s="1117"/>
      <c r="V67" s="1117"/>
      <c r="W67" s="1117"/>
      <c r="X67" s="1117"/>
      <c r="Y67" s="1117"/>
      <c r="Z67" s="1117"/>
      <c r="AA67" s="1117"/>
      <c r="AB67" s="1117"/>
      <c r="AC67" s="1117"/>
      <c r="AD67" s="1117"/>
      <c r="AE67" s="1117"/>
      <c r="AF67" s="1117"/>
      <c r="AG67" s="1117"/>
      <c r="AH67" s="1117"/>
      <c r="AI67" s="1117"/>
      <c r="AJ67" s="1117"/>
      <c r="AK67" s="1117"/>
      <c r="AL67" s="1117"/>
      <c r="AM67" s="1117"/>
      <c r="AN67" s="1117"/>
      <c r="AO67" s="1117"/>
      <c r="AP67" s="1117"/>
      <c r="AQ67" s="1117"/>
      <c r="AR67" s="1117"/>
      <c r="AS67" s="1117"/>
    </row>
    <row r="68" spans="1:45" s="1142" customFormat="1" ht="12" customHeight="1" thickBot="1" x14ac:dyDescent="0.25">
      <c r="A68" s="1143" t="s">
        <v>814</v>
      </c>
      <c r="B68" s="1165" t="s">
        <v>815</v>
      </c>
      <c r="C68" s="1163">
        <f>SUM(E68:AS68)</f>
        <v>0</v>
      </c>
      <c r="D68" s="1158"/>
      <c r="E68" s="1117"/>
      <c r="F68" s="1117"/>
      <c r="G68" s="1117"/>
      <c r="H68" s="1117"/>
      <c r="I68" s="1117"/>
      <c r="J68" s="1117"/>
      <c r="K68" s="1117"/>
      <c r="L68" s="1117"/>
      <c r="M68" s="1117"/>
      <c r="N68" s="1117"/>
      <c r="O68" s="1117"/>
      <c r="P68" s="1117"/>
      <c r="Q68" s="1117"/>
      <c r="R68" s="1117"/>
      <c r="S68" s="1117"/>
      <c r="T68" s="1117"/>
      <c r="U68" s="1117"/>
      <c r="V68" s="1117"/>
      <c r="W68" s="1117"/>
      <c r="X68" s="1117"/>
      <c r="Y68" s="1117"/>
      <c r="Z68" s="1117"/>
      <c r="AA68" s="1117"/>
      <c r="AB68" s="1117"/>
      <c r="AC68" s="1117"/>
      <c r="AD68" s="1117"/>
      <c r="AE68" s="1117"/>
      <c r="AF68" s="1117"/>
      <c r="AG68" s="1117"/>
      <c r="AH68" s="1117"/>
      <c r="AI68" s="1117"/>
      <c r="AJ68" s="1117"/>
      <c r="AK68" s="1117"/>
      <c r="AL68" s="1117"/>
      <c r="AM68" s="1117"/>
      <c r="AN68" s="1117"/>
      <c r="AO68" s="1117"/>
      <c r="AP68" s="1117"/>
      <c r="AQ68" s="1117"/>
      <c r="AR68" s="1117"/>
      <c r="AS68" s="1117"/>
    </row>
    <row r="69" spans="1:45" s="1142" customFormat="1" ht="12" customHeight="1" thickBot="1" x14ac:dyDescent="0.2">
      <c r="A69" s="1164" t="s">
        <v>816</v>
      </c>
      <c r="B69" s="1145" t="s">
        <v>817</v>
      </c>
      <c r="C69" s="1130">
        <f>SUM(C70:C73)</f>
        <v>0</v>
      </c>
      <c r="D69" s="1131">
        <f>SUM(D70:D73)</f>
        <v>0</v>
      </c>
      <c r="E69" s="1117"/>
      <c r="F69" s="1117"/>
      <c r="G69" s="1117"/>
      <c r="H69" s="1117"/>
      <c r="I69" s="1117"/>
      <c r="J69" s="1117"/>
      <c r="K69" s="1117"/>
      <c r="L69" s="1117"/>
      <c r="M69" s="1117"/>
      <c r="N69" s="1117"/>
      <c r="O69" s="1117"/>
      <c r="P69" s="1117"/>
      <c r="Q69" s="1117"/>
      <c r="R69" s="1117"/>
      <c r="S69" s="1117"/>
      <c r="T69" s="1117"/>
      <c r="U69" s="1117"/>
      <c r="V69" s="1117"/>
      <c r="W69" s="1117"/>
      <c r="X69" s="1117"/>
      <c r="Y69" s="1117"/>
      <c r="Z69" s="1117"/>
      <c r="AA69" s="1117"/>
      <c r="AB69" s="1117"/>
      <c r="AC69" s="1117"/>
      <c r="AD69" s="1117"/>
      <c r="AE69" s="1117"/>
      <c r="AF69" s="1117"/>
      <c r="AG69" s="1117"/>
      <c r="AH69" s="1117"/>
      <c r="AI69" s="1117"/>
      <c r="AJ69" s="1117"/>
      <c r="AK69" s="1117"/>
      <c r="AL69" s="1117"/>
      <c r="AM69" s="1117"/>
      <c r="AN69" s="1117"/>
      <c r="AO69" s="1117"/>
      <c r="AP69" s="1117"/>
      <c r="AQ69" s="1117"/>
      <c r="AR69" s="1117"/>
      <c r="AS69" s="1117"/>
    </row>
    <row r="70" spans="1:45" s="1142" customFormat="1" ht="12" customHeight="1" x14ac:dyDescent="0.2">
      <c r="A70" s="1133" t="s">
        <v>818</v>
      </c>
      <c r="B70" s="1134" t="s">
        <v>819</v>
      </c>
      <c r="C70" s="1163">
        <f>SUM(E70:AS70)</f>
        <v>0</v>
      </c>
      <c r="D70" s="1158"/>
      <c r="E70" s="1117"/>
      <c r="F70" s="1117"/>
      <c r="G70" s="1117"/>
      <c r="H70" s="1117"/>
      <c r="I70" s="1117"/>
      <c r="J70" s="1117"/>
      <c r="K70" s="1117"/>
      <c r="L70" s="1117"/>
      <c r="M70" s="1117"/>
      <c r="N70" s="1117"/>
      <c r="O70" s="1117"/>
      <c r="P70" s="1117"/>
      <c r="Q70" s="1117"/>
      <c r="R70" s="1117"/>
      <c r="S70" s="1117"/>
      <c r="T70" s="1117"/>
      <c r="U70" s="1117"/>
      <c r="V70" s="1117"/>
      <c r="W70" s="1117"/>
      <c r="X70" s="1117"/>
      <c r="Y70" s="1117"/>
      <c r="Z70" s="1117"/>
      <c r="AA70" s="1117"/>
      <c r="AB70" s="1117"/>
      <c r="AC70" s="1117"/>
      <c r="AD70" s="1117"/>
      <c r="AE70" s="1117"/>
      <c r="AF70" s="1117"/>
      <c r="AG70" s="1117"/>
      <c r="AH70" s="1117"/>
      <c r="AI70" s="1117"/>
      <c r="AJ70" s="1117"/>
      <c r="AK70" s="1117"/>
      <c r="AL70" s="1117"/>
      <c r="AM70" s="1117"/>
      <c r="AN70" s="1117"/>
      <c r="AO70" s="1117"/>
      <c r="AP70" s="1117"/>
      <c r="AQ70" s="1117"/>
      <c r="AR70" s="1117"/>
      <c r="AS70" s="1117"/>
    </row>
    <row r="71" spans="1:45" s="1142" customFormat="1" ht="12" customHeight="1" x14ac:dyDescent="0.2">
      <c r="A71" s="1139" t="s">
        <v>820</v>
      </c>
      <c r="B71" s="1140" t="s">
        <v>821</v>
      </c>
      <c r="C71" s="1163">
        <f>SUM(E71:AS71)</f>
        <v>0</v>
      </c>
      <c r="D71" s="1158"/>
      <c r="E71" s="1117"/>
      <c r="F71" s="1117"/>
      <c r="G71" s="1117"/>
      <c r="H71" s="1117"/>
      <c r="I71" s="1117"/>
      <c r="J71" s="1117"/>
      <c r="K71" s="1117"/>
      <c r="L71" s="1117"/>
      <c r="M71" s="1117"/>
      <c r="N71" s="1117"/>
      <c r="O71" s="1117"/>
      <c r="P71" s="1117"/>
      <c r="Q71" s="1117"/>
      <c r="R71" s="1117"/>
      <c r="S71" s="1117"/>
      <c r="T71" s="1117"/>
      <c r="U71" s="1117"/>
      <c r="V71" s="1117"/>
      <c r="W71" s="1117"/>
      <c r="X71" s="1117"/>
      <c r="Y71" s="1117"/>
      <c r="Z71" s="1117"/>
      <c r="AA71" s="1117"/>
      <c r="AB71" s="1117"/>
      <c r="AC71" s="1117"/>
      <c r="AD71" s="1117"/>
      <c r="AE71" s="1117"/>
      <c r="AF71" s="1117"/>
      <c r="AG71" s="1117"/>
      <c r="AH71" s="1117"/>
      <c r="AI71" s="1117"/>
      <c r="AJ71" s="1117"/>
      <c r="AK71" s="1117"/>
      <c r="AL71" s="1117"/>
      <c r="AM71" s="1117"/>
      <c r="AN71" s="1117"/>
      <c r="AO71" s="1117"/>
      <c r="AP71" s="1117"/>
      <c r="AQ71" s="1117"/>
      <c r="AR71" s="1117"/>
      <c r="AS71" s="1117"/>
    </row>
    <row r="72" spans="1:45" s="1142" customFormat="1" ht="12" customHeight="1" x14ac:dyDescent="0.2">
      <c r="A72" s="1139" t="s">
        <v>822</v>
      </c>
      <c r="B72" s="1140" t="s">
        <v>823</v>
      </c>
      <c r="C72" s="1163">
        <f>SUM(E72:AS72)</f>
        <v>0</v>
      </c>
      <c r="D72" s="1158"/>
      <c r="E72" s="1117"/>
      <c r="F72" s="1117"/>
      <c r="G72" s="1117"/>
      <c r="H72" s="1117"/>
      <c r="I72" s="1117"/>
      <c r="J72" s="1117"/>
      <c r="K72" s="1117"/>
      <c r="L72" s="1117"/>
      <c r="M72" s="1117"/>
      <c r="N72" s="1117"/>
      <c r="O72" s="1117"/>
      <c r="P72" s="1117"/>
      <c r="Q72" s="1117"/>
      <c r="R72" s="1117"/>
      <c r="S72" s="1117"/>
      <c r="T72" s="1117"/>
      <c r="U72" s="1117"/>
      <c r="V72" s="1117"/>
      <c r="W72" s="1117"/>
      <c r="X72" s="1117"/>
      <c r="Y72" s="1117"/>
      <c r="Z72" s="1117"/>
      <c r="AA72" s="1117"/>
      <c r="AB72" s="1117"/>
      <c r="AC72" s="1117"/>
      <c r="AD72" s="1117"/>
      <c r="AE72" s="1117"/>
      <c r="AF72" s="1117"/>
      <c r="AG72" s="1117"/>
      <c r="AH72" s="1117"/>
      <c r="AI72" s="1117"/>
      <c r="AJ72" s="1117"/>
      <c r="AK72" s="1117"/>
      <c r="AL72" s="1117"/>
      <c r="AM72" s="1117"/>
      <c r="AN72" s="1117"/>
      <c r="AO72" s="1117"/>
      <c r="AP72" s="1117"/>
      <c r="AQ72" s="1117"/>
      <c r="AR72" s="1117"/>
      <c r="AS72" s="1117"/>
    </row>
    <row r="73" spans="1:45" s="1142" customFormat="1" ht="12" customHeight="1" thickBot="1" x14ac:dyDescent="0.25">
      <c r="A73" s="1166" t="s">
        <v>824</v>
      </c>
      <c r="B73" s="1167" t="s">
        <v>825</v>
      </c>
      <c r="C73" s="1163">
        <f>SUM(E73:AS73)</f>
        <v>0</v>
      </c>
      <c r="D73" s="1168"/>
      <c r="E73" s="1117"/>
      <c r="F73" s="1117"/>
      <c r="G73" s="1117"/>
      <c r="H73" s="1117"/>
      <c r="I73" s="1117"/>
      <c r="J73" s="1117"/>
      <c r="K73" s="1117"/>
      <c r="L73" s="1117"/>
      <c r="M73" s="1117"/>
      <c r="N73" s="1117"/>
      <c r="O73" s="1117"/>
      <c r="P73" s="1117"/>
      <c r="Q73" s="1117"/>
      <c r="R73" s="1117"/>
      <c r="S73" s="1117"/>
      <c r="T73" s="1117"/>
      <c r="U73" s="1117"/>
      <c r="V73" s="1117"/>
      <c r="W73" s="1117"/>
      <c r="X73" s="1117"/>
      <c r="Y73" s="1117"/>
      <c r="Z73" s="1117"/>
      <c r="AA73" s="1117"/>
      <c r="AB73" s="1117"/>
      <c r="AC73" s="1117"/>
      <c r="AD73" s="1117"/>
      <c r="AE73" s="1117"/>
      <c r="AF73" s="1117"/>
      <c r="AG73" s="1117"/>
      <c r="AH73" s="1117"/>
      <c r="AI73" s="1117"/>
      <c r="AJ73" s="1117"/>
      <c r="AK73" s="1117"/>
      <c r="AL73" s="1117"/>
      <c r="AM73" s="1117"/>
      <c r="AN73" s="1117"/>
      <c r="AO73" s="1117"/>
      <c r="AP73" s="1117"/>
      <c r="AQ73" s="1117"/>
      <c r="AR73" s="1117"/>
      <c r="AS73" s="1117"/>
    </row>
    <row r="74" spans="1:45" s="1142" customFormat="1" ht="12" customHeight="1" thickBot="1" x14ac:dyDescent="0.2">
      <c r="A74" s="1164" t="s">
        <v>826</v>
      </c>
      <c r="B74" s="1145" t="s">
        <v>827</v>
      </c>
      <c r="C74" s="1130">
        <f>SUM(C75:C76)</f>
        <v>97354513</v>
      </c>
      <c r="D74" s="1131">
        <f>SUM(D75:D76)</f>
        <v>0</v>
      </c>
      <c r="E74" s="1117"/>
      <c r="F74" s="1117"/>
      <c r="G74" s="1117"/>
      <c r="H74" s="1117"/>
      <c r="I74" s="1117"/>
      <c r="J74" s="1117"/>
      <c r="K74" s="1117"/>
      <c r="L74" s="1117"/>
      <c r="M74" s="1117"/>
      <c r="N74" s="1117"/>
      <c r="O74" s="1117"/>
      <c r="P74" s="1117"/>
      <c r="Q74" s="1117"/>
      <c r="R74" s="1117"/>
      <c r="S74" s="1117"/>
      <c r="T74" s="1117"/>
      <c r="U74" s="1117"/>
      <c r="V74" s="1117"/>
      <c r="W74" s="1117"/>
      <c r="X74" s="1117"/>
      <c r="Y74" s="1117"/>
      <c r="Z74" s="1117"/>
      <c r="AA74" s="1117"/>
      <c r="AB74" s="1117"/>
      <c r="AC74" s="1117"/>
      <c r="AD74" s="1117"/>
      <c r="AE74" s="1117"/>
      <c r="AF74" s="1117"/>
      <c r="AG74" s="1117"/>
      <c r="AH74" s="1117"/>
      <c r="AI74" s="1117"/>
      <c r="AJ74" s="1117"/>
      <c r="AK74" s="1117"/>
      <c r="AL74" s="1117"/>
      <c r="AM74" s="1117"/>
      <c r="AN74" s="1117"/>
      <c r="AO74" s="1117"/>
      <c r="AP74" s="1117"/>
      <c r="AQ74" s="1117"/>
      <c r="AR74" s="1117"/>
      <c r="AS74" s="1117"/>
    </row>
    <row r="75" spans="1:45" s="1142" customFormat="1" ht="12" customHeight="1" x14ac:dyDescent="0.2">
      <c r="A75" s="1133" t="s">
        <v>828</v>
      </c>
      <c r="B75" s="1134" t="s">
        <v>829</v>
      </c>
      <c r="C75" s="1163">
        <f>SUM(E75:AS75)</f>
        <v>97354513</v>
      </c>
      <c r="D75" s="1158"/>
      <c r="E75" s="1117"/>
      <c r="F75" s="1117"/>
      <c r="G75" s="1117"/>
      <c r="H75" s="1117"/>
      <c r="I75" s="1117"/>
      <c r="J75" s="1117"/>
      <c r="K75" s="1117"/>
      <c r="L75" s="1117">
        <v>97354513</v>
      </c>
      <c r="M75" s="1117"/>
      <c r="N75" s="1117"/>
      <c r="O75" s="1117"/>
      <c r="P75" s="1117"/>
      <c r="Q75" s="1117"/>
      <c r="R75" s="1117"/>
      <c r="S75" s="1117"/>
      <c r="T75" s="1117"/>
      <c r="U75" s="1117"/>
      <c r="V75" s="1117"/>
      <c r="W75" s="1117"/>
      <c r="X75" s="1117"/>
      <c r="Y75" s="1117"/>
      <c r="Z75" s="1117"/>
      <c r="AA75" s="1117"/>
      <c r="AB75" s="1117"/>
      <c r="AC75" s="1117"/>
      <c r="AD75" s="1117"/>
      <c r="AE75" s="1117"/>
      <c r="AF75" s="1117"/>
      <c r="AG75" s="1117"/>
      <c r="AH75" s="1117"/>
      <c r="AI75" s="1117"/>
      <c r="AJ75" s="1117"/>
      <c r="AK75" s="1117"/>
      <c r="AL75" s="1117"/>
      <c r="AM75" s="1117"/>
      <c r="AN75" s="1117"/>
      <c r="AO75" s="1117"/>
      <c r="AP75" s="1117"/>
      <c r="AQ75" s="1117"/>
      <c r="AR75" s="1117"/>
      <c r="AS75" s="1117"/>
    </row>
    <row r="76" spans="1:45" s="1142" customFormat="1" ht="12" customHeight="1" thickBot="1" x14ac:dyDescent="0.25">
      <c r="A76" s="1143" t="s">
        <v>830</v>
      </c>
      <c r="B76" s="1144" t="s">
        <v>831</v>
      </c>
      <c r="C76" s="1163">
        <f>SUM(E76:AS76)</f>
        <v>0</v>
      </c>
      <c r="D76" s="1158"/>
      <c r="E76" s="1117"/>
      <c r="F76" s="1117"/>
      <c r="G76" s="1117"/>
      <c r="H76" s="1117"/>
      <c r="I76" s="1117"/>
      <c r="J76" s="1117"/>
      <c r="K76" s="1117"/>
      <c r="L76" s="1117"/>
      <c r="M76" s="1117"/>
      <c r="N76" s="1117"/>
      <c r="O76" s="1117"/>
      <c r="P76" s="1117"/>
      <c r="Q76" s="1117"/>
      <c r="R76" s="1117"/>
      <c r="S76" s="1117"/>
      <c r="T76" s="1117"/>
      <c r="U76" s="1117"/>
      <c r="V76" s="1117"/>
      <c r="W76" s="1117"/>
      <c r="X76" s="1117"/>
      <c r="Y76" s="1117"/>
      <c r="Z76" s="1117"/>
      <c r="AA76" s="1117"/>
      <c r="AB76" s="1117"/>
      <c r="AC76" s="1117"/>
      <c r="AD76" s="1117"/>
      <c r="AE76" s="1117"/>
      <c r="AF76" s="1117"/>
      <c r="AG76" s="1117"/>
      <c r="AH76" s="1117"/>
      <c r="AI76" s="1117"/>
      <c r="AJ76" s="1117"/>
      <c r="AK76" s="1117"/>
      <c r="AL76" s="1117"/>
      <c r="AM76" s="1117"/>
      <c r="AN76" s="1117"/>
      <c r="AO76" s="1117"/>
      <c r="AP76" s="1117"/>
      <c r="AQ76" s="1117"/>
      <c r="AR76" s="1117"/>
      <c r="AS76" s="1117"/>
    </row>
    <row r="77" spans="1:45" s="1138" customFormat="1" ht="12" customHeight="1" thickBot="1" x14ac:dyDescent="0.2">
      <c r="A77" s="1164" t="s">
        <v>832</v>
      </c>
      <c r="B77" s="1145" t="s">
        <v>833</v>
      </c>
      <c r="C77" s="1130">
        <f>SUM(C78:C80)</f>
        <v>0</v>
      </c>
      <c r="D77" s="1131">
        <f>SUM(D78:D80)</f>
        <v>0</v>
      </c>
      <c r="E77" s="1117"/>
      <c r="F77" s="1117"/>
      <c r="G77" s="1117"/>
      <c r="H77" s="1117"/>
      <c r="I77" s="1117"/>
      <c r="J77" s="1117"/>
      <c r="K77" s="1117"/>
      <c r="L77" s="1117"/>
      <c r="M77" s="1117"/>
      <c r="N77" s="1117"/>
      <c r="O77" s="1117"/>
      <c r="P77" s="1117"/>
      <c r="Q77" s="1117"/>
      <c r="R77" s="1117"/>
      <c r="S77" s="1117"/>
      <c r="T77" s="1117"/>
      <c r="U77" s="1117"/>
      <c r="V77" s="1117"/>
      <c r="W77" s="1117"/>
      <c r="X77" s="1117"/>
      <c r="Y77" s="1117"/>
      <c r="Z77" s="1137"/>
      <c r="AA77" s="1137"/>
      <c r="AB77" s="1137"/>
      <c r="AC77" s="1137"/>
      <c r="AD77" s="1137"/>
      <c r="AE77" s="1137"/>
      <c r="AF77" s="1137"/>
      <c r="AG77" s="1137"/>
      <c r="AH77" s="1137"/>
      <c r="AI77" s="1137"/>
      <c r="AJ77" s="1137"/>
      <c r="AK77" s="1137"/>
      <c r="AL77" s="1137"/>
      <c r="AM77" s="1137"/>
      <c r="AN77" s="1137"/>
      <c r="AO77" s="1137"/>
      <c r="AP77" s="1137"/>
      <c r="AQ77" s="1137"/>
      <c r="AR77" s="1137"/>
      <c r="AS77" s="1137"/>
    </row>
    <row r="78" spans="1:45" s="1142" customFormat="1" ht="12" customHeight="1" x14ac:dyDescent="0.2">
      <c r="A78" s="1133" t="s">
        <v>834</v>
      </c>
      <c r="B78" s="1134" t="s">
        <v>835</v>
      </c>
      <c r="C78" s="1163">
        <f>SUM(E78:AS78)</f>
        <v>0</v>
      </c>
      <c r="D78" s="1158"/>
      <c r="E78" s="1117"/>
      <c r="F78" s="1117"/>
      <c r="G78" s="1117"/>
      <c r="H78" s="1117"/>
      <c r="I78" s="1117"/>
      <c r="J78" s="1117"/>
      <c r="K78" s="1117"/>
      <c r="L78" s="1117"/>
      <c r="M78" s="1117"/>
      <c r="N78" s="1117"/>
      <c r="O78" s="1117"/>
      <c r="P78" s="1117"/>
      <c r="Q78" s="1117"/>
      <c r="R78" s="1117"/>
      <c r="S78" s="1117"/>
      <c r="T78" s="1117"/>
      <c r="U78" s="1117"/>
      <c r="V78" s="1117"/>
      <c r="W78" s="1117"/>
      <c r="X78" s="1117"/>
      <c r="Y78" s="1117"/>
      <c r="Z78" s="1117"/>
      <c r="AA78" s="1117"/>
      <c r="AB78" s="1117"/>
      <c r="AC78" s="1117"/>
      <c r="AD78" s="1117"/>
      <c r="AE78" s="1117"/>
      <c r="AF78" s="1117"/>
      <c r="AG78" s="1117"/>
      <c r="AH78" s="1117"/>
      <c r="AI78" s="1117"/>
      <c r="AJ78" s="1117"/>
      <c r="AK78" s="1117"/>
      <c r="AL78" s="1117"/>
      <c r="AM78" s="1117"/>
      <c r="AN78" s="1117"/>
      <c r="AO78" s="1117"/>
      <c r="AP78" s="1117"/>
      <c r="AQ78" s="1117"/>
      <c r="AR78" s="1117"/>
      <c r="AS78" s="1117"/>
    </row>
    <row r="79" spans="1:45" s="1142" customFormat="1" ht="12" customHeight="1" x14ac:dyDescent="0.2">
      <c r="A79" s="1139" t="s">
        <v>836</v>
      </c>
      <c r="B79" s="1140" t="s">
        <v>837</v>
      </c>
      <c r="C79" s="1163">
        <f>SUM(E79:AS79)</f>
        <v>0</v>
      </c>
      <c r="D79" s="1158"/>
      <c r="E79" s="1117"/>
      <c r="F79" s="1117"/>
      <c r="G79" s="1117"/>
      <c r="H79" s="1117"/>
      <c r="I79" s="1117"/>
      <c r="J79" s="1117"/>
      <c r="K79" s="1117"/>
      <c r="L79" s="1117"/>
      <c r="M79" s="1117"/>
      <c r="N79" s="1117"/>
      <c r="O79" s="1117"/>
      <c r="P79" s="1117"/>
      <c r="Q79" s="1117"/>
      <c r="R79" s="1117"/>
      <c r="S79" s="1117"/>
      <c r="T79" s="1117"/>
      <c r="U79" s="1117"/>
      <c r="V79" s="1117"/>
      <c r="W79" s="1117"/>
      <c r="X79" s="1117"/>
      <c r="Y79" s="1117"/>
      <c r="Z79" s="1117"/>
      <c r="AA79" s="1117"/>
      <c r="AB79" s="1117"/>
      <c r="AC79" s="1117"/>
      <c r="AD79" s="1117"/>
      <c r="AE79" s="1117"/>
      <c r="AF79" s="1117"/>
      <c r="AG79" s="1117"/>
      <c r="AH79" s="1117"/>
      <c r="AI79" s="1117"/>
      <c r="AJ79" s="1117"/>
      <c r="AK79" s="1117"/>
      <c r="AL79" s="1117"/>
      <c r="AM79" s="1117"/>
      <c r="AN79" s="1117"/>
      <c r="AO79" s="1117"/>
      <c r="AP79" s="1117"/>
      <c r="AQ79" s="1117"/>
      <c r="AR79" s="1117"/>
      <c r="AS79" s="1117"/>
    </row>
    <row r="80" spans="1:45" s="1142" customFormat="1" ht="12" customHeight="1" thickBot="1" x14ac:dyDescent="0.25">
      <c r="A80" s="1143" t="s">
        <v>838</v>
      </c>
      <c r="B80" s="1144" t="s">
        <v>839</v>
      </c>
      <c r="C80" s="1163">
        <f>SUM(E80:AS80)</f>
        <v>0</v>
      </c>
      <c r="D80" s="1158"/>
      <c r="E80" s="1117"/>
      <c r="F80" s="1117"/>
      <c r="G80" s="1117"/>
      <c r="H80" s="1117"/>
      <c r="I80" s="1117"/>
      <c r="J80" s="1117"/>
      <c r="K80" s="1117"/>
      <c r="L80" s="1117"/>
      <c r="M80" s="1117"/>
      <c r="N80" s="1117"/>
      <c r="O80" s="1117"/>
      <c r="P80" s="1117"/>
      <c r="Q80" s="1117"/>
      <c r="R80" s="1117"/>
      <c r="S80" s="1117"/>
      <c r="T80" s="1117"/>
      <c r="U80" s="1117"/>
      <c r="V80" s="1117"/>
      <c r="W80" s="1117"/>
      <c r="X80" s="1117"/>
      <c r="Y80" s="1117"/>
      <c r="Z80" s="1117"/>
      <c r="AA80" s="1117"/>
      <c r="AB80" s="1117"/>
      <c r="AC80" s="1117"/>
      <c r="AD80" s="1117"/>
      <c r="AE80" s="1117"/>
      <c r="AF80" s="1117"/>
      <c r="AG80" s="1117"/>
      <c r="AH80" s="1117"/>
      <c r="AI80" s="1117"/>
      <c r="AJ80" s="1117"/>
      <c r="AK80" s="1117"/>
      <c r="AL80" s="1117"/>
      <c r="AM80" s="1117"/>
      <c r="AN80" s="1117"/>
      <c r="AO80" s="1117"/>
      <c r="AP80" s="1117"/>
      <c r="AQ80" s="1117"/>
      <c r="AR80" s="1117"/>
      <c r="AS80" s="1117"/>
    </row>
    <row r="81" spans="1:53" s="1142" customFormat="1" ht="12" customHeight="1" thickBot="1" x14ac:dyDescent="0.2">
      <c r="A81" s="1164" t="s">
        <v>840</v>
      </c>
      <c r="B81" s="1145" t="s">
        <v>841</v>
      </c>
      <c r="C81" s="1130">
        <f>SUM(C82:C85)</f>
        <v>0</v>
      </c>
      <c r="D81" s="1131">
        <f>SUM(D82:D85)</f>
        <v>0</v>
      </c>
      <c r="E81" s="1117"/>
      <c r="F81" s="1117"/>
      <c r="G81" s="1117"/>
      <c r="H81" s="1117"/>
      <c r="I81" s="1117"/>
      <c r="J81" s="1117"/>
      <c r="K81" s="1117"/>
      <c r="L81" s="1117"/>
      <c r="M81" s="1117"/>
      <c r="N81" s="1117"/>
      <c r="O81" s="1117"/>
      <c r="P81" s="1117"/>
      <c r="Q81" s="1117"/>
      <c r="R81" s="1117"/>
      <c r="S81" s="1117"/>
      <c r="T81" s="1117"/>
      <c r="U81" s="1117"/>
      <c r="V81" s="1117"/>
      <c r="W81" s="1117"/>
      <c r="X81" s="1117"/>
      <c r="Y81" s="1117"/>
      <c r="Z81" s="1117"/>
      <c r="AA81" s="1117"/>
      <c r="AB81" s="1117"/>
      <c r="AC81" s="1117"/>
      <c r="AD81" s="1117"/>
      <c r="AE81" s="1117"/>
      <c r="AF81" s="1117"/>
      <c r="AG81" s="1117"/>
      <c r="AH81" s="1117"/>
      <c r="AI81" s="1117"/>
      <c r="AJ81" s="1117"/>
      <c r="AK81" s="1117"/>
      <c r="AL81" s="1117"/>
      <c r="AM81" s="1117"/>
      <c r="AN81" s="1117"/>
      <c r="AO81" s="1117"/>
      <c r="AP81" s="1117"/>
      <c r="AQ81" s="1117"/>
      <c r="AR81" s="1117"/>
      <c r="AS81" s="1117"/>
    </row>
    <row r="82" spans="1:53" s="1142" customFormat="1" ht="12" customHeight="1" x14ac:dyDescent="0.2">
      <c r="A82" s="1169" t="s">
        <v>842</v>
      </c>
      <c r="B82" s="1134" t="s">
        <v>843</v>
      </c>
      <c r="C82" s="1163">
        <f>SUM(E82:AS82)</f>
        <v>0</v>
      </c>
      <c r="D82" s="1158"/>
      <c r="E82" s="1117"/>
      <c r="F82" s="1117"/>
      <c r="G82" s="1117"/>
      <c r="H82" s="1117"/>
      <c r="I82" s="1117"/>
      <c r="J82" s="1117"/>
      <c r="K82" s="1117"/>
      <c r="L82" s="1117"/>
      <c r="M82" s="1117"/>
      <c r="N82" s="1117"/>
      <c r="O82" s="1117"/>
      <c r="P82" s="1117"/>
      <c r="Q82" s="1117"/>
      <c r="R82" s="1117"/>
      <c r="S82" s="1117"/>
      <c r="T82" s="1117"/>
      <c r="U82" s="1117"/>
      <c r="V82" s="1117"/>
      <c r="W82" s="1117"/>
      <c r="X82" s="1117"/>
      <c r="Y82" s="1117"/>
      <c r="Z82" s="1117"/>
      <c r="AA82" s="1117"/>
      <c r="AB82" s="1117"/>
      <c r="AC82" s="1117"/>
      <c r="AD82" s="1117"/>
      <c r="AE82" s="1117"/>
      <c r="AF82" s="1117"/>
      <c r="AG82" s="1117"/>
      <c r="AH82" s="1117"/>
      <c r="AI82" s="1117"/>
      <c r="AJ82" s="1117"/>
      <c r="AK82" s="1117"/>
      <c r="AL82" s="1117"/>
      <c r="AM82" s="1117"/>
      <c r="AN82" s="1117"/>
      <c r="AO82" s="1117"/>
      <c r="AP82" s="1117"/>
      <c r="AQ82" s="1117"/>
      <c r="AR82" s="1117"/>
      <c r="AS82" s="1117"/>
    </row>
    <row r="83" spans="1:53" s="1142" customFormat="1" ht="12" customHeight="1" x14ac:dyDescent="0.2">
      <c r="A83" s="1170" t="s">
        <v>844</v>
      </c>
      <c r="B83" s="1140" t="s">
        <v>845</v>
      </c>
      <c r="C83" s="1163">
        <f>SUM(E83:AS83)</f>
        <v>0</v>
      </c>
      <c r="D83" s="1158"/>
      <c r="E83" s="1117"/>
      <c r="F83" s="1117"/>
      <c r="G83" s="1117"/>
      <c r="H83" s="1117"/>
      <c r="I83" s="1117"/>
      <c r="J83" s="1117"/>
      <c r="K83" s="1117"/>
      <c r="L83" s="1117"/>
      <c r="M83" s="1117"/>
      <c r="N83" s="1117"/>
      <c r="O83" s="1117"/>
      <c r="P83" s="1117"/>
      <c r="Q83" s="1117"/>
      <c r="R83" s="1117"/>
      <c r="S83" s="1117"/>
      <c r="T83" s="1117"/>
      <c r="U83" s="1117"/>
      <c r="V83" s="1117"/>
      <c r="W83" s="1117"/>
      <c r="X83" s="1117"/>
      <c r="Y83" s="1117"/>
      <c r="Z83" s="1117"/>
      <c r="AA83" s="1117"/>
      <c r="AB83" s="1117"/>
      <c r="AC83" s="1117"/>
      <c r="AD83" s="1117"/>
      <c r="AE83" s="1117"/>
      <c r="AF83" s="1117"/>
      <c r="AG83" s="1117"/>
      <c r="AH83" s="1117"/>
      <c r="AI83" s="1117"/>
      <c r="AJ83" s="1117"/>
      <c r="AK83" s="1117"/>
      <c r="AL83" s="1117"/>
      <c r="AM83" s="1117"/>
      <c r="AN83" s="1117"/>
      <c r="AO83" s="1117"/>
      <c r="AP83" s="1117"/>
      <c r="AQ83" s="1117"/>
      <c r="AR83" s="1117"/>
      <c r="AS83" s="1117"/>
    </row>
    <row r="84" spans="1:53" s="1142" customFormat="1" ht="12" customHeight="1" x14ac:dyDescent="0.2">
      <c r="A84" s="1170" t="s">
        <v>846</v>
      </c>
      <c r="B84" s="1140" t="s">
        <v>847</v>
      </c>
      <c r="C84" s="1163">
        <f>SUM(E84:AS84)</f>
        <v>0</v>
      </c>
      <c r="D84" s="1158"/>
      <c r="E84" s="1117"/>
      <c r="F84" s="1117"/>
      <c r="G84" s="1117"/>
      <c r="H84" s="1117"/>
      <c r="I84" s="1117"/>
      <c r="J84" s="1117"/>
      <c r="K84" s="1117"/>
      <c r="L84" s="1117"/>
      <c r="M84" s="1117"/>
      <c r="N84" s="1117"/>
      <c r="O84" s="1117"/>
      <c r="P84" s="1117"/>
      <c r="Q84" s="1117"/>
      <c r="R84" s="1117"/>
      <c r="S84" s="1117"/>
      <c r="T84" s="1117"/>
      <c r="U84" s="1117"/>
      <c r="V84" s="1117"/>
      <c r="W84" s="1117"/>
      <c r="X84" s="1117"/>
      <c r="Y84" s="1117"/>
      <c r="Z84" s="1117"/>
      <c r="AA84" s="1117"/>
      <c r="AB84" s="1117"/>
      <c r="AC84" s="1117"/>
      <c r="AD84" s="1117"/>
      <c r="AE84" s="1117"/>
      <c r="AF84" s="1117"/>
      <c r="AG84" s="1117"/>
      <c r="AH84" s="1117"/>
      <c r="AI84" s="1117"/>
      <c r="AJ84" s="1117"/>
      <c r="AK84" s="1117"/>
      <c r="AL84" s="1117"/>
      <c r="AM84" s="1117"/>
      <c r="AN84" s="1117"/>
      <c r="AO84" s="1117"/>
      <c r="AP84" s="1117"/>
      <c r="AQ84" s="1117"/>
      <c r="AR84" s="1117"/>
      <c r="AS84" s="1117"/>
    </row>
    <row r="85" spans="1:53" s="1138" customFormat="1" ht="12" customHeight="1" thickBot="1" x14ac:dyDescent="0.25">
      <c r="A85" s="1171" t="s">
        <v>848</v>
      </c>
      <c r="B85" s="1144" t="s">
        <v>849</v>
      </c>
      <c r="C85" s="1163">
        <f>SUM(E85:AS85)</f>
        <v>0</v>
      </c>
      <c r="D85" s="1158"/>
      <c r="E85" s="1117"/>
      <c r="F85" s="1117"/>
      <c r="G85" s="1117"/>
      <c r="H85" s="1117"/>
      <c r="I85" s="1117"/>
      <c r="J85" s="1117"/>
      <c r="K85" s="1117"/>
      <c r="L85" s="1117"/>
      <c r="M85" s="1117"/>
      <c r="N85" s="1117"/>
      <c r="O85" s="1117"/>
      <c r="P85" s="1117"/>
      <c r="Q85" s="1117"/>
      <c r="R85" s="1117"/>
      <c r="S85" s="1117"/>
      <c r="T85" s="1117"/>
      <c r="U85" s="1117"/>
      <c r="V85" s="1117"/>
      <c r="W85" s="1117"/>
      <c r="X85" s="1117"/>
      <c r="Y85" s="1117"/>
      <c r="Z85" s="1137"/>
      <c r="AA85" s="1137"/>
      <c r="AB85" s="1137"/>
      <c r="AC85" s="1137"/>
      <c r="AD85" s="1137"/>
      <c r="AE85" s="1137"/>
      <c r="AF85" s="1137"/>
      <c r="AG85" s="1137"/>
      <c r="AH85" s="1137"/>
      <c r="AI85" s="1137"/>
      <c r="AJ85" s="1137"/>
      <c r="AK85" s="1137"/>
      <c r="AL85" s="1137"/>
      <c r="AM85" s="1137"/>
      <c r="AN85" s="1137"/>
      <c r="AO85" s="1137"/>
      <c r="AP85" s="1137"/>
      <c r="AQ85" s="1137"/>
      <c r="AR85" s="1137"/>
      <c r="AS85" s="1137"/>
    </row>
    <row r="86" spans="1:53" s="1138" customFormat="1" ht="12" customHeight="1" thickBot="1" x14ac:dyDescent="0.2">
      <c r="A86" s="1164" t="s">
        <v>850</v>
      </c>
      <c r="B86" s="1145" t="s">
        <v>851</v>
      </c>
      <c r="C86" s="1172"/>
      <c r="D86" s="1173"/>
      <c r="E86" s="1117"/>
      <c r="F86" s="1117"/>
      <c r="G86" s="1117"/>
      <c r="H86" s="1117"/>
      <c r="I86" s="1117"/>
      <c r="J86" s="1117"/>
      <c r="K86" s="1117"/>
      <c r="L86" s="1117"/>
      <c r="M86" s="1117"/>
      <c r="N86" s="1117"/>
      <c r="O86" s="1117"/>
      <c r="P86" s="1117"/>
      <c r="Q86" s="1117"/>
      <c r="R86" s="1117"/>
      <c r="S86" s="1117"/>
      <c r="T86" s="1117"/>
      <c r="U86" s="1117"/>
      <c r="V86" s="1117"/>
      <c r="W86" s="1117"/>
      <c r="X86" s="1117"/>
      <c r="Y86" s="1117"/>
      <c r="Z86" s="1137"/>
      <c r="AA86" s="1137"/>
      <c r="AB86" s="1137"/>
      <c r="AC86" s="1137"/>
      <c r="AD86" s="1137"/>
      <c r="AE86" s="1137"/>
      <c r="AF86" s="1137"/>
      <c r="AG86" s="1137"/>
      <c r="AH86" s="1137"/>
      <c r="AI86" s="1137"/>
      <c r="AJ86" s="1137"/>
      <c r="AK86" s="1137"/>
      <c r="AL86" s="1137"/>
      <c r="AM86" s="1137"/>
      <c r="AN86" s="1137"/>
      <c r="AO86" s="1137"/>
      <c r="AP86" s="1137"/>
      <c r="AQ86" s="1137"/>
      <c r="AR86" s="1137"/>
      <c r="AS86" s="1137"/>
    </row>
    <row r="87" spans="1:53" s="1138" customFormat="1" ht="12" customHeight="1" thickBot="1" x14ac:dyDescent="0.2">
      <c r="A87" s="1164" t="s">
        <v>852</v>
      </c>
      <c r="B87" s="1174" t="s">
        <v>853</v>
      </c>
      <c r="C87" s="1150">
        <f>+C65+C69+C74+C77+C81+C86</f>
        <v>97354513</v>
      </c>
      <c r="D87" s="1151">
        <f>+D65+D69+D74+D77+D81+D86</f>
        <v>0</v>
      </c>
      <c r="E87" s="1117"/>
      <c r="F87" s="1117"/>
      <c r="G87" s="1117"/>
      <c r="H87" s="1117"/>
      <c r="I87" s="1117"/>
      <c r="J87" s="1117"/>
      <c r="K87" s="1117"/>
      <c r="L87" s="1117"/>
      <c r="M87" s="1117"/>
      <c r="N87" s="1117"/>
      <c r="O87" s="1117"/>
      <c r="P87" s="1117"/>
      <c r="Q87" s="1117"/>
      <c r="R87" s="1117"/>
      <c r="S87" s="1117"/>
      <c r="T87" s="1117"/>
      <c r="U87" s="1117"/>
      <c r="V87" s="1117"/>
      <c r="W87" s="1117"/>
      <c r="X87" s="1117"/>
      <c r="Y87" s="1117"/>
      <c r="Z87" s="1137"/>
      <c r="AA87" s="1137"/>
      <c r="AB87" s="1137"/>
      <c r="AC87" s="1137"/>
      <c r="AD87" s="1137"/>
      <c r="AE87" s="1137"/>
      <c r="AF87" s="1137"/>
      <c r="AG87" s="1137"/>
      <c r="AH87" s="1137"/>
      <c r="AI87" s="1137"/>
      <c r="AJ87" s="1137"/>
      <c r="AK87" s="1137"/>
      <c r="AL87" s="1137"/>
      <c r="AM87" s="1137"/>
      <c r="AN87" s="1137"/>
      <c r="AO87" s="1137"/>
      <c r="AP87" s="1137"/>
      <c r="AQ87" s="1137"/>
      <c r="AR87" s="1137"/>
      <c r="AS87" s="1137"/>
    </row>
    <row r="88" spans="1:53" s="1138" customFormat="1" ht="12" customHeight="1" thickBot="1" x14ac:dyDescent="0.2">
      <c r="A88" s="1175" t="s">
        <v>854</v>
      </c>
      <c r="B88" s="1176" t="s">
        <v>855</v>
      </c>
      <c r="C88" s="1150">
        <f>+C64+C87</f>
        <v>312735093</v>
      </c>
      <c r="D88" s="1151"/>
      <c r="E88" s="1177">
        <f>SUM(E8:E87)</f>
        <v>599800</v>
      </c>
      <c r="F88" s="1177">
        <f t="shared" ref="F88:K88" si="5">SUM(F8:F87)</f>
        <v>5635000</v>
      </c>
      <c r="G88" s="1177">
        <f t="shared" si="5"/>
        <v>5958000</v>
      </c>
      <c r="H88" s="1177">
        <f t="shared" si="5"/>
        <v>0</v>
      </c>
      <c r="I88" s="1177">
        <f>SUM(I8:I87)</f>
        <v>0</v>
      </c>
      <c r="J88" s="1177">
        <f t="shared" si="5"/>
        <v>0</v>
      </c>
      <c r="K88" s="1177">
        <f t="shared" si="5"/>
        <v>175037086</v>
      </c>
      <c r="L88" s="1177">
        <f t="shared" ref="L88:AS88" si="6">SUM(L8:L87)</f>
        <v>97354513</v>
      </c>
      <c r="M88" s="1177">
        <f t="shared" si="6"/>
        <v>1450000</v>
      </c>
      <c r="N88" s="1177">
        <f t="shared" si="6"/>
        <v>0</v>
      </c>
      <c r="O88" s="1177">
        <f t="shared" si="6"/>
        <v>0</v>
      </c>
      <c r="P88" s="1177">
        <f t="shared" si="6"/>
        <v>0</v>
      </c>
      <c r="Q88" s="1177">
        <f t="shared" si="6"/>
        <v>0</v>
      </c>
      <c r="R88" s="1177">
        <f t="shared" si="6"/>
        <v>0</v>
      </c>
      <c r="S88" s="1177">
        <f t="shared" si="6"/>
        <v>239000</v>
      </c>
      <c r="T88" s="1177">
        <f t="shared" si="6"/>
        <v>0</v>
      </c>
      <c r="U88" s="1177">
        <f t="shared" si="6"/>
        <v>0</v>
      </c>
      <c r="V88" s="1177">
        <f t="shared" si="6"/>
        <v>0</v>
      </c>
      <c r="W88" s="1177">
        <f t="shared" si="6"/>
        <v>0</v>
      </c>
      <c r="X88" s="1177">
        <f t="shared" si="6"/>
        <v>2032000</v>
      </c>
      <c r="Y88" s="1177">
        <f t="shared" si="6"/>
        <v>4036000</v>
      </c>
      <c r="Z88" s="1177">
        <f t="shared" si="6"/>
        <v>0</v>
      </c>
      <c r="AA88" s="1177">
        <f t="shared" si="6"/>
        <v>0</v>
      </c>
      <c r="AB88" s="1177">
        <f t="shared" si="6"/>
        <v>0</v>
      </c>
      <c r="AC88" s="1177">
        <f t="shared" si="6"/>
        <v>0</v>
      </c>
      <c r="AD88" s="1177">
        <f t="shared" si="6"/>
        <v>0</v>
      </c>
      <c r="AE88" s="1177">
        <f t="shared" si="6"/>
        <v>0</v>
      </c>
      <c r="AF88" s="1177">
        <f t="shared" si="6"/>
        <v>0</v>
      </c>
      <c r="AG88" s="1177">
        <f>SUM(AG8:AG87)</f>
        <v>0</v>
      </c>
      <c r="AH88" s="1177">
        <f t="shared" si="6"/>
        <v>0</v>
      </c>
      <c r="AI88" s="1177">
        <f t="shared" si="6"/>
        <v>0</v>
      </c>
      <c r="AJ88" s="1177">
        <f t="shared" si="6"/>
        <v>0</v>
      </c>
      <c r="AK88" s="1177">
        <f t="shared" si="6"/>
        <v>0</v>
      </c>
      <c r="AL88" s="1177">
        <f>SUM(AL8:AL87)</f>
        <v>0</v>
      </c>
      <c r="AM88" s="1177">
        <f t="shared" si="6"/>
        <v>0</v>
      </c>
      <c r="AN88" s="1177">
        <f t="shared" si="6"/>
        <v>0</v>
      </c>
      <c r="AO88" s="1177">
        <f t="shared" si="6"/>
        <v>0</v>
      </c>
      <c r="AP88" s="1177">
        <f t="shared" si="6"/>
        <v>0</v>
      </c>
      <c r="AQ88" s="1177">
        <f t="shared" si="6"/>
        <v>0</v>
      </c>
      <c r="AR88" s="1177">
        <f t="shared" si="6"/>
        <v>91440000</v>
      </c>
      <c r="AS88" s="1177">
        <f t="shared" si="6"/>
        <v>0</v>
      </c>
      <c r="AT88" s="1177"/>
      <c r="AU88" s="1177"/>
      <c r="AV88" s="1177"/>
      <c r="AW88" s="1177"/>
      <c r="AX88" s="1177"/>
      <c r="AY88" s="1177"/>
      <c r="AZ88" s="1177"/>
      <c r="BA88" s="1177"/>
    </row>
    <row r="89" spans="1:53" s="1142" customFormat="1" ht="15" customHeight="1" x14ac:dyDescent="0.25">
      <c r="A89" s="1178"/>
      <c r="B89" s="1179"/>
      <c r="C89" s="1180"/>
      <c r="D89" s="1180"/>
      <c r="E89" s="1181"/>
      <c r="F89" s="1181"/>
      <c r="G89" s="1181"/>
      <c r="H89" s="1181"/>
      <c r="I89" s="1181"/>
      <c r="J89" s="1181"/>
      <c r="K89" s="1181"/>
      <c r="L89" s="1181"/>
      <c r="M89" s="1181"/>
      <c r="N89" s="1181"/>
      <c r="O89" s="1181"/>
      <c r="P89" s="1181"/>
      <c r="Q89" s="1181"/>
      <c r="R89" s="1181"/>
      <c r="S89" s="1181"/>
      <c r="T89" s="1181"/>
      <c r="U89" s="1181"/>
      <c r="V89" s="1181"/>
      <c r="W89" s="1181"/>
      <c r="X89" s="1181"/>
      <c r="Y89" s="1181"/>
      <c r="Z89" s="1182"/>
      <c r="AA89" s="1182"/>
      <c r="AB89" s="1182"/>
      <c r="AC89" s="1182"/>
      <c r="AD89" s="1182"/>
      <c r="AE89" s="1182"/>
      <c r="AF89" s="1182"/>
      <c r="AG89" s="1182"/>
      <c r="AH89" s="1182"/>
      <c r="AI89" s="1182"/>
      <c r="AJ89" s="1182"/>
      <c r="AK89" s="1182"/>
      <c r="AL89" s="1182"/>
      <c r="AM89" s="1182"/>
      <c r="AN89" s="1182"/>
      <c r="AO89" s="1182"/>
      <c r="AP89" s="1182"/>
      <c r="AQ89" s="1182"/>
      <c r="AR89" s="1182"/>
      <c r="AS89" s="1182"/>
    </row>
    <row r="90" spans="1:53" ht="13.5" thickBot="1" x14ac:dyDescent="0.3">
      <c r="A90" s="1178"/>
      <c r="B90" s="1183"/>
      <c r="C90" s="1184"/>
      <c r="D90" s="1184"/>
      <c r="AS90" s="1117">
        <f>SUM(E88:AS88)</f>
        <v>383781399</v>
      </c>
    </row>
    <row r="91" spans="1:53" s="1125" customFormat="1" ht="16.5" customHeight="1" thickBot="1" x14ac:dyDescent="0.3">
      <c r="A91" s="1814" t="s">
        <v>856</v>
      </c>
      <c r="B91" s="1815"/>
      <c r="C91" s="1815"/>
      <c r="D91" s="1816"/>
      <c r="E91" s="1123"/>
      <c r="F91" s="1123"/>
      <c r="G91" s="1123"/>
      <c r="H91" s="1123"/>
      <c r="I91" s="1123"/>
      <c r="J91" s="1123"/>
      <c r="K91" s="1123"/>
      <c r="L91" s="1123"/>
      <c r="M91" s="1123"/>
      <c r="N91" s="1123"/>
      <c r="O91" s="1123"/>
      <c r="P91" s="1123"/>
      <c r="Q91" s="1123"/>
      <c r="R91" s="1123"/>
      <c r="S91" s="1123"/>
      <c r="T91" s="1123"/>
      <c r="U91" s="1123"/>
      <c r="V91" s="1123"/>
      <c r="W91" s="1123"/>
      <c r="X91" s="1123"/>
      <c r="Y91" s="1123"/>
      <c r="Z91" s="1124"/>
      <c r="AA91" s="1124"/>
      <c r="AB91" s="1124"/>
      <c r="AC91" s="1124"/>
      <c r="AD91" s="1124"/>
      <c r="AE91" s="1124"/>
      <c r="AF91" s="1124"/>
      <c r="AG91" s="1124"/>
      <c r="AH91" s="1124"/>
      <c r="AI91" s="1124"/>
      <c r="AJ91" s="1124"/>
      <c r="AK91" s="1124"/>
      <c r="AL91" s="1124"/>
      <c r="AM91" s="1124"/>
      <c r="AN91" s="1124"/>
      <c r="AO91" s="1124"/>
      <c r="AP91" s="1124"/>
      <c r="AQ91" s="1124"/>
      <c r="AR91" s="1124"/>
      <c r="AS91" s="1124"/>
    </row>
    <row r="92" spans="1:53" s="1189" customFormat="1" ht="12" customHeight="1" thickBot="1" x14ac:dyDescent="0.3">
      <c r="A92" s="1185" t="s">
        <v>696</v>
      </c>
      <c r="B92" s="1186" t="s">
        <v>857</v>
      </c>
      <c r="C92" s="1187">
        <f>SUM(C93:C97)</f>
        <v>89443600</v>
      </c>
      <c r="D92" s="1188">
        <f>SUM(D93:D97)</f>
        <v>0</v>
      </c>
      <c r="E92" s="1117"/>
      <c r="F92" s="1117"/>
      <c r="G92" s="1117"/>
      <c r="H92" s="1117"/>
      <c r="I92" s="1117"/>
      <c r="J92" s="1117"/>
      <c r="K92" s="1117"/>
      <c r="L92" s="1117"/>
      <c r="M92" s="1117"/>
      <c r="N92" s="1117"/>
      <c r="O92" s="1117"/>
      <c r="P92" s="1117"/>
      <c r="Q92" s="1117"/>
      <c r="R92" s="1117"/>
      <c r="S92" s="1117"/>
      <c r="T92" s="1117"/>
      <c r="U92" s="1117"/>
      <c r="V92" s="1117"/>
      <c r="W92" s="1117"/>
      <c r="X92" s="1117"/>
      <c r="Y92" s="1117"/>
      <c r="Z92" s="1137"/>
      <c r="AA92" s="1137"/>
      <c r="AB92" s="1137"/>
      <c r="AC92" s="1137"/>
      <c r="AD92" s="1137"/>
      <c r="AE92" s="1137"/>
      <c r="AF92" s="1137"/>
      <c r="AG92" s="1137"/>
      <c r="AH92" s="1137"/>
      <c r="AI92" s="1137"/>
      <c r="AJ92" s="1137"/>
      <c r="AK92" s="1137"/>
      <c r="AL92" s="1137"/>
      <c r="AM92" s="1137"/>
      <c r="AN92" s="1137"/>
      <c r="AO92" s="1137"/>
      <c r="AP92" s="1137"/>
      <c r="AQ92" s="1137"/>
      <c r="AR92" s="1137"/>
      <c r="AS92" s="1137"/>
    </row>
    <row r="93" spans="1:53" ht="12" customHeight="1" x14ac:dyDescent="0.25">
      <c r="A93" s="1190" t="s">
        <v>698</v>
      </c>
      <c r="B93" s="1191" t="s">
        <v>858</v>
      </c>
      <c r="C93" s="1192">
        <f>SUM(E93:AS93)-'7.1.3 Önkormányzat (ÖNK)'!C93</f>
        <v>33499000</v>
      </c>
      <c r="D93" s="1193"/>
      <c r="E93" s="1117">
        <v>14772000</v>
      </c>
      <c r="F93" s="1117">
        <v>3191000</v>
      </c>
      <c r="G93" s="1117">
        <v>2678000</v>
      </c>
      <c r="J93" s="1117">
        <v>400000</v>
      </c>
      <c r="M93" s="1117">
        <v>1468000</v>
      </c>
      <c r="T93" s="1117">
        <v>6861000</v>
      </c>
      <c r="X93" s="1117">
        <v>4149000</v>
      </c>
      <c r="AB93" s="1117">
        <v>480000</v>
      </c>
    </row>
    <row r="94" spans="1:53" ht="12" customHeight="1" x14ac:dyDescent="0.25">
      <c r="A94" s="1139" t="s">
        <v>700</v>
      </c>
      <c r="B94" s="1194" t="s">
        <v>25</v>
      </c>
      <c r="C94" s="1195">
        <f>SUM(E94:AS94)-'7.1.3 Önkormányzat (ÖNK)'!C94</f>
        <v>6080600</v>
      </c>
      <c r="D94" s="1148"/>
      <c r="E94" s="1117">
        <v>2675000</v>
      </c>
      <c r="F94" s="1117">
        <v>594000</v>
      </c>
      <c r="G94" s="1117">
        <v>485000</v>
      </c>
      <c r="J94" s="1117">
        <v>154000</v>
      </c>
      <c r="M94" s="1117">
        <v>144000</v>
      </c>
      <c r="T94" s="1117">
        <v>1269100</v>
      </c>
      <c r="X94" s="1117">
        <v>763000</v>
      </c>
      <c r="AB94" s="1117">
        <v>84000</v>
      </c>
    </row>
    <row r="95" spans="1:53" ht="12" customHeight="1" x14ac:dyDescent="0.25">
      <c r="A95" s="1139" t="s">
        <v>702</v>
      </c>
      <c r="B95" s="1194" t="s">
        <v>859</v>
      </c>
      <c r="C95" s="1196">
        <f>SUM(E95:AS95)-'7.1.3 Önkormányzat (ÖNK)'!C95</f>
        <v>42851000</v>
      </c>
      <c r="D95" s="1149"/>
      <c r="E95" s="1117">
        <v>6269000</v>
      </c>
      <c r="F95" s="1117">
        <v>825000</v>
      </c>
      <c r="G95" s="1117">
        <v>8368000</v>
      </c>
      <c r="J95" s="1117">
        <v>635000</v>
      </c>
      <c r="N95" s="1117">
        <v>762000</v>
      </c>
      <c r="O95" s="1117">
        <v>1524000</v>
      </c>
      <c r="Q95" s="1117">
        <v>150000</v>
      </c>
      <c r="R95" s="1117">
        <v>8836000</v>
      </c>
      <c r="S95" s="1117">
        <v>3554000</v>
      </c>
      <c r="T95" s="1117">
        <v>2530000</v>
      </c>
      <c r="U95" s="1117">
        <v>387000</v>
      </c>
      <c r="V95" s="1117">
        <v>601000</v>
      </c>
      <c r="W95" s="1117">
        <v>261000</v>
      </c>
      <c r="X95" s="1117">
        <v>243000</v>
      </c>
      <c r="Y95" s="1117">
        <v>838000</v>
      </c>
      <c r="AB95" s="1117">
        <v>4000</v>
      </c>
      <c r="AC95" s="1117">
        <v>7572000</v>
      </c>
      <c r="AD95" s="1117">
        <v>1143000</v>
      </c>
    </row>
    <row r="96" spans="1:53" ht="12" customHeight="1" x14ac:dyDescent="0.25">
      <c r="A96" s="1139" t="s">
        <v>704</v>
      </c>
      <c r="B96" s="1197" t="s">
        <v>216</v>
      </c>
      <c r="C96" s="1196">
        <f>SUM(E96:AS96)</f>
        <v>2758000</v>
      </c>
      <c r="D96" s="1149"/>
      <c r="AK96" s="1117">
        <v>128000</v>
      </c>
      <c r="AN96" s="1117">
        <v>150000</v>
      </c>
      <c r="AQ96" s="1117">
        <v>2480000</v>
      </c>
    </row>
    <row r="97" spans="1:34" ht="12" customHeight="1" x14ac:dyDescent="0.25">
      <c r="A97" s="1139" t="s">
        <v>860</v>
      </c>
      <c r="B97" s="1198" t="s">
        <v>55</v>
      </c>
      <c r="C97" s="1199">
        <f>SUM(C98:C107)</f>
        <v>4255000</v>
      </c>
      <c r="D97" s="1149">
        <f>SUM(D98:D107)</f>
        <v>0</v>
      </c>
    </row>
    <row r="98" spans="1:34" ht="12" customHeight="1" x14ac:dyDescent="0.25">
      <c r="A98" s="1139" t="s">
        <v>708</v>
      </c>
      <c r="B98" s="1194" t="s">
        <v>861</v>
      </c>
      <c r="C98" s="1200">
        <f>SUM(E98:AS98)</f>
        <v>0</v>
      </c>
      <c r="D98" s="1149"/>
    </row>
    <row r="99" spans="1:34" ht="12" customHeight="1" x14ac:dyDescent="0.2">
      <c r="A99" s="1139" t="s">
        <v>862</v>
      </c>
      <c r="B99" s="1201" t="s">
        <v>863</v>
      </c>
      <c r="C99" s="1200">
        <f t="shared" ref="C99:C106" si="7">SUM(E99:AS99)</f>
        <v>0</v>
      </c>
      <c r="D99" s="1149"/>
    </row>
    <row r="100" spans="1:34" ht="12" customHeight="1" x14ac:dyDescent="0.25">
      <c r="A100" s="1139" t="s">
        <v>864</v>
      </c>
      <c r="B100" s="1202" t="s">
        <v>865</v>
      </c>
      <c r="C100" s="1200">
        <f t="shared" si="7"/>
        <v>0</v>
      </c>
      <c r="D100" s="1149"/>
    </row>
    <row r="101" spans="1:34" ht="20.25" customHeight="1" x14ac:dyDescent="0.25">
      <c r="A101" s="1139" t="s">
        <v>866</v>
      </c>
      <c r="B101" s="1202" t="s">
        <v>867</v>
      </c>
      <c r="C101" s="1200">
        <f t="shared" si="7"/>
        <v>0</v>
      </c>
      <c r="D101" s="1149"/>
    </row>
    <row r="102" spans="1:34" ht="12" customHeight="1" x14ac:dyDescent="0.2">
      <c r="A102" s="1139" t="s">
        <v>868</v>
      </c>
      <c r="B102" s="1201" t="s">
        <v>869</v>
      </c>
      <c r="C102" s="1200">
        <f t="shared" si="7"/>
        <v>4255000</v>
      </c>
      <c r="D102" s="1149"/>
      <c r="E102" s="1117">
        <v>855000</v>
      </c>
      <c r="L102" s="1117">
        <v>3000000</v>
      </c>
      <c r="AH102" s="1117">
        <v>400000</v>
      </c>
    </row>
    <row r="103" spans="1:34" ht="12" customHeight="1" x14ac:dyDescent="0.2">
      <c r="A103" s="1139" t="s">
        <v>870</v>
      </c>
      <c r="B103" s="1201" t="s">
        <v>871</v>
      </c>
      <c r="C103" s="1200">
        <f t="shared" si="7"/>
        <v>0</v>
      </c>
      <c r="D103" s="1149"/>
    </row>
    <row r="104" spans="1:34" ht="12" customHeight="1" x14ac:dyDescent="0.25">
      <c r="A104" s="1139" t="s">
        <v>872</v>
      </c>
      <c r="B104" s="1202" t="s">
        <v>873</v>
      </c>
      <c r="C104" s="1200">
        <f t="shared" si="7"/>
        <v>0</v>
      </c>
      <c r="D104" s="1149"/>
    </row>
    <row r="105" spans="1:34" ht="12" customHeight="1" x14ac:dyDescent="0.25">
      <c r="A105" s="1203" t="s">
        <v>874</v>
      </c>
      <c r="B105" s="1204" t="s">
        <v>875</v>
      </c>
      <c r="C105" s="1200">
        <f t="shared" si="7"/>
        <v>0</v>
      </c>
      <c r="D105" s="1149"/>
    </row>
    <row r="106" spans="1:34" ht="12" customHeight="1" x14ac:dyDescent="0.25">
      <c r="A106" s="1139" t="s">
        <v>876</v>
      </c>
      <c r="B106" s="1204" t="s">
        <v>877</v>
      </c>
      <c r="C106" s="1200">
        <f t="shared" si="7"/>
        <v>0</v>
      </c>
      <c r="D106" s="1149"/>
    </row>
    <row r="107" spans="1:34" ht="12" customHeight="1" thickBot="1" x14ac:dyDescent="0.3">
      <c r="A107" s="1166" t="s">
        <v>878</v>
      </c>
      <c r="B107" s="1205" t="s">
        <v>879</v>
      </c>
      <c r="C107" s="1200">
        <f>SUM(E107:AS107)-'7.1.3 Önkormányzat (ÖNK)'!C107</f>
        <v>0</v>
      </c>
      <c r="D107" s="1206"/>
      <c r="Z107" s="1117">
        <v>1850000</v>
      </c>
      <c r="AA107" s="1117">
        <v>450000</v>
      </c>
      <c r="AC107" s="1117">
        <v>6120000</v>
      </c>
      <c r="AE107" s="1117">
        <v>1020000</v>
      </c>
      <c r="AF107" s="1117">
        <v>4800000</v>
      </c>
    </row>
    <row r="108" spans="1:34" ht="12" customHeight="1" thickBot="1" x14ac:dyDescent="0.3">
      <c r="A108" s="1128" t="s">
        <v>710</v>
      </c>
      <c r="B108" s="1207" t="s">
        <v>880</v>
      </c>
      <c r="C108" s="1130">
        <f>+C109+C111+C113</f>
        <v>55995602</v>
      </c>
      <c r="D108" s="1131">
        <f>+D109+D111+D113</f>
        <v>0</v>
      </c>
    </row>
    <row r="109" spans="1:34" ht="12" customHeight="1" x14ac:dyDescent="0.25">
      <c r="A109" s="1133" t="s">
        <v>712</v>
      </c>
      <c r="B109" s="1194" t="s">
        <v>63</v>
      </c>
      <c r="C109" s="1146">
        <f>SUM(E109:AS109)</f>
        <v>3685740</v>
      </c>
      <c r="D109" s="1147"/>
      <c r="E109" s="1117">
        <v>1080490</v>
      </c>
      <c r="P109" s="1117">
        <v>428500</v>
      </c>
      <c r="S109" s="1117">
        <v>2176750</v>
      </c>
    </row>
    <row r="110" spans="1:34" ht="12" customHeight="1" x14ac:dyDescent="0.25">
      <c r="A110" s="1133" t="s">
        <v>714</v>
      </c>
      <c r="B110" s="1208" t="s">
        <v>881</v>
      </c>
      <c r="C110" s="1146">
        <f>SUM(E110:AS110)</f>
        <v>0</v>
      </c>
      <c r="D110" s="1147"/>
    </row>
    <row r="111" spans="1:34" ht="12" customHeight="1" x14ac:dyDescent="0.25">
      <c r="A111" s="1133" t="s">
        <v>716</v>
      </c>
      <c r="B111" s="1208" t="s">
        <v>153</v>
      </c>
      <c r="C111" s="1146">
        <f>SUM(E111:AS111)</f>
        <v>52309862</v>
      </c>
      <c r="D111" s="1148"/>
      <c r="G111" s="1117">
        <v>30529412</v>
      </c>
      <c r="O111" s="1117">
        <v>21780450</v>
      </c>
    </row>
    <row r="112" spans="1:34" ht="12" customHeight="1" x14ac:dyDescent="0.25">
      <c r="A112" s="1133" t="s">
        <v>718</v>
      </c>
      <c r="B112" s="1208" t="s">
        <v>882</v>
      </c>
      <c r="C112" s="1146">
        <f>SUM(E112:AS112)</f>
        <v>0</v>
      </c>
      <c r="D112" s="1148"/>
    </row>
    <row r="113" spans="1:45" ht="12" customHeight="1" x14ac:dyDescent="0.25">
      <c r="A113" s="1133" t="s">
        <v>720</v>
      </c>
      <c r="B113" s="1209" t="s">
        <v>883</v>
      </c>
      <c r="C113" s="1210">
        <f>SUM(C114:C121)</f>
        <v>0</v>
      </c>
      <c r="D113" s="1148">
        <f>SUM(D114:D121)</f>
        <v>0</v>
      </c>
    </row>
    <row r="114" spans="1:45" ht="12" customHeight="1" x14ac:dyDescent="0.25">
      <c r="A114" s="1133" t="s">
        <v>722</v>
      </c>
      <c r="B114" s="1211" t="s">
        <v>884</v>
      </c>
      <c r="C114" s="1210">
        <f>SUM(E114:AS114)</f>
        <v>0</v>
      </c>
      <c r="D114" s="1148"/>
    </row>
    <row r="115" spans="1:45" ht="12" customHeight="1" x14ac:dyDescent="0.25">
      <c r="A115" s="1133" t="s">
        <v>885</v>
      </c>
      <c r="B115" s="1212" t="s">
        <v>886</v>
      </c>
      <c r="C115" s="1210">
        <f t="shared" ref="C115:C121" si="8">SUM(E115:AS115)</f>
        <v>0</v>
      </c>
      <c r="D115" s="1148"/>
    </row>
    <row r="116" spans="1:45" ht="12" customHeight="1" x14ac:dyDescent="0.25">
      <c r="A116" s="1133" t="s">
        <v>887</v>
      </c>
      <c r="B116" s="1202" t="s">
        <v>867</v>
      </c>
      <c r="C116" s="1210">
        <f t="shared" si="8"/>
        <v>0</v>
      </c>
      <c r="D116" s="1148"/>
    </row>
    <row r="117" spans="1:45" ht="12" customHeight="1" x14ac:dyDescent="0.25">
      <c r="A117" s="1133" t="s">
        <v>888</v>
      </c>
      <c r="B117" s="1202" t="s">
        <v>889</v>
      </c>
      <c r="C117" s="1210">
        <f t="shared" si="8"/>
        <v>0</v>
      </c>
      <c r="D117" s="1148"/>
    </row>
    <row r="118" spans="1:45" ht="12" customHeight="1" x14ac:dyDescent="0.25">
      <c r="A118" s="1133" t="s">
        <v>890</v>
      </c>
      <c r="B118" s="1202" t="s">
        <v>891</v>
      </c>
      <c r="C118" s="1210">
        <f t="shared" si="8"/>
        <v>0</v>
      </c>
      <c r="D118" s="1148"/>
    </row>
    <row r="119" spans="1:45" ht="12" customHeight="1" x14ac:dyDescent="0.25">
      <c r="A119" s="1133" t="s">
        <v>892</v>
      </c>
      <c r="B119" s="1202" t="s">
        <v>873</v>
      </c>
      <c r="C119" s="1210">
        <f t="shared" si="8"/>
        <v>0</v>
      </c>
      <c r="D119" s="1148"/>
    </row>
    <row r="120" spans="1:45" ht="12" customHeight="1" x14ac:dyDescent="0.25">
      <c r="A120" s="1133" t="s">
        <v>893</v>
      </c>
      <c r="B120" s="1202" t="s">
        <v>894</v>
      </c>
      <c r="C120" s="1210">
        <f t="shared" si="8"/>
        <v>0</v>
      </c>
      <c r="D120" s="1148"/>
    </row>
    <row r="121" spans="1:45" ht="12" customHeight="1" thickBot="1" x14ac:dyDescent="0.3">
      <c r="A121" s="1203" t="s">
        <v>895</v>
      </c>
      <c r="B121" s="1202" t="s">
        <v>896</v>
      </c>
      <c r="C121" s="1210">
        <f t="shared" si="8"/>
        <v>0</v>
      </c>
      <c r="D121" s="1149"/>
    </row>
    <row r="122" spans="1:45" ht="12" customHeight="1" thickBot="1" x14ac:dyDescent="0.3">
      <c r="A122" s="1128" t="s">
        <v>724</v>
      </c>
      <c r="B122" s="1213" t="s">
        <v>897</v>
      </c>
      <c r="C122" s="1130">
        <f>+C123+C124</f>
        <v>47810980</v>
      </c>
      <c r="D122" s="1131">
        <f>+D123+D124</f>
        <v>0</v>
      </c>
    </row>
    <row r="123" spans="1:45" ht="12" customHeight="1" x14ac:dyDescent="0.25">
      <c r="A123" s="1133" t="s">
        <v>726</v>
      </c>
      <c r="B123" s="1214" t="s">
        <v>898</v>
      </c>
      <c r="C123" s="1146">
        <f>SUM(E123:AS123)</f>
        <v>5661481</v>
      </c>
      <c r="D123" s="1147"/>
      <c r="E123" s="1117">
        <v>5661481</v>
      </c>
    </row>
    <row r="124" spans="1:45" ht="12" customHeight="1" thickBot="1" x14ac:dyDescent="0.3">
      <c r="A124" s="1143" t="s">
        <v>728</v>
      </c>
      <c r="B124" s="1208" t="s">
        <v>899</v>
      </c>
      <c r="C124" s="1146">
        <f>SUM(E124:AS124)</f>
        <v>42149499</v>
      </c>
      <c r="D124" s="1149"/>
      <c r="E124" s="1117">
        <v>42149499</v>
      </c>
    </row>
    <row r="125" spans="1:45" ht="12" customHeight="1" thickBot="1" x14ac:dyDescent="0.3">
      <c r="A125" s="1128" t="s">
        <v>900</v>
      </c>
      <c r="B125" s="1213" t="s">
        <v>901</v>
      </c>
      <c r="C125" s="1130">
        <f>+C92+C108+C122</f>
        <v>193250182</v>
      </c>
      <c r="D125" s="1131">
        <f>+D92+D108+D122</f>
        <v>0</v>
      </c>
    </row>
    <row r="126" spans="1:45" ht="12" customHeight="1" thickBot="1" x14ac:dyDescent="0.3">
      <c r="A126" s="1128" t="s">
        <v>753</v>
      </c>
      <c r="B126" s="1213" t="s">
        <v>902</v>
      </c>
      <c r="C126" s="1130">
        <f>+C127+C128+C129</f>
        <v>0</v>
      </c>
      <c r="D126" s="1131">
        <f>+D127+D128+D129</f>
        <v>0</v>
      </c>
    </row>
    <row r="127" spans="1:45" s="1189" customFormat="1" ht="12" customHeight="1" x14ac:dyDescent="0.25">
      <c r="A127" s="1133" t="s">
        <v>755</v>
      </c>
      <c r="B127" s="1214" t="s">
        <v>903</v>
      </c>
      <c r="C127" s="1210">
        <f>SUM(E127:AS127)</f>
        <v>0</v>
      </c>
      <c r="D127" s="1148"/>
      <c r="E127" s="1117"/>
      <c r="F127" s="1117"/>
      <c r="G127" s="1117"/>
      <c r="H127" s="1117"/>
      <c r="I127" s="1117"/>
      <c r="J127" s="1117"/>
      <c r="K127" s="1117"/>
      <c r="L127" s="1117"/>
      <c r="M127" s="1117"/>
      <c r="N127" s="1117"/>
      <c r="O127" s="1117"/>
      <c r="P127" s="1117"/>
      <c r="Q127" s="1117"/>
      <c r="R127" s="1117"/>
      <c r="S127" s="1117"/>
      <c r="T127" s="1117"/>
      <c r="U127" s="1117"/>
      <c r="V127" s="1117"/>
      <c r="W127" s="1117"/>
      <c r="X127" s="1117"/>
      <c r="Y127" s="1117"/>
      <c r="Z127" s="1137"/>
      <c r="AA127" s="1137"/>
      <c r="AB127" s="1137"/>
      <c r="AC127" s="1137"/>
      <c r="AD127" s="1137"/>
      <c r="AE127" s="1137"/>
      <c r="AF127" s="1137"/>
      <c r="AG127" s="1137"/>
      <c r="AH127" s="1137"/>
      <c r="AI127" s="1137"/>
      <c r="AJ127" s="1137"/>
      <c r="AK127" s="1137"/>
      <c r="AL127" s="1137"/>
      <c r="AM127" s="1137"/>
      <c r="AN127" s="1137"/>
      <c r="AO127" s="1137"/>
      <c r="AP127" s="1137"/>
      <c r="AQ127" s="1137"/>
      <c r="AR127" s="1137"/>
      <c r="AS127" s="1117"/>
    </row>
    <row r="128" spans="1:45" ht="12" customHeight="1" x14ac:dyDescent="0.25">
      <c r="A128" s="1133" t="s">
        <v>757</v>
      </c>
      <c r="B128" s="1214" t="s">
        <v>904</v>
      </c>
      <c r="C128" s="1210">
        <f>SUM(E128:AS128)</f>
        <v>0</v>
      </c>
      <c r="D128" s="1148"/>
    </row>
    <row r="129" spans="1:45" ht="12" customHeight="1" thickBot="1" x14ac:dyDescent="0.3">
      <c r="A129" s="1203" t="s">
        <v>759</v>
      </c>
      <c r="B129" s="1215" t="s">
        <v>905</v>
      </c>
      <c r="C129" s="1210">
        <f>SUM(E129:AS129)</f>
        <v>0</v>
      </c>
      <c r="D129" s="1148"/>
    </row>
    <row r="130" spans="1:45" ht="12" customHeight="1" thickBot="1" x14ac:dyDescent="0.3">
      <c r="A130" s="1128" t="s">
        <v>775</v>
      </c>
      <c r="B130" s="1213" t="s">
        <v>906</v>
      </c>
      <c r="C130" s="1130">
        <f>+C131+C132+C133+C134</f>
        <v>0</v>
      </c>
      <c r="D130" s="1131">
        <f>+D131+D132+D133+D134</f>
        <v>0</v>
      </c>
    </row>
    <row r="131" spans="1:45" ht="12" customHeight="1" x14ac:dyDescent="0.25">
      <c r="A131" s="1133" t="s">
        <v>777</v>
      </c>
      <c r="B131" s="1214" t="s">
        <v>907</v>
      </c>
      <c r="C131" s="1210">
        <f>SUM(E131:AS131)</f>
        <v>0</v>
      </c>
      <c r="D131" s="1148"/>
    </row>
    <row r="132" spans="1:45" ht="12" customHeight="1" x14ac:dyDescent="0.25">
      <c r="A132" s="1133" t="s">
        <v>779</v>
      </c>
      <c r="B132" s="1214" t="s">
        <v>908</v>
      </c>
      <c r="C132" s="1210">
        <f>SUM(E132:AS132)</f>
        <v>0</v>
      </c>
      <c r="D132" s="1148"/>
    </row>
    <row r="133" spans="1:45" ht="12" customHeight="1" x14ac:dyDescent="0.25">
      <c r="A133" s="1133" t="s">
        <v>780</v>
      </c>
      <c r="B133" s="1214" t="s">
        <v>909</v>
      </c>
      <c r="C133" s="1210">
        <f>SUM(E133:AS133)</f>
        <v>0</v>
      </c>
      <c r="D133" s="1148"/>
    </row>
    <row r="134" spans="1:45" s="1189" customFormat="1" ht="12" customHeight="1" thickBot="1" x14ac:dyDescent="0.3">
      <c r="A134" s="1203" t="s">
        <v>782</v>
      </c>
      <c r="B134" s="1215" t="s">
        <v>910</v>
      </c>
      <c r="C134" s="1210">
        <f>SUM(E134:AS134)</f>
        <v>0</v>
      </c>
      <c r="D134" s="1148"/>
      <c r="E134" s="1117"/>
      <c r="F134" s="1117"/>
      <c r="G134" s="1117"/>
      <c r="H134" s="1117"/>
      <c r="I134" s="1117"/>
      <c r="J134" s="1117"/>
      <c r="K134" s="1117"/>
      <c r="L134" s="1117"/>
      <c r="M134" s="1117"/>
      <c r="N134" s="1117"/>
      <c r="O134" s="1117"/>
      <c r="P134" s="1117"/>
      <c r="Q134" s="1117"/>
      <c r="R134" s="1117"/>
      <c r="S134" s="1117"/>
      <c r="T134" s="1117"/>
      <c r="U134" s="1117"/>
      <c r="V134" s="1117"/>
      <c r="W134" s="1117"/>
      <c r="X134" s="1117"/>
      <c r="Y134" s="1117"/>
      <c r="Z134" s="1137"/>
      <c r="AA134" s="1137"/>
      <c r="AB134" s="1137"/>
      <c r="AC134" s="1137"/>
      <c r="AD134" s="1137"/>
      <c r="AE134" s="1137"/>
      <c r="AF134" s="1137"/>
      <c r="AG134" s="1137"/>
      <c r="AH134" s="1137"/>
      <c r="AI134" s="1137"/>
      <c r="AJ134" s="1137"/>
      <c r="AK134" s="1137"/>
      <c r="AL134" s="1137"/>
      <c r="AM134" s="1137"/>
      <c r="AN134" s="1137"/>
      <c r="AO134" s="1137"/>
      <c r="AP134" s="1137"/>
      <c r="AQ134" s="1137"/>
      <c r="AR134" s="1137"/>
      <c r="AS134" s="1137"/>
    </row>
    <row r="135" spans="1:45" ht="12" customHeight="1" thickBot="1" x14ac:dyDescent="0.3">
      <c r="A135" s="1128" t="s">
        <v>911</v>
      </c>
      <c r="B135" s="1213" t="s">
        <v>912</v>
      </c>
      <c r="C135" s="1150">
        <f>+C136+C137+C138+C139</f>
        <v>119484911</v>
      </c>
      <c r="D135" s="1151">
        <f>+D136+D137+D138+D139</f>
        <v>0</v>
      </c>
    </row>
    <row r="136" spans="1:45" x14ac:dyDescent="0.25">
      <c r="A136" s="1133" t="s">
        <v>788</v>
      </c>
      <c r="B136" s="1214" t="s">
        <v>913</v>
      </c>
      <c r="C136" s="1210">
        <f>SUM(E136:AS136)-'7.1.2 Önkormányzat (ÁIG)'!C136</f>
        <v>112771316</v>
      </c>
      <c r="D136" s="1148"/>
      <c r="L136" s="1117">
        <v>167339122</v>
      </c>
    </row>
    <row r="137" spans="1:45" ht="12" customHeight="1" x14ac:dyDescent="0.25">
      <c r="A137" s="1133" t="s">
        <v>790</v>
      </c>
      <c r="B137" s="1214" t="s">
        <v>914</v>
      </c>
      <c r="C137" s="1210">
        <f>SUM(E137:AS137)</f>
        <v>6713595</v>
      </c>
      <c r="D137" s="1148"/>
      <c r="L137" s="1117">
        <v>6713595</v>
      </c>
    </row>
    <row r="138" spans="1:45" s="1189" customFormat="1" ht="12" customHeight="1" x14ac:dyDescent="0.25">
      <c r="A138" s="1133" t="s">
        <v>792</v>
      </c>
      <c r="B138" s="1214" t="s">
        <v>915</v>
      </c>
      <c r="C138" s="1210">
        <f>SUM(E138:AS138)</f>
        <v>0</v>
      </c>
      <c r="D138" s="1148"/>
      <c r="E138" s="1117"/>
      <c r="F138" s="1117"/>
      <c r="G138" s="1117"/>
      <c r="H138" s="1117"/>
      <c r="I138" s="1117"/>
      <c r="J138" s="1117"/>
      <c r="K138" s="1117"/>
      <c r="L138" s="1117"/>
      <c r="M138" s="1117"/>
      <c r="N138" s="1117"/>
      <c r="O138" s="1117"/>
      <c r="P138" s="1117"/>
      <c r="Q138" s="1117"/>
      <c r="R138" s="1117"/>
      <c r="S138" s="1117"/>
      <c r="T138" s="1117"/>
      <c r="U138" s="1117"/>
      <c r="V138" s="1117"/>
      <c r="W138" s="1117"/>
      <c r="X138" s="1117"/>
      <c r="Y138" s="1117"/>
      <c r="Z138" s="1137"/>
      <c r="AA138" s="1137"/>
      <c r="AB138" s="1137"/>
      <c r="AC138" s="1137"/>
      <c r="AD138" s="1137"/>
      <c r="AE138" s="1137"/>
      <c r="AF138" s="1137"/>
      <c r="AG138" s="1137"/>
      <c r="AH138" s="1137"/>
      <c r="AI138" s="1137"/>
      <c r="AJ138" s="1137"/>
      <c r="AK138" s="1137"/>
      <c r="AL138" s="1137"/>
      <c r="AM138" s="1137"/>
      <c r="AN138" s="1137"/>
      <c r="AO138" s="1137"/>
      <c r="AP138" s="1137"/>
      <c r="AQ138" s="1137"/>
      <c r="AR138" s="1137"/>
      <c r="AS138" s="1137"/>
    </row>
    <row r="139" spans="1:45" s="1189" customFormat="1" ht="12" customHeight="1" thickBot="1" x14ac:dyDescent="0.3">
      <c r="A139" s="1203" t="s">
        <v>794</v>
      </c>
      <c r="B139" s="1215" t="s">
        <v>916</v>
      </c>
      <c r="C139" s="1210">
        <f>SUM(E139:AS139)</f>
        <v>0</v>
      </c>
      <c r="D139" s="1148"/>
      <c r="E139" s="1117"/>
      <c r="F139" s="1117"/>
      <c r="G139" s="1117"/>
      <c r="H139" s="1117"/>
      <c r="I139" s="1117"/>
      <c r="J139" s="1117"/>
      <c r="K139" s="1117"/>
      <c r="L139" s="1117"/>
      <c r="M139" s="1117"/>
      <c r="N139" s="1117"/>
      <c r="O139" s="1117"/>
      <c r="P139" s="1117"/>
      <c r="Q139" s="1117"/>
      <c r="R139" s="1117"/>
      <c r="S139" s="1117"/>
      <c r="T139" s="1117"/>
      <c r="U139" s="1117"/>
      <c r="V139" s="1117"/>
      <c r="W139" s="1117"/>
      <c r="X139" s="1117"/>
      <c r="Y139" s="1117"/>
      <c r="Z139" s="1137"/>
      <c r="AA139" s="1137"/>
      <c r="AB139" s="1137"/>
      <c r="AC139" s="1137"/>
      <c r="AD139" s="1137"/>
      <c r="AE139" s="1137"/>
      <c r="AF139" s="1137"/>
      <c r="AG139" s="1137"/>
      <c r="AH139" s="1137"/>
      <c r="AI139" s="1137"/>
      <c r="AJ139" s="1137"/>
      <c r="AK139" s="1137"/>
      <c r="AL139" s="1137"/>
      <c r="AM139" s="1137"/>
      <c r="AN139" s="1137"/>
      <c r="AO139" s="1137"/>
      <c r="AP139" s="1137"/>
      <c r="AQ139" s="1137"/>
      <c r="AR139" s="1137"/>
      <c r="AS139" s="1137"/>
    </row>
    <row r="140" spans="1:45" s="1189" customFormat="1" ht="12" customHeight="1" thickBot="1" x14ac:dyDescent="0.3">
      <c r="A140" s="1128" t="s">
        <v>796</v>
      </c>
      <c r="B140" s="1213" t="s">
        <v>917</v>
      </c>
      <c r="C140" s="1216">
        <f>+C141+C142+C143+C144</f>
        <v>0</v>
      </c>
      <c r="D140" s="1217">
        <f>+D141+D142+D143+D144</f>
        <v>0</v>
      </c>
      <c r="E140" s="1117"/>
      <c r="F140" s="1117"/>
      <c r="G140" s="1117"/>
      <c r="H140" s="1117"/>
      <c r="I140" s="1117"/>
      <c r="J140" s="1117"/>
      <c r="K140" s="1117"/>
      <c r="L140" s="1117"/>
      <c r="M140" s="1117"/>
      <c r="N140" s="1117"/>
      <c r="O140" s="1117"/>
      <c r="P140" s="1117"/>
      <c r="Q140" s="1117"/>
      <c r="R140" s="1117"/>
      <c r="S140" s="1117"/>
      <c r="T140" s="1117"/>
      <c r="U140" s="1117"/>
      <c r="V140" s="1117"/>
      <c r="W140" s="1117"/>
      <c r="X140" s="1117"/>
      <c r="Y140" s="1117"/>
      <c r="Z140" s="1137"/>
      <c r="AA140" s="1137"/>
      <c r="AB140" s="1137"/>
      <c r="AC140" s="1137"/>
      <c r="AD140" s="1137"/>
      <c r="AE140" s="1137"/>
      <c r="AF140" s="1137"/>
      <c r="AG140" s="1137"/>
      <c r="AH140" s="1137"/>
      <c r="AI140" s="1137"/>
      <c r="AJ140" s="1137"/>
      <c r="AK140" s="1137"/>
      <c r="AL140" s="1137"/>
      <c r="AM140" s="1137"/>
      <c r="AN140" s="1137"/>
      <c r="AO140" s="1137"/>
      <c r="AP140" s="1137"/>
      <c r="AQ140" s="1137"/>
      <c r="AR140" s="1137"/>
      <c r="AS140" s="1137"/>
    </row>
    <row r="141" spans="1:45" s="1189" customFormat="1" ht="12" customHeight="1" x14ac:dyDescent="0.25">
      <c r="A141" s="1133" t="s">
        <v>798</v>
      </c>
      <c r="B141" s="1214" t="s">
        <v>918</v>
      </c>
      <c r="C141" s="1210">
        <f>SUM(E141:AS141)</f>
        <v>0</v>
      </c>
      <c r="D141" s="1148"/>
      <c r="E141" s="1117"/>
      <c r="F141" s="1117"/>
      <c r="G141" s="1117"/>
      <c r="H141" s="1117"/>
      <c r="I141" s="1117"/>
      <c r="J141" s="1117"/>
      <c r="K141" s="1117"/>
      <c r="L141" s="1117"/>
      <c r="M141" s="1117"/>
      <c r="N141" s="1117"/>
      <c r="O141" s="1117"/>
      <c r="P141" s="1117"/>
      <c r="Q141" s="1117"/>
      <c r="R141" s="1117"/>
      <c r="S141" s="1117"/>
      <c r="T141" s="1117"/>
      <c r="U141" s="1117"/>
      <c r="V141" s="1117"/>
      <c r="W141" s="1117"/>
      <c r="X141" s="1117"/>
      <c r="Y141" s="1117"/>
      <c r="Z141" s="1137"/>
      <c r="AA141" s="1137"/>
      <c r="AB141" s="1137"/>
      <c r="AC141" s="1137"/>
      <c r="AD141" s="1137"/>
      <c r="AE141" s="1137"/>
      <c r="AF141" s="1137"/>
      <c r="AG141" s="1137"/>
      <c r="AH141" s="1137"/>
      <c r="AI141" s="1137"/>
      <c r="AJ141" s="1137"/>
      <c r="AK141" s="1137"/>
      <c r="AL141" s="1137"/>
      <c r="AM141" s="1137"/>
      <c r="AN141" s="1137"/>
      <c r="AO141" s="1137"/>
      <c r="AP141" s="1137"/>
      <c r="AQ141" s="1137"/>
      <c r="AR141" s="1137"/>
      <c r="AS141" s="1137"/>
    </row>
    <row r="142" spans="1:45" s="1189" customFormat="1" ht="12" customHeight="1" x14ac:dyDescent="0.25">
      <c r="A142" s="1133" t="s">
        <v>800</v>
      </c>
      <c r="B142" s="1214" t="s">
        <v>919</v>
      </c>
      <c r="C142" s="1210">
        <f>SUM(E142:AS142)</f>
        <v>0</v>
      </c>
      <c r="D142" s="1148"/>
      <c r="E142" s="1117"/>
      <c r="F142" s="1117"/>
      <c r="G142" s="1117"/>
      <c r="H142" s="1117"/>
      <c r="I142" s="1117"/>
      <c r="J142" s="1117"/>
      <c r="K142" s="1117"/>
      <c r="L142" s="1117"/>
      <c r="M142" s="1117"/>
      <c r="N142" s="1117"/>
      <c r="O142" s="1117"/>
      <c r="P142" s="1117"/>
      <c r="Q142" s="1117"/>
      <c r="R142" s="1117"/>
      <c r="S142" s="1117"/>
      <c r="T142" s="1117"/>
      <c r="U142" s="1117"/>
      <c r="V142" s="1117"/>
      <c r="W142" s="1117"/>
      <c r="X142" s="1117"/>
      <c r="Y142" s="1117"/>
      <c r="Z142" s="1137"/>
      <c r="AA142" s="1137"/>
      <c r="AB142" s="1137"/>
      <c r="AC142" s="1137"/>
      <c r="AD142" s="1137"/>
      <c r="AE142" s="1137"/>
      <c r="AF142" s="1137"/>
      <c r="AG142" s="1137"/>
      <c r="AH142" s="1137"/>
      <c r="AI142" s="1137"/>
      <c r="AJ142" s="1137"/>
      <c r="AK142" s="1137"/>
      <c r="AL142" s="1137"/>
      <c r="AM142" s="1137"/>
      <c r="AN142" s="1137"/>
      <c r="AO142" s="1137"/>
      <c r="AP142" s="1137"/>
      <c r="AQ142" s="1137"/>
      <c r="AR142" s="1137"/>
      <c r="AS142" s="1137"/>
    </row>
    <row r="143" spans="1:45" s="1189" customFormat="1" ht="12" customHeight="1" x14ac:dyDescent="0.25">
      <c r="A143" s="1133" t="s">
        <v>802</v>
      </c>
      <c r="B143" s="1214" t="s">
        <v>920</v>
      </c>
      <c r="C143" s="1210">
        <f>SUM(E143:AS143)</f>
        <v>0</v>
      </c>
      <c r="D143" s="1148"/>
      <c r="E143" s="1117"/>
      <c r="F143" s="1117"/>
      <c r="G143" s="1117"/>
      <c r="H143" s="1117"/>
      <c r="I143" s="1117"/>
      <c r="J143" s="1117"/>
      <c r="K143" s="1117"/>
      <c r="L143" s="1117"/>
      <c r="M143" s="1117"/>
      <c r="N143" s="1117"/>
      <c r="O143" s="1117"/>
      <c r="P143" s="1117"/>
      <c r="Q143" s="1117"/>
      <c r="R143" s="1117"/>
      <c r="S143" s="1117"/>
      <c r="T143" s="1117"/>
      <c r="U143" s="1117"/>
      <c r="V143" s="1117"/>
      <c r="W143" s="1117"/>
      <c r="X143" s="1117"/>
      <c r="Y143" s="1117"/>
      <c r="Z143" s="1137"/>
      <c r="AA143" s="1137"/>
      <c r="AB143" s="1137"/>
      <c r="AC143" s="1137"/>
      <c r="AD143" s="1137"/>
      <c r="AE143" s="1137"/>
      <c r="AF143" s="1137"/>
      <c r="AG143" s="1137"/>
      <c r="AH143" s="1137"/>
      <c r="AI143" s="1137"/>
      <c r="AJ143" s="1137"/>
      <c r="AK143" s="1137"/>
      <c r="AL143" s="1137"/>
      <c r="AM143" s="1137"/>
      <c r="AN143" s="1137"/>
      <c r="AO143" s="1137"/>
      <c r="AP143" s="1137"/>
      <c r="AQ143" s="1137"/>
      <c r="AR143" s="1137"/>
      <c r="AS143" s="1137"/>
    </row>
    <row r="144" spans="1:45" ht="12.75" customHeight="1" thickBot="1" x14ac:dyDescent="0.3">
      <c r="A144" s="1133" t="s">
        <v>804</v>
      </c>
      <c r="B144" s="1214" t="s">
        <v>921</v>
      </c>
      <c r="C144" s="1210">
        <f>SUM(E144:AS144)</f>
        <v>0</v>
      </c>
      <c r="D144" s="1148"/>
    </row>
    <row r="145" spans="1:53" ht="12" customHeight="1" thickBot="1" x14ac:dyDescent="0.3">
      <c r="A145" s="1128" t="s">
        <v>806</v>
      </c>
      <c r="B145" s="1213" t="s">
        <v>922</v>
      </c>
      <c r="C145" s="1218">
        <f>+C126+C130+C135+C140</f>
        <v>119484911</v>
      </c>
      <c r="D145" s="1219">
        <f>+D126+D130+D135+D140</f>
        <v>0</v>
      </c>
    </row>
    <row r="146" spans="1:53" s="1223" customFormat="1" ht="15" customHeight="1" thickBot="1" x14ac:dyDescent="0.3">
      <c r="A146" s="1220" t="s">
        <v>923</v>
      </c>
      <c r="B146" s="1221" t="s">
        <v>924</v>
      </c>
      <c r="C146" s="1218">
        <f>+C125+C145</f>
        <v>312735093</v>
      </c>
      <c r="D146" s="1219"/>
      <c r="E146" s="1222">
        <f>SUM(E93:E145)</f>
        <v>73462470</v>
      </c>
      <c r="F146" s="1222">
        <f t="shared" ref="F146:K146" si="9">SUM(F93:F145)</f>
        <v>4610000</v>
      </c>
      <c r="G146" s="1222">
        <f t="shared" si="9"/>
        <v>42060412</v>
      </c>
      <c r="H146" s="1222">
        <f t="shared" si="9"/>
        <v>0</v>
      </c>
      <c r="I146" s="1222">
        <f>SUM(I93:I145)</f>
        <v>0</v>
      </c>
      <c r="J146" s="1222">
        <f t="shared" si="9"/>
        <v>1189000</v>
      </c>
      <c r="K146" s="1222">
        <f t="shared" si="9"/>
        <v>0</v>
      </c>
      <c r="L146" s="1222">
        <f>SUM(L93:L145)</f>
        <v>177052717</v>
      </c>
      <c r="M146" s="1222">
        <f t="shared" ref="M146:AS146" si="10">SUM(M93:M145)</f>
        <v>1612000</v>
      </c>
      <c r="N146" s="1222">
        <f t="shared" si="10"/>
        <v>762000</v>
      </c>
      <c r="O146" s="1222">
        <f t="shared" si="10"/>
        <v>23304450</v>
      </c>
      <c r="P146" s="1222">
        <f t="shared" si="10"/>
        <v>428500</v>
      </c>
      <c r="Q146" s="1222">
        <f t="shared" si="10"/>
        <v>150000</v>
      </c>
      <c r="R146" s="1222">
        <f t="shared" si="10"/>
        <v>8836000</v>
      </c>
      <c r="S146" s="1222">
        <f t="shared" si="10"/>
        <v>5730750</v>
      </c>
      <c r="T146" s="1222">
        <f t="shared" si="10"/>
        <v>10660100</v>
      </c>
      <c r="U146" s="1222">
        <f t="shared" si="10"/>
        <v>387000</v>
      </c>
      <c r="V146" s="1222">
        <f t="shared" si="10"/>
        <v>601000</v>
      </c>
      <c r="W146" s="1222">
        <f t="shared" si="10"/>
        <v>261000</v>
      </c>
      <c r="X146" s="1222">
        <f t="shared" si="10"/>
        <v>5155000</v>
      </c>
      <c r="Y146" s="1222">
        <f t="shared" si="10"/>
        <v>838000</v>
      </c>
      <c r="Z146" s="1222">
        <f t="shared" si="10"/>
        <v>1850000</v>
      </c>
      <c r="AA146" s="1222">
        <f t="shared" si="10"/>
        <v>450000</v>
      </c>
      <c r="AB146" s="1222">
        <f t="shared" si="10"/>
        <v>568000</v>
      </c>
      <c r="AC146" s="1222">
        <f t="shared" si="10"/>
        <v>13692000</v>
      </c>
      <c r="AD146" s="1222">
        <f t="shared" si="10"/>
        <v>1143000</v>
      </c>
      <c r="AE146" s="1222">
        <f t="shared" si="10"/>
        <v>1020000</v>
      </c>
      <c r="AF146" s="1222">
        <f t="shared" si="10"/>
        <v>4800000</v>
      </c>
      <c r="AG146" s="1222">
        <f>SUM(AG93:AG145)</f>
        <v>0</v>
      </c>
      <c r="AH146" s="1222">
        <f t="shared" si="10"/>
        <v>400000</v>
      </c>
      <c r="AI146" s="1222">
        <f t="shared" si="10"/>
        <v>0</v>
      </c>
      <c r="AJ146" s="1222">
        <f t="shared" si="10"/>
        <v>0</v>
      </c>
      <c r="AK146" s="1222">
        <f t="shared" si="10"/>
        <v>128000</v>
      </c>
      <c r="AL146" s="1222">
        <f>SUM(AL93:AL145)</f>
        <v>0</v>
      </c>
      <c r="AM146" s="1222">
        <f t="shared" si="10"/>
        <v>0</v>
      </c>
      <c r="AN146" s="1222">
        <f t="shared" si="10"/>
        <v>150000</v>
      </c>
      <c r="AO146" s="1222">
        <f t="shared" si="10"/>
        <v>0</v>
      </c>
      <c r="AP146" s="1222">
        <f t="shared" si="10"/>
        <v>0</v>
      </c>
      <c r="AQ146" s="1222">
        <f t="shared" si="10"/>
        <v>2480000</v>
      </c>
      <c r="AR146" s="1222">
        <f t="shared" si="10"/>
        <v>0</v>
      </c>
      <c r="AS146" s="1222">
        <f t="shared" si="10"/>
        <v>0</v>
      </c>
      <c r="AT146" s="1222"/>
      <c r="AU146" s="1222"/>
      <c r="AV146" s="1222"/>
      <c r="AW146" s="1222"/>
      <c r="AX146" s="1222"/>
      <c r="AY146" s="1222"/>
      <c r="AZ146" s="1222"/>
      <c r="BA146" s="1222"/>
    </row>
    <row r="147" spans="1:53" ht="13.5" thickBot="1" x14ac:dyDescent="0.3"/>
    <row r="148" spans="1:53" ht="15" customHeight="1" thickBot="1" x14ac:dyDescent="0.3">
      <c r="A148" s="1227" t="s">
        <v>925</v>
      </c>
      <c r="B148" s="1228"/>
      <c r="C148" s="1229">
        <v>6</v>
      </c>
      <c r="D148" s="1230"/>
      <c r="AS148" s="1117">
        <f>SUM(E146:AS146)</f>
        <v>383781399</v>
      </c>
    </row>
    <row r="149" spans="1:53" ht="14.25" customHeight="1" thickBot="1" x14ac:dyDescent="0.3">
      <c r="A149" s="1227" t="s">
        <v>926</v>
      </c>
      <c r="B149" s="1228"/>
      <c r="C149" s="1229">
        <v>7</v>
      </c>
      <c r="D149" s="1230"/>
    </row>
    <row r="150" spans="1:53" x14ac:dyDescent="0.2">
      <c r="A150" s="1231"/>
    </row>
    <row r="153" spans="1:53" x14ac:dyDescent="0.25">
      <c r="C153" s="1232">
        <f>C88-C146</f>
        <v>0</v>
      </c>
    </row>
  </sheetData>
  <sheetProtection selectLockedCells="1" selectUnlockedCells="1"/>
  <mergeCells count="5">
    <mergeCell ref="A1:D1"/>
    <mergeCell ref="C2:D3"/>
    <mergeCell ref="C4:D4"/>
    <mergeCell ref="A7:D7"/>
    <mergeCell ref="A91:D9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2" manualBreakCount="2">
    <brk id="69" max="3" man="1"/>
    <brk id="8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L153"/>
  <sheetViews>
    <sheetView view="pageBreakPreview" zoomScaleNormal="100" zoomScaleSheetLayoutView="100" workbookViewId="0">
      <selection activeCell="E1" sqref="E1:G1048576"/>
    </sheetView>
  </sheetViews>
  <sheetFormatPr defaultRowHeight="12.75" x14ac:dyDescent="0.25"/>
  <cols>
    <col min="1" max="1" width="16.7109375" style="1224" customWidth="1"/>
    <col min="2" max="2" width="52.5703125" style="1225" customWidth="1"/>
    <col min="3" max="3" width="11" style="1226" customWidth="1"/>
    <col min="4" max="4" width="13.42578125" style="1226" customWidth="1"/>
    <col min="5" max="5" width="13.85546875" style="1117" hidden="1" customWidth="1"/>
    <col min="6" max="6" width="11" style="1117" hidden="1" customWidth="1"/>
    <col min="7" max="7" width="9.140625" style="1118" hidden="1" customWidth="1"/>
    <col min="8" max="24" width="9.140625" style="1118" customWidth="1"/>
    <col min="25" max="215" width="9.140625" style="1118"/>
    <col min="216" max="216" width="16.7109375" style="1118" customWidth="1"/>
    <col min="217" max="217" width="52.5703125" style="1118" customWidth="1"/>
    <col min="218" max="218" width="11" style="1118" customWidth="1"/>
    <col min="219" max="219" width="13.42578125" style="1118" customWidth="1"/>
    <col min="220" max="220" width="11.28515625" style="1118" customWidth="1"/>
    <col min="221" max="221" width="10.28515625" style="1118" customWidth="1"/>
    <col min="222" max="222" width="13.85546875" style="1118" customWidth="1"/>
    <col min="223" max="224" width="7.85546875" style="1118" customWidth="1"/>
    <col min="225" max="225" width="10.85546875" style="1118" customWidth="1"/>
    <col min="226" max="226" width="13" style="1118" customWidth="1"/>
    <col min="227" max="227" width="11.42578125" style="1118" customWidth="1"/>
    <col min="228" max="228" width="10" style="1118" customWidth="1"/>
    <col min="229" max="229" width="7.85546875" style="1118" customWidth="1"/>
    <col min="230" max="230" width="10.140625" style="1118" customWidth="1"/>
    <col min="231" max="232" width="7.85546875" style="1118" customWidth="1"/>
    <col min="233" max="233" width="10.85546875" style="1118" customWidth="1"/>
    <col min="234" max="234" width="10.7109375" style="1118" customWidth="1"/>
    <col min="235" max="235" width="11" style="1118" customWidth="1"/>
    <col min="236" max="238" width="7.85546875" style="1118" customWidth="1"/>
    <col min="239" max="239" width="11.28515625" style="1118" customWidth="1"/>
    <col min="240" max="240" width="12.42578125" style="1118" customWidth="1"/>
    <col min="241" max="241" width="11" style="1118" customWidth="1"/>
    <col min="242" max="243" width="7.85546875" style="1118" customWidth="1"/>
    <col min="244" max="244" width="11" style="1118" customWidth="1"/>
    <col min="245" max="245" width="10.5703125" style="1118" customWidth="1"/>
    <col min="246" max="247" width="11" style="1118" customWidth="1"/>
    <col min="248" max="252" width="7.85546875" style="1118" bestFit="1" customWidth="1"/>
    <col min="253" max="253" width="8.42578125" style="1118" bestFit="1" customWidth="1"/>
    <col min="254" max="254" width="11.42578125" style="1118" customWidth="1"/>
    <col min="255" max="255" width="7.85546875" style="1118" bestFit="1" customWidth="1"/>
    <col min="256" max="256" width="9.5703125" style="1118" customWidth="1"/>
    <col min="257" max="257" width="7.85546875" style="1118" bestFit="1" customWidth="1"/>
    <col min="258" max="258" width="12" style="1118" customWidth="1"/>
    <col min="259" max="259" width="13.42578125" style="1118" customWidth="1"/>
    <col min="260" max="260" width="9.5703125" style="1118" bestFit="1" customWidth="1"/>
    <col min="261" max="267" width="9.140625" style="1118" customWidth="1"/>
    <col min="268" max="471" width="9.140625" style="1118"/>
    <col min="472" max="472" width="16.7109375" style="1118" customWidth="1"/>
    <col min="473" max="473" width="52.5703125" style="1118" customWidth="1"/>
    <col min="474" max="474" width="11" style="1118" customWidth="1"/>
    <col min="475" max="475" width="13.42578125" style="1118" customWidth="1"/>
    <col min="476" max="476" width="11.28515625" style="1118" customWidth="1"/>
    <col min="477" max="477" width="10.28515625" style="1118" customWidth="1"/>
    <col min="478" max="478" width="13.85546875" style="1118" customWidth="1"/>
    <col min="479" max="480" width="7.85546875" style="1118" customWidth="1"/>
    <col min="481" max="481" width="10.85546875" style="1118" customWidth="1"/>
    <col min="482" max="482" width="13" style="1118" customWidth="1"/>
    <col min="483" max="483" width="11.42578125" style="1118" customWidth="1"/>
    <col min="484" max="484" width="10" style="1118" customWidth="1"/>
    <col min="485" max="485" width="7.85546875" style="1118" customWidth="1"/>
    <col min="486" max="486" width="10.140625" style="1118" customWidth="1"/>
    <col min="487" max="488" width="7.85546875" style="1118" customWidth="1"/>
    <col min="489" max="489" width="10.85546875" style="1118" customWidth="1"/>
    <col min="490" max="490" width="10.7109375" style="1118" customWidth="1"/>
    <col min="491" max="491" width="11" style="1118" customWidth="1"/>
    <col min="492" max="494" width="7.85546875" style="1118" customWidth="1"/>
    <col min="495" max="495" width="11.28515625" style="1118" customWidth="1"/>
    <col min="496" max="496" width="12.42578125" style="1118" customWidth="1"/>
    <col min="497" max="497" width="11" style="1118" customWidth="1"/>
    <col min="498" max="499" width="7.85546875" style="1118" customWidth="1"/>
    <col min="500" max="500" width="11" style="1118" customWidth="1"/>
    <col min="501" max="501" width="10.5703125" style="1118" customWidth="1"/>
    <col min="502" max="503" width="11" style="1118" customWidth="1"/>
    <col min="504" max="508" width="7.85546875" style="1118" bestFit="1" customWidth="1"/>
    <col min="509" max="509" width="8.42578125" style="1118" bestFit="1" customWidth="1"/>
    <col min="510" max="510" width="11.42578125" style="1118" customWidth="1"/>
    <col min="511" max="511" width="7.85546875" style="1118" bestFit="1" customWidth="1"/>
    <col min="512" max="512" width="9.5703125" style="1118" customWidth="1"/>
    <col min="513" max="513" width="7.85546875" style="1118" bestFit="1" customWidth="1"/>
    <col min="514" max="514" width="12" style="1118" customWidth="1"/>
    <col min="515" max="515" width="13.42578125" style="1118" customWidth="1"/>
    <col min="516" max="516" width="9.5703125" style="1118" bestFit="1" customWidth="1"/>
    <col min="517" max="523" width="9.140625" style="1118" customWidth="1"/>
    <col min="524" max="727" width="9.140625" style="1118"/>
    <col min="728" max="728" width="16.7109375" style="1118" customWidth="1"/>
    <col min="729" max="729" width="52.5703125" style="1118" customWidth="1"/>
    <col min="730" max="730" width="11" style="1118" customWidth="1"/>
    <col min="731" max="731" width="13.42578125" style="1118" customWidth="1"/>
    <col min="732" max="732" width="11.28515625" style="1118" customWidth="1"/>
    <col min="733" max="733" width="10.28515625" style="1118" customWidth="1"/>
    <col min="734" max="734" width="13.85546875" style="1118" customWidth="1"/>
    <col min="735" max="736" width="7.85546875" style="1118" customWidth="1"/>
    <col min="737" max="737" width="10.85546875" style="1118" customWidth="1"/>
    <col min="738" max="738" width="13" style="1118" customWidth="1"/>
    <col min="739" max="739" width="11.42578125" style="1118" customWidth="1"/>
    <col min="740" max="740" width="10" style="1118" customWidth="1"/>
    <col min="741" max="741" width="7.85546875" style="1118" customWidth="1"/>
    <col min="742" max="742" width="10.140625" style="1118" customWidth="1"/>
    <col min="743" max="744" width="7.85546875" style="1118" customWidth="1"/>
    <col min="745" max="745" width="10.85546875" style="1118" customWidth="1"/>
    <col min="746" max="746" width="10.7109375" style="1118" customWidth="1"/>
    <col min="747" max="747" width="11" style="1118" customWidth="1"/>
    <col min="748" max="750" width="7.85546875" style="1118" customWidth="1"/>
    <col min="751" max="751" width="11.28515625" style="1118" customWidth="1"/>
    <col min="752" max="752" width="12.42578125" style="1118" customWidth="1"/>
    <col min="753" max="753" width="11" style="1118" customWidth="1"/>
    <col min="754" max="755" width="7.85546875" style="1118" customWidth="1"/>
    <col min="756" max="756" width="11" style="1118" customWidth="1"/>
    <col min="757" max="757" width="10.5703125" style="1118" customWidth="1"/>
    <col min="758" max="759" width="11" style="1118" customWidth="1"/>
    <col min="760" max="764" width="7.85546875" style="1118" bestFit="1" customWidth="1"/>
    <col min="765" max="765" width="8.42578125" style="1118" bestFit="1" customWidth="1"/>
    <col min="766" max="766" width="11.42578125" style="1118" customWidth="1"/>
    <col min="767" max="767" width="7.85546875" style="1118" bestFit="1" customWidth="1"/>
    <col min="768" max="768" width="9.5703125" style="1118" customWidth="1"/>
    <col min="769" max="769" width="7.85546875" style="1118" bestFit="1" customWidth="1"/>
    <col min="770" max="770" width="12" style="1118" customWidth="1"/>
    <col min="771" max="771" width="13.42578125" style="1118" customWidth="1"/>
    <col min="772" max="772" width="9.5703125" style="1118" bestFit="1" customWidth="1"/>
    <col min="773" max="779" width="9.140625" style="1118" customWidth="1"/>
    <col min="780" max="983" width="9.140625" style="1118"/>
    <col min="984" max="984" width="16.7109375" style="1118" customWidth="1"/>
    <col min="985" max="985" width="52.5703125" style="1118" customWidth="1"/>
    <col min="986" max="986" width="11" style="1118" customWidth="1"/>
    <col min="987" max="987" width="13.42578125" style="1118" customWidth="1"/>
    <col min="988" max="988" width="11.28515625" style="1118" customWidth="1"/>
    <col min="989" max="989" width="10.28515625" style="1118" customWidth="1"/>
    <col min="990" max="990" width="13.85546875" style="1118" customWidth="1"/>
    <col min="991" max="992" width="7.85546875" style="1118" customWidth="1"/>
    <col min="993" max="993" width="10.85546875" style="1118" customWidth="1"/>
    <col min="994" max="994" width="13" style="1118" customWidth="1"/>
    <col min="995" max="995" width="11.42578125" style="1118" customWidth="1"/>
    <col min="996" max="996" width="10" style="1118" customWidth="1"/>
    <col min="997" max="997" width="7.85546875" style="1118" customWidth="1"/>
    <col min="998" max="998" width="10.140625" style="1118" customWidth="1"/>
    <col min="999" max="1000" width="7.85546875" style="1118" customWidth="1"/>
    <col min="1001" max="1001" width="10.85546875" style="1118" customWidth="1"/>
    <col min="1002" max="1002" width="10.7109375" style="1118" customWidth="1"/>
    <col min="1003" max="1003" width="11" style="1118" customWidth="1"/>
    <col min="1004" max="1006" width="7.85546875" style="1118" customWidth="1"/>
    <col min="1007" max="1007" width="11.28515625" style="1118" customWidth="1"/>
    <col min="1008" max="1008" width="12.42578125" style="1118" customWidth="1"/>
    <col min="1009" max="1009" width="11" style="1118" customWidth="1"/>
    <col min="1010" max="1011" width="7.85546875" style="1118" customWidth="1"/>
    <col min="1012" max="1012" width="11" style="1118" customWidth="1"/>
    <col min="1013" max="1013" width="10.5703125" style="1118" customWidth="1"/>
    <col min="1014" max="1015" width="11" style="1118" customWidth="1"/>
    <col min="1016" max="1020" width="7.85546875" style="1118" bestFit="1" customWidth="1"/>
    <col min="1021" max="1021" width="8.42578125" style="1118" bestFit="1" customWidth="1"/>
    <col min="1022" max="1022" width="11.42578125" style="1118" customWidth="1"/>
    <col min="1023" max="1023" width="7.85546875" style="1118" bestFit="1" customWidth="1"/>
    <col min="1024" max="1024" width="9.5703125" style="1118" customWidth="1"/>
    <col min="1025" max="1025" width="7.85546875" style="1118" bestFit="1" customWidth="1"/>
    <col min="1026" max="1026" width="12" style="1118" customWidth="1"/>
    <col min="1027" max="1027" width="13.42578125" style="1118" customWidth="1"/>
    <col min="1028" max="1028" width="9.5703125" style="1118" bestFit="1" customWidth="1"/>
    <col min="1029" max="1035" width="9.140625" style="1118" customWidth="1"/>
    <col min="1036" max="1239" width="9.140625" style="1118"/>
    <col min="1240" max="1240" width="16.7109375" style="1118" customWidth="1"/>
    <col min="1241" max="1241" width="52.5703125" style="1118" customWidth="1"/>
    <col min="1242" max="1242" width="11" style="1118" customWidth="1"/>
    <col min="1243" max="1243" width="13.42578125" style="1118" customWidth="1"/>
    <col min="1244" max="1244" width="11.28515625" style="1118" customWidth="1"/>
    <col min="1245" max="1245" width="10.28515625" style="1118" customWidth="1"/>
    <col min="1246" max="1246" width="13.85546875" style="1118" customWidth="1"/>
    <col min="1247" max="1248" width="7.85546875" style="1118" customWidth="1"/>
    <col min="1249" max="1249" width="10.85546875" style="1118" customWidth="1"/>
    <col min="1250" max="1250" width="13" style="1118" customWidth="1"/>
    <col min="1251" max="1251" width="11.42578125" style="1118" customWidth="1"/>
    <col min="1252" max="1252" width="10" style="1118" customWidth="1"/>
    <col min="1253" max="1253" width="7.85546875" style="1118" customWidth="1"/>
    <col min="1254" max="1254" width="10.140625" style="1118" customWidth="1"/>
    <col min="1255" max="1256" width="7.85546875" style="1118" customWidth="1"/>
    <col min="1257" max="1257" width="10.85546875" style="1118" customWidth="1"/>
    <col min="1258" max="1258" width="10.7109375" style="1118" customWidth="1"/>
    <col min="1259" max="1259" width="11" style="1118" customWidth="1"/>
    <col min="1260" max="1262" width="7.85546875" style="1118" customWidth="1"/>
    <col min="1263" max="1263" width="11.28515625" style="1118" customWidth="1"/>
    <col min="1264" max="1264" width="12.42578125" style="1118" customWidth="1"/>
    <col min="1265" max="1265" width="11" style="1118" customWidth="1"/>
    <col min="1266" max="1267" width="7.85546875" style="1118" customWidth="1"/>
    <col min="1268" max="1268" width="11" style="1118" customWidth="1"/>
    <col min="1269" max="1269" width="10.5703125" style="1118" customWidth="1"/>
    <col min="1270" max="1271" width="11" style="1118" customWidth="1"/>
    <col min="1272" max="1276" width="7.85546875" style="1118" bestFit="1" customWidth="1"/>
    <col min="1277" max="1277" width="8.42578125" style="1118" bestFit="1" customWidth="1"/>
    <col min="1278" max="1278" width="11.42578125" style="1118" customWidth="1"/>
    <col min="1279" max="1279" width="7.85546875" style="1118" bestFit="1" customWidth="1"/>
    <col min="1280" max="1280" width="9.5703125" style="1118" customWidth="1"/>
    <col min="1281" max="1281" width="7.85546875" style="1118" bestFit="1" customWidth="1"/>
    <col min="1282" max="1282" width="12" style="1118" customWidth="1"/>
    <col min="1283" max="1283" width="13.42578125" style="1118" customWidth="1"/>
    <col min="1284" max="1284" width="9.5703125" style="1118" bestFit="1" customWidth="1"/>
    <col min="1285" max="1291" width="9.140625" style="1118" customWidth="1"/>
    <col min="1292" max="1495" width="9.140625" style="1118"/>
    <col min="1496" max="1496" width="16.7109375" style="1118" customWidth="1"/>
    <col min="1497" max="1497" width="52.5703125" style="1118" customWidth="1"/>
    <col min="1498" max="1498" width="11" style="1118" customWidth="1"/>
    <col min="1499" max="1499" width="13.42578125" style="1118" customWidth="1"/>
    <col min="1500" max="1500" width="11.28515625" style="1118" customWidth="1"/>
    <col min="1501" max="1501" width="10.28515625" style="1118" customWidth="1"/>
    <col min="1502" max="1502" width="13.85546875" style="1118" customWidth="1"/>
    <col min="1503" max="1504" width="7.85546875" style="1118" customWidth="1"/>
    <col min="1505" max="1505" width="10.85546875" style="1118" customWidth="1"/>
    <col min="1506" max="1506" width="13" style="1118" customWidth="1"/>
    <col min="1507" max="1507" width="11.42578125" style="1118" customWidth="1"/>
    <col min="1508" max="1508" width="10" style="1118" customWidth="1"/>
    <col min="1509" max="1509" width="7.85546875" style="1118" customWidth="1"/>
    <col min="1510" max="1510" width="10.140625" style="1118" customWidth="1"/>
    <col min="1511" max="1512" width="7.85546875" style="1118" customWidth="1"/>
    <col min="1513" max="1513" width="10.85546875" style="1118" customWidth="1"/>
    <col min="1514" max="1514" width="10.7109375" style="1118" customWidth="1"/>
    <col min="1515" max="1515" width="11" style="1118" customWidth="1"/>
    <col min="1516" max="1518" width="7.85546875" style="1118" customWidth="1"/>
    <col min="1519" max="1519" width="11.28515625" style="1118" customWidth="1"/>
    <col min="1520" max="1520" width="12.42578125" style="1118" customWidth="1"/>
    <col min="1521" max="1521" width="11" style="1118" customWidth="1"/>
    <col min="1522" max="1523" width="7.85546875" style="1118" customWidth="1"/>
    <col min="1524" max="1524" width="11" style="1118" customWidth="1"/>
    <col min="1525" max="1525" width="10.5703125" style="1118" customWidth="1"/>
    <col min="1526" max="1527" width="11" style="1118" customWidth="1"/>
    <col min="1528" max="1532" width="7.85546875" style="1118" bestFit="1" customWidth="1"/>
    <col min="1533" max="1533" width="8.42578125" style="1118" bestFit="1" customWidth="1"/>
    <col min="1534" max="1534" width="11.42578125" style="1118" customWidth="1"/>
    <col min="1535" max="1535" width="7.85546875" style="1118" bestFit="1" customWidth="1"/>
    <col min="1536" max="1536" width="9.5703125" style="1118" customWidth="1"/>
    <col min="1537" max="1537" width="7.85546875" style="1118" bestFit="1" customWidth="1"/>
    <col min="1538" max="1538" width="12" style="1118" customWidth="1"/>
    <col min="1539" max="1539" width="13.42578125" style="1118" customWidth="1"/>
    <col min="1540" max="1540" width="9.5703125" style="1118" bestFit="1" customWidth="1"/>
    <col min="1541" max="1547" width="9.140625" style="1118" customWidth="1"/>
    <col min="1548" max="1751" width="9.140625" style="1118"/>
    <col min="1752" max="1752" width="16.7109375" style="1118" customWidth="1"/>
    <col min="1753" max="1753" width="52.5703125" style="1118" customWidth="1"/>
    <col min="1754" max="1754" width="11" style="1118" customWidth="1"/>
    <col min="1755" max="1755" width="13.42578125" style="1118" customWidth="1"/>
    <col min="1756" max="1756" width="11.28515625" style="1118" customWidth="1"/>
    <col min="1757" max="1757" width="10.28515625" style="1118" customWidth="1"/>
    <col min="1758" max="1758" width="13.85546875" style="1118" customWidth="1"/>
    <col min="1759" max="1760" width="7.85546875" style="1118" customWidth="1"/>
    <col min="1761" max="1761" width="10.85546875" style="1118" customWidth="1"/>
    <col min="1762" max="1762" width="13" style="1118" customWidth="1"/>
    <col min="1763" max="1763" width="11.42578125" style="1118" customWidth="1"/>
    <col min="1764" max="1764" width="10" style="1118" customWidth="1"/>
    <col min="1765" max="1765" width="7.85546875" style="1118" customWidth="1"/>
    <col min="1766" max="1766" width="10.140625" style="1118" customWidth="1"/>
    <col min="1767" max="1768" width="7.85546875" style="1118" customWidth="1"/>
    <col min="1769" max="1769" width="10.85546875" style="1118" customWidth="1"/>
    <col min="1770" max="1770" width="10.7109375" style="1118" customWidth="1"/>
    <col min="1771" max="1771" width="11" style="1118" customWidth="1"/>
    <col min="1772" max="1774" width="7.85546875" style="1118" customWidth="1"/>
    <col min="1775" max="1775" width="11.28515625" style="1118" customWidth="1"/>
    <col min="1776" max="1776" width="12.42578125" style="1118" customWidth="1"/>
    <col min="1777" max="1777" width="11" style="1118" customWidth="1"/>
    <col min="1778" max="1779" width="7.85546875" style="1118" customWidth="1"/>
    <col min="1780" max="1780" width="11" style="1118" customWidth="1"/>
    <col min="1781" max="1781" width="10.5703125" style="1118" customWidth="1"/>
    <col min="1782" max="1783" width="11" style="1118" customWidth="1"/>
    <col min="1784" max="1788" width="7.85546875" style="1118" bestFit="1" customWidth="1"/>
    <col min="1789" max="1789" width="8.42578125" style="1118" bestFit="1" customWidth="1"/>
    <col min="1790" max="1790" width="11.42578125" style="1118" customWidth="1"/>
    <col min="1791" max="1791" width="7.85546875" style="1118" bestFit="1" customWidth="1"/>
    <col min="1792" max="1792" width="9.5703125" style="1118" customWidth="1"/>
    <col min="1793" max="1793" width="7.85546875" style="1118" bestFit="1" customWidth="1"/>
    <col min="1794" max="1794" width="12" style="1118" customWidth="1"/>
    <col min="1795" max="1795" width="13.42578125" style="1118" customWidth="1"/>
    <col min="1796" max="1796" width="9.5703125" style="1118" bestFit="1" customWidth="1"/>
    <col min="1797" max="1803" width="9.140625" style="1118" customWidth="1"/>
    <col min="1804" max="2007" width="9.140625" style="1118"/>
    <col min="2008" max="2008" width="16.7109375" style="1118" customWidth="1"/>
    <col min="2009" max="2009" width="52.5703125" style="1118" customWidth="1"/>
    <col min="2010" max="2010" width="11" style="1118" customWidth="1"/>
    <col min="2011" max="2011" width="13.42578125" style="1118" customWidth="1"/>
    <col min="2012" max="2012" width="11.28515625" style="1118" customWidth="1"/>
    <col min="2013" max="2013" width="10.28515625" style="1118" customWidth="1"/>
    <col min="2014" max="2014" width="13.85546875" style="1118" customWidth="1"/>
    <col min="2015" max="2016" width="7.85546875" style="1118" customWidth="1"/>
    <col min="2017" max="2017" width="10.85546875" style="1118" customWidth="1"/>
    <col min="2018" max="2018" width="13" style="1118" customWidth="1"/>
    <col min="2019" max="2019" width="11.42578125" style="1118" customWidth="1"/>
    <col min="2020" max="2020" width="10" style="1118" customWidth="1"/>
    <col min="2021" max="2021" width="7.85546875" style="1118" customWidth="1"/>
    <col min="2022" max="2022" width="10.140625" style="1118" customWidth="1"/>
    <col min="2023" max="2024" width="7.85546875" style="1118" customWidth="1"/>
    <col min="2025" max="2025" width="10.85546875" style="1118" customWidth="1"/>
    <col min="2026" max="2026" width="10.7109375" style="1118" customWidth="1"/>
    <col min="2027" max="2027" width="11" style="1118" customWidth="1"/>
    <col min="2028" max="2030" width="7.85546875" style="1118" customWidth="1"/>
    <col min="2031" max="2031" width="11.28515625" style="1118" customWidth="1"/>
    <col min="2032" max="2032" width="12.42578125" style="1118" customWidth="1"/>
    <col min="2033" max="2033" width="11" style="1118" customWidth="1"/>
    <col min="2034" max="2035" width="7.85546875" style="1118" customWidth="1"/>
    <col min="2036" max="2036" width="11" style="1118" customWidth="1"/>
    <col min="2037" max="2037" width="10.5703125" style="1118" customWidth="1"/>
    <col min="2038" max="2039" width="11" style="1118" customWidth="1"/>
    <col min="2040" max="2044" width="7.85546875" style="1118" bestFit="1" customWidth="1"/>
    <col min="2045" max="2045" width="8.42578125" style="1118" bestFit="1" customWidth="1"/>
    <col min="2046" max="2046" width="11.42578125" style="1118" customWidth="1"/>
    <col min="2047" max="2047" width="7.85546875" style="1118" bestFit="1" customWidth="1"/>
    <col min="2048" max="2048" width="9.5703125" style="1118" customWidth="1"/>
    <col min="2049" max="2049" width="7.85546875" style="1118" bestFit="1" customWidth="1"/>
    <col min="2050" max="2050" width="12" style="1118" customWidth="1"/>
    <col min="2051" max="2051" width="13.42578125" style="1118" customWidth="1"/>
    <col min="2052" max="2052" width="9.5703125" style="1118" bestFit="1" customWidth="1"/>
    <col min="2053" max="2059" width="9.140625" style="1118" customWidth="1"/>
    <col min="2060" max="2263" width="9.140625" style="1118"/>
    <col min="2264" max="2264" width="16.7109375" style="1118" customWidth="1"/>
    <col min="2265" max="2265" width="52.5703125" style="1118" customWidth="1"/>
    <col min="2266" max="2266" width="11" style="1118" customWidth="1"/>
    <col min="2267" max="2267" width="13.42578125" style="1118" customWidth="1"/>
    <col min="2268" max="2268" width="11.28515625" style="1118" customWidth="1"/>
    <col min="2269" max="2269" width="10.28515625" style="1118" customWidth="1"/>
    <col min="2270" max="2270" width="13.85546875" style="1118" customWidth="1"/>
    <col min="2271" max="2272" width="7.85546875" style="1118" customWidth="1"/>
    <col min="2273" max="2273" width="10.85546875" style="1118" customWidth="1"/>
    <col min="2274" max="2274" width="13" style="1118" customWidth="1"/>
    <col min="2275" max="2275" width="11.42578125" style="1118" customWidth="1"/>
    <col min="2276" max="2276" width="10" style="1118" customWidth="1"/>
    <col min="2277" max="2277" width="7.85546875" style="1118" customWidth="1"/>
    <col min="2278" max="2278" width="10.140625" style="1118" customWidth="1"/>
    <col min="2279" max="2280" width="7.85546875" style="1118" customWidth="1"/>
    <col min="2281" max="2281" width="10.85546875" style="1118" customWidth="1"/>
    <col min="2282" max="2282" width="10.7109375" style="1118" customWidth="1"/>
    <col min="2283" max="2283" width="11" style="1118" customWidth="1"/>
    <col min="2284" max="2286" width="7.85546875" style="1118" customWidth="1"/>
    <col min="2287" max="2287" width="11.28515625" style="1118" customWidth="1"/>
    <col min="2288" max="2288" width="12.42578125" style="1118" customWidth="1"/>
    <col min="2289" max="2289" width="11" style="1118" customWidth="1"/>
    <col min="2290" max="2291" width="7.85546875" style="1118" customWidth="1"/>
    <col min="2292" max="2292" width="11" style="1118" customWidth="1"/>
    <col min="2293" max="2293" width="10.5703125" style="1118" customWidth="1"/>
    <col min="2294" max="2295" width="11" style="1118" customWidth="1"/>
    <col min="2296" max="2300" width="7.85546875" style="1118" bestFit="1" customWidth="1"/>
    <col min="2301" max="2301" width="8.42578125" style="1118" bestFit="1" customWidth="1"/>
    <col min="2302" max="2302" width="11.42578125" style="1118" customWidth="1"/>
    <col min="2303" max="2303" width="7.85546875" style="1118" bestFit="1" customWidth="1"/>
    <col min="2304" max="2304" width="9.5703125" style="1118" customWidth="1"/>
    <col min="2305" max="2305" width="7.85546875" style="1118" bestFit="1" customWidth="1"/>
    <col min="2306" max="2306" width="12" style="1118" customWidth="1"/>
    <col min="2307" max="2307" width="13.42578125" style="1118" customWidth="1"/>
    <col min="2308" max="2308" width="9.5703125" style="1118" bestFit="1" customWidth="1"/>
    <col min="2309" max="2315" width="9.140625" style="1118" customWidth="1"/>
    <col min="2316" max="2519" width="9.140625" style="1118"/>
    <col min="2520" max="2520" width="16.7109375" style="1118" customWidth="1"/>
    <col min="2521" max="2521" width="52.5703125" style="1118" customWidth="1"/>
    <col min="2522" max="2522" width="11" style="1118" customWidth="1"/>
    <col min="2523" max="2523" width="13.42578125" style="1118" customWidth="1"/>
    <col min="2524" max="2524" width="11.28515625" style="1118" customWidth="1"/>
    <col min="2525" max="2525" width="10.28515625" style="1118" customWidth="1"/>
    <col min="2526" max="2526" width="13.85546875" style="1118" customWidth="1"/>
    <col min="2527" max="2528" width="7.85546875" style="1118" customWidth="1"/>
    <col min="2529" max="2529" width="10.85546875" style="1118" customWidth="1"/>
    <col min="2530" max="2530" width="13" style="1118" customWidth="1"/>
    <col min="2531" max="2531" width="11.42578125" style="1118" customWidth="1"/>
    <col min="2532" max="2532" width="10" style="1118" customWidth="1"/>
    <col min="2533" max="2533" width="7.85546875" style="1118" customWidth="1"/>
    <col min="2534" max="2534" width="10.140625" style="1118" customWidth="1"/>
    <col min="2535" max="2536" width="7.85546875" style="1118" customWidth="1"/>
    <col min="2537" max="2537" width="10.85546875" style="1118" customWidth="1"/>
    <col min="2538" max="2538" width="10.7109375" style="1118" customWidth="1"/>
    <col min="2539" max="2539" width="11" style="1118" customWidth="1"/>
    <col min="2540" max="2542" width="7.85546875" style="1118" customWidth="1"/>
    <col min="2543" max="2543" width="11.28515625" style="1118" customWidth="1"/>
    <col min="2544" max="2544" width="12.42578125" style="1118" customWidth="1"/>
    <col min="2545" max="2545" width="11" style="1118" customWidth="1"/>
    <col min="2546" max="2547" width="7.85546875" style="1118" customWidth="1"/>
    <col min="2548" max="2548" width="11" style="1118" customWidth="1"/>
    <col min="2549" max="2549" width="10.5703125" style="1118" customWidth="1"/>
    <col min="2550" max="2551" width="11" style="1118" customWidth="1"/>
    <col min="2552" max="2556" width="7.85546875" style="1118" bestFit="1" customWidth="1"/>
    <col min="2557" max="2557" width="8.42578125" style="1118" bestFit="1" customWidth="1"/>
    <col min="2558" max="2558" width="11.42578125" style="1118" customWidth="1"/>
    <col min="2559" max="2559" width="7.85546875" style="1118" bestFit="1" customWidth="1"/>
    <col min="2560" max="2560" width="9.5703125" style="1118" customWidth="1"/>
    <col min="2561" max="2561" width="7.85546875" style="1118" bestFit="1" customWidth="1"/>
    <col min="2562" max="2562" width="12" style="1118" customWidth="1"/>
    <col min="2563" max="2563" width="13.42578125" style="1118" customWidth="1"/>
    <col min="2564" max="2564" width="9.5703125" style="1118" bestFit="1" customWidth="1"/>
    <col min="2565" max="2571" width="9.140625" style="1118" customWidth="1"/>
    <col min="2572" max="2775" width="9.140625" style="1118"/>
    <col min="2776" max="2776" width="16.7109375" style="1118" customWidth="1"/>
    <col min="2777" max="2777" width="52.5703125" style="1118" customWidth="1"/>
    <col min="2778" max="2778" width="11" style="1118" customWidth="1"/>
    <col min="2779" max="2779" width="13.42578125" style="1118" customWidth="1"/>
    <col min="2780" max="2780" width="11.28515625" style="1118" customWidth="1"/>
    <col min="2781" max="2781" width="10.28515625" style="1118" customWidth="1"/>
    <col min="2782" max="2782" width="13.85546875" style="1118" customWidth="1"/>
    <col min="2783" max="2784" width="7.85546875" style="1118" customWidth="1"/>
    <col min="2785" max="2785" width="10.85546875" style="1118" customWidth="1"/>
    <col min="2786" max="2786" width="13" style="1118" customWidth="1"/>
    <col min="2787" max="2787" width="11.42578125" style="1118" customWidth="1"/>
    <col min="2788" max="2788" width="10" style="1118" customWidth="1"/>
    <col min="2789" max="2789" width="7.85546875" style="1118" customWidth="1"/>
    <col min="2790" max="2790" width="10.140625" style="1118" customWidth="1"/>
    <col min="2791" max="2792" width="7.85546875" style="1118" customWidth="1"/>
    <col min="2793" max="2793" width="10.85546875" style="1118" customWidth="1"/>
    <col min="2794" max="2794" width="10.7109375" style="1118" customWidth="1"/>
    <col min="2795" max="2795" width="11" style="1118" customWidth="1"/>
    <col min="2796" max="2798" width="7.85546875" style="1118" customWidth="1"/>
    <col min="2799" max="2799" width="11.28515625" style="1118" customWidth="1"/>
    <col min="2800" max="2800" width="12.42578125" style="1118" customWidth="1"/>
    <col min="2801" max="2801" width="11" style="1118" customWidth="1"/>
    <col min="2802" max="2803" width="7.85546875" style="1118" customWidth="1"/>
    <col min="2804" max="2804" width="11" style="1118" customWidth="1"/>
    <col min="2805" max="2805" width="10.5703125" style="1118" customWidth="1"/>
    <col min="2806" max="2807" width="11" style="1118" customWidth="1"/>
    <col min="2808" max="2812" width="7.85546875" style="1118" bestFit="1" customWidth="1"/>
    <col min="2813" max="2813" width="8.42578125" style="1118" bestFit="1" customWidth="1"/>
    <col min="2814" max="2814" width="11.42578125" style="1118" customWidth="1"/>
    <col min="2815" max="2815" width="7.85546875" style="1118" bestFit="1" customWidth="1"/>
    <col min="2816" max="2816" width="9.5703125" style="1118" customWidth="1"/>
    <col min="2817" max="2817" width="7.85546875" style="1118" bestFit="1" customWidth="1"/>
    <col min="2818" max="2818" width="12" style="1118" customWidth="1"/>
    <col min="2819" max="2819" width="13.42578125" style="1118" customWidth="1"/>
    <col min="2820" max="2820" width="9.5703125" style="1118" bestFit="1" customWidth="1"/>
    <col min="2821" max="2827" width="9.140625" style="1118" customWidth="1"/>
    <col min="2828" max="3031" width="9.140625" style="1118"/>
    <col min="3032" max="3032" width="16.7109375" style="1118" customWidth="1"/>
    <col min="3033" max="3033" width="52.5703125" style="1118" customWidth="1"/>
    <col min="3034" max="3034" width="11" style="1118" customWidth="1"/>
    <col min="3035" max="3035" width="13.42578125" style="1118" customWidth="1"/>
    <col min="3036" max="3036" width="11.28515625" style="1118" customWidth="1"/>
    <col min="3037" max="3037" width="10.28515625" style="1118" customWidth="1"/>
    <col min="3038" max="3038" width="13.85546875" style="1118" customWidth="1"/>
    <col min="3039" max="3040" width="7.85546875" style="1118" customWidth="1"/>
    <col min="3041" max="3041" width="10.85546875" style="1118" customWidth="1"/>
    <col min="3042" max="3042" width="13" style="1118" customWidth="1"/>
    <col min="3043" max="3043" width="11.42578125" style="1118" customWidth="1"/>
    <col min="3044" max="3044" width="10" style="1118" customWidth="1"/>
    <col min="3045" max="3045" width="7.85546875" style="1118" customWidth="1"/>
    <col min="3046" max="3046" width="10.140625" style="1118" customWidth="1"/>
    <col min="3047" max="3048" width="7.85546875" style="1118" customWidth="1"/>
    <col min="3049" max="3049" width="10.85546875" style="1118" customWidth="1"/>
    <col min="3050" max="3050" width="10.7109375" style="1118" customWidth="1"/>
    <col min="3051" max="3051" width="11" style="1118" customWidth="1"/>
    <col min="3052" max="3054" width="7.85546875" style="1118" customWidth="1"/>
    <col min="3055" max="3055" width="11.28515625" style="1118" customWidth="1"/>
    <col min="3056" max="3056" width="12.42578125" style="1118" customWidth="1"/>
    <col min="3057" max="3057" width="11" style="1118" customWidth="1"/>
    <col min="3058" max="3059" width="7.85546875" style="1118" customWidth="1"/>
    <col min="3060" max="3060" width="11" style="1118" customWidth="1"/>
    <col min="3061" max="3061" width="10.5703125" style="1118" customWidth="1"/>
    <col min="3062" max="3063" width="11" style="1118" customWidth="1"/>
    <col min="3064" max="3068" width="7.85546875" style="1118" bestFit="1" customWidth="1"/>
    <col min="3069" max="3069" width="8.42578125" style="1118" bestFit="1" customWidth="1"/>
    <col min="3070" max="3070" width="11.42578125" style="1118" customWidth="1"/>
    <col min="3071" max="3071" width="7.85546875" style="1118" bestFit="1" customWidth="1"/>
    <col min="3072" max="3072" width="9.5703125" style="1118" customWidth="1"/>
    <col min="3073" max="3073" width="7.85546875" style="1118" bestFit="1" customWidth="1"/>
    <col min="3074" max="3074" width="12" style="1118" customWidth="1"/>
    <col min="3075" max="3075" width="13.42578125" style="1118" customWidth="1"/>
    <col min="3076" max="3076" width="9.5703125" style="1118" bestFit="1" customWidth="1"/>
    <col min="3077" max="3083" width="9.140625" style="1118" customWidth="1"/>
    <col min="3084" max="3287" width="9.140625" style="1118"/>
    <col min="3288" max="3288" width="16.7109375" style="1118" customWidth="1"/>
    <col min="3289" max="3289" width="52.5703125" style="1118" customWidth="1"/>
    <col min="3290" max="3290" width="11" style="1118" customWidth="1"/>
    <col min="3291" max="3291" width="13.42578125" style="1118" customWidth="1"/>
    <col min="3292" max="3292" width="11.28515625" style="1118" customWidth="1"/>
    <col min="3293" max="3293" width="10.28515625" style="1118" customWidth="1"/>
    <col min="3294" max="3294" width="13.85546875" style="1118" customWidth="1"/>
    <col min="3295" max="3296" width="7.85546875" style="1118" customWidth="1"/>
    <col min="3297" max="3297" width="10.85546875" style="1118" customWidth="1"/>
    <col min="3298" max="3298" width="13" style="1118" customWidth="1"/>
    <col min="3299" max="3299" width="11.42578125" style="1118" customWidth="1"/>
    <col min="3300" max="3300" width="10" style="1118" customWidth="1"/>
    <col min="3301" max="3301" width="7.85546875" style="1118" customWidth="1"/>
    <col min="3302" max="3302" width="10.140625" style="1118" customWidth="1"/>
    <col min="3303" max="3304" width="7.85546875" style="1118" customWidth="1"/>
    <col min="3305" max="3305" width="10.85546875" style="1118" customWidth="1"/>
    <col min="3306" max="3306" width="10.7109375" style="1118" customWidth="1"/>
    <col min="3307" max="3307" width="11" style="1118" customWidth="1"/>
    <col min="3308" max="3310" width="7.85546875" style="1118" customWidth="1"/>
    <col min="3311" max="3311" width="11.28515625" style="1118" customWidth="1"/>
    <col min="3312" max="3312" width="12.42578125" style="1118" customWidth="1"/>
    <col min="3313" max="3313" width="11" style="1118" customWidth="1"/>
    <col min="3314" max="3315" width="7.85546875" style="1118" customWidth="1"/>
    <col min="3316" max="3316" width="11" style="1118" customWidth="1"/>
    <col min="3317" max="3317" width="10.5703125" style="1118" customWidth="1"/>
    <col min="3318" max="3319" width="11" style="1118" customWidth="1"/>
    <col min="3320" max="3324" width="7.85546875" style="1118" bestFit="1" customWidth="1"/>
    <col min="3325" max="3325" width="8.42578125" style="1118" bestFit="1" customWidth="1"/>
    <col min="3326" max="3326" width="11.42578125" style="1118" customWidth="1"/>
    <col min="3327" max="3327" width="7.85546875" style="1118" bestFit="1" customWidth="1"/>
    <col min="3328" max="3328" width="9.5703125" style="1118" customWidth="1"/>
    <col min="3329" max="3329" width="7.85546875" style="1118" bestFit="1" customWidth="1"/>
    <col min="3330" max="3330" width="12" style="1118" customWidth="1"/>
    <col min="3331" max="3331" width="13.42578125" style="1118" customWidth="1"/>
    <col min="3332" max="3332" width="9.5703125" style="1118" bestFit="1" customWidth="1"/>
    <col min="3333" max="3339" width="9.140625" style="1118" customWidth="1"/>
    <col min="3340" max="3543" width="9.140625" style="1118"/>
    <col min="3544" max="3544" width="16.7109375" style="1118" customWidth="1"/>
    <col min="3545" max="3545" width="52.5703125" style="1118" customWidth="1"/>
    <col min="3546" max="3546" width="11" style="1118" customWidth="1"/>
    <col min="3547" max="3547" width="13.42578125" style="1118" customWidth="1"/>
    <col min="3548" max="3548" width="11.28515625" style="1118" customWidth="1"/>
    <col min="3549" max="3549" width="10.28515625" style="1118" customWidth="1"/>
    <col min="3550" max="3550" width="13.85546875" style="1118" customWidth="1"/>
    <col min="3551" max="3552" width="7.85546875" style="1118" customWidth="1"/>
    <col min="3553" max="3553" width="10.85546875" style="1118" customWidth="1"/>
    <col min="3554" max="3554" width="13" style="1118" customWidth="1"/>
    <col min="3555" max="3555" width="11.42578125" style="1118" customWidth="1"/>
    <col min="3556" max="3556" width="10" style="1118" customWidth="1"/>
    <col min="3557" max="3557" width="7.85546875" style="1118" customWidth="1"/>
    <col min="3558" max="3558" width="10.140625" style="1118" customWidth="1"/>
    <col min="3559" max="3560" width="7.85546875" style="1118" customWidth="1"/>
    <col min="3561" max="3561" width="10.85546875" style="1118" customWidth="1"/>
    <col min="3562" max="3562" width="10.7109375" style="1118" customWidth="1"/>
    <col min="3563" max="3563" width="11" style="1118" customWidth="1"/>
    <col min="3564" max="3566" width="7.85546875" style="1118" customWidth="1"/>
    <col min="3567" max="3567" width="11.28515625" style="1118" customWidth="1"/>
    <col min="3568" max="3568" width="12.42578125" style="1118" customWidth="1"/>
    <col min="3569" max="3569" width="11" style="1118" customWidth="1"/>
    <col min="3570" max="3571" width="7.85546875" style="1118" customWidth="1"/>
    <col min="3572" max="3572" width="11" style="1118" customWidth="1"/>
    <col min="3573" max="3573" width="10.5703125" style="1118" customWidth="1"/>
    <col min="3574" max="3575" width="11" style="1118" customWidth="1"/>
    <col min="3576" max="3580" width="7.85546875" style="1118" bestFit="1" customWidth="1"/>
    <col min="3581" max="3581" width="8.42578125" style="1118" bestFit="1" customWidth="1"/>
    <col min="3582" max="3582" width="11.42578125" style="1118" customWidth="1"/>
    <col min="3583" max="3583" width="7.85546875" style="1118" bestFit="1" customWidth="1"/>
    <col min="3584" max="3584" width="9.5703125" style="1118" customWidth="1"/>
    <col min="3585" max="3585" width="7.85546875" style="1118" bestFit="1" customWidth="1"/>
    <col min="3586" max="3586" width="12" style="1118" customWidth="1"/>
    <col min="3587" max="3587" width="13.42578125" style="1118" customWidth="1"/>
    <col min="3588" max="3588" width="9.5703125" style="1118" bestFit="1" customWidth="1"/>
    <col min="3589" max="3595" width="9.140625" style="1118" customWidth="1"/>
    <col min="3596" max="3799" width="9.140625" style="1118"/>
    <col min="3800" max="3800" width="16.7109375" style="1118" customWidth="1"/>
    <col min="3801" max="3801" width="52.5703125" style="1118" customWidth="1"/>
    <col min="3802" max="3802" width="11" style="1118" customWidth="1"/>
    <col min="3803" max="3803" width="13.42578125" style="1118" customWidth="1"/>
    <col min="3804" max="3804" width="11.28515625" style="1118" customWidth="1"/>
    <col min="3805" max="3805" width="10.28515625" style="1118" customWidth="1"/>
    <col min="3806" max="3806" width="13.85546875" style="1118" customWidth="1"/>
    <col min="3807" max="3808" width="7.85546875" style="1118" customWidth="1"/>
    <col min="3809" max="3809" width="10.85546875" style="1118" customWidth="1"/>
    <col min="3810" max="3810" width="13" style="1118" customWidth="1"/>
    <col min="3811" max="3811" width="11.42578125" style="1118" customWidth="1"/>
    <col min="3812" max="3812" width="10" style="1118" customWidth="1"/>
    <col min="3813" max="3813" width="7.85546875" style="1118" customWidth="1"/>
    <col min="3814" max="3814" width="10.140625" style="1118" customWidth="1"/>
    <col min="3815" max="3816" width="7.85546875" style="1118" customWidth="1"/>
    <col min="3817" max="3817" width="10.85546875" style="1118" customWidth="1"/>
    <col min="3818" max="3818" width="10.7109375" style="1118" customWidth="1"/>
    <col min="3819" max="3819" width="11" style="1118" customWidth="1"/>
    <col min="3820" max="3822" width="7.85546875" style="1118" customWidth="1"/>
    <col min="3823" max="3823" width="11.28515625" style="1118" customWidth="1"/>
    <col min="3824" max="3824" width="12.42578125" style="1118" customWidth="1"/>
    <col min="3825" max="3825" width="11" style="1118" customWidth="1"/>
    <col min="3826" max="3827" width="7.85546875" style="1118" customWidth="1"/>
    <col min="3828" max="3828" width="11" style="1118" customWidth="1"/>
    <col min="3829" max="3829" width="10.5703125" style="1118" customWidth="1"/>
    <col min="3830" max="3831" width="11" style="1118" customWidth="1"/>
    <col min="3832" max="3836" width="7.85546875" style="1118" bestFit="1" customWidth="1"/>
    <col min="3837" max="3837" width="8.42578125" style="1118" bestFit="1" customWidth="1"/>
    <col min="3838" max="3838" width="11.42578125" style="1118" customWidth="1"/>
    <col min="3839" max="3839" width="7.85546875" style="1118" bestFit="1" customWidth="1"/>
    <col min="3840" max="3840" width="9.5703125" style="1118" customWidth="1"/>
    <col min="3841" max="3841" width="7.85546875" style="1118" bestFit="1" customWidth="1"/>
    <col min="3842" max="3842" width="12" style="1118" customWidth="1"/>
    <col min="3843" max="3843" width="13.42578125" style="1118" customWidth="1"/>
    <col min="3844" max="3844" width="9.5703125" style="1118" bestFit="1" customWidth="1"/>
    <col min="3845" max="3851" width="9.140625" style="1118" customWidth="1"/>
    <col min="3852" max="4055" width="9.140625" style="1118"/>
    <col min="4056" max="4056" width="16.7109375" style="1118" customWidth="1"/>
    <col min="4057" max="4057" width="52.5703125" style="1118" customWidth="1"/>
    <col min="4058" max="4058" width="11" style="1118" customWidth="1"/>
    <col min="4059" max="4059" width="13.42578125" style="1118" customWidth="1"/>
    <col min="4060" max="4060" width="11.28515625" style="1118" customWidth="1"/>
    <col min="4061" max="4061" width="10.28515625" style="1118" customWidth="1"/>
    <col min="4062" max="4062" width="13.85546875" style="1118" customWidth="1"/>
    <col min="4063" max="4064" width="7.85546875" style="1118" customWidth="1"/>
    <col min="4065" max="4065" width="10.85546875" style="1118" customWidth="1"/>
    <col min="4066" max="4066" width="13" style="1118" customWidth="1"/>
    <col min="4067" max="4067" width="11.42578125" style="1118" customWidth="1"/>
    <col min="4068" max="4068" width="10" style="1118" customWidth="1"/>
    <col min="4069" max="4069" width="7.85546875" style="1118" customWidth="1"/>
    <col min="4070" max="4070" width="10.140625" style="1118" customWidth="1"/>
    <col min="4071" max="4072" width="7.85546875" style="1118" customWidth="1"/>
    <col min="4073" max="4073" width="10.85546875" style="1118" customWidth="1"/>
    <col min="4074" max="4074" width="10.7109375" style="1118" customWidth="1"/>
    <col min="4075" max="4075" width="11" style="1118" customWidth="1"/>
    <col min="4076" max="4078" width="7.85546875" style="1118" customWidth="1"/>
    <col min="4079" max="4079" width="11.28515625" style="1118" customWidth="1"/>
    <col min="4080" max="4080" width="12.42578125" style="1118" customWidth="1"/>
    <col min="4081" max="4081" width="11" style="1118" customWidth="1"/>
    <col min="4082" max="4083" width="7.85546875" style="1118" customWidth="1"/>
    <col min="4084" max="4084" width="11" style="1118" customWidth="1"/>
    <col min="4085" max="4085" width="10.5703125" style="1118" customWidth="1"/>
    <col min="4086" max="4087" width="11" style="1118" customWidth="1"/>
    <col min="4088" max="4092" width="7.85546875" style="1118" bestFit="1" customWidth="1"/>
    <col min="4093" max="4093" width="8.42578125" style="1118" bestFit="1" customWidth="1"/>
    <col min="4094" max="4094" width="11.42578125" style="1118" customWidth="1"/>
    <col min="4095" max="4095" width="7.85546875" style="1118" bestFit="1" customWidth="1"/>
    <col min="4096" max="4096" width="9.5703125" style="1118" customWidth="1"/>
    <col min="4097" max="4097" width="7.85546875" style="1118" bestFit="1" customWidth="1"/>
    <col min="4098" max="4098" width="12" style="1118" customWidth="1"/>
    <col min="4099" max="4099" width="13.42578125" style="1118" customWidth="1"/>
    <col min="4100" max="4100" width="9.5703125" style="1118" bestFit="1" customWidth="1"/>
    <col min="4101" max="4107" width="9.140625" style="1118" customWidth="1"/>
    <col min="4108" max="4311" width="9.140625" style="1118"/>
    <col min="4312" max="4312" width="16.7109375" style="1118" customWidth="1"/>
    <col min="4313" max="4313" width="52.5703125" style="1118" customWidth="1"/>
    <col min="4314" max="4314" width="11" style="1118" customWidth="1"/>
    <col min="4315" max="4315" width="13.42578125" style="1118" customWidth="1"/>
    <col min="4316" max="4316" width="11.28515625" style="1118" customWidth="1"/>
    <col min="4317" max="4317" width="10.28515625" style="1118" customWidth="1"/>
    <col min="4318" max="4318" width="13.85546875" style="1118" customWidth="1"/>
    <col min="4319" max="4320" width="7.85546875" style="1118" customWidth="1"/>
    <col min="4321" max="4321" width="10.85546875" style="1118" customWidth="1"/>
    <col min="4322" max="4322" width="13" style="1118" customWidth="1"/>
    <col min="4323" max="4323" width="11.42578125" style="1118" customWidth="1"/>
    <col min="4324" max="4324" width="10" style="1118" customWidth="1"/>
    <col min="4325" max="4325" width="7.85546875" style="1118" customWidth="1"/>
    <col min="4326" max="4326" width="10.140625" style="1118" customWidth="1"/>
    <col min="4327" max="4328" width="7.85546875" style="1118" customWidth="1"/>
    <col min="4329" max="4329" width="10.85546875" style="1118" customWidth="1"/>
    <col min="4330" max="4330" width="10.7109375" style="1118" customWidth="1"/>
    <col min="4331" max="4331" width="11" style="1118" customWidth="1"/>
    <col min="4332" max="4334" width="7.85546875" style="1118" customWidth="1"/>
    <col min="4335" max="4335" width="11.28515625" style="1118" customWidth="1"/>
    <col min="4336" max="4336" width="12.42578125" style="1118" customWidth="1"/>
    <col min="4337" max="4337" width="11" style="1118" customWidth="1"/>
    <col min="4338" max="4339" width="7.85546875" style="1118" customWidth="1"/>
    <col min="4340" max="4340" width="11" style="1118" customWidth="1"/>
    <col min="4341" max="4341" width="10.5703125" style="1118" customWidth="1"/>
    <col min="4342" max="4343" width="11" style="1118" customWidth="1"/>
    <col min="4344" max="4348" width="7.85546875" style="1118" bestFit="1" customWidth="1"/>
    <col min="4349" max="4349" width="8.42578125" style="1118" bestFit="1" customWidth="1"/>
    <col min="4350" max="4350" width="11.42578125" style="1118" customWidth="1"/>
    <col min="4351" max="4351" width="7.85546875" style="1118" bestFit="1" customWidth="1"/>
    <col min="4352" max="4352" width="9.5703125" style="1118" customWidth="1"/>
    <col min="4353" max="4353" width="7.85546875" style="1118" bestFit="1" customWidth="1"/>
    <col min="4354" max="4354" width="12" style="1118" customWidth="1"/>
    <col min="4355" max="4355" width="13.42578125" style="1118" customWidth="1"/>
    <col min="4356" max="4356" width="9.5703125" style="1118" bestFit="1" customWidth="1"/>
    <col min="4357" max="4363" width="9.140625" style="1118" customWidth="1"/>
    <col min="4364" max="4567" width="9.140625" style="1118"/>
    <col min="4568" max="4568" width="16.7109375" style="1118" customWidth="1"/>
    <col min="4569" max="4569" width="52.5703125" style="1118" customWidth="1"/>
    <col min="4570" max="4570" width="11" style="1118" customWidth="1"/>
    <col min="4571" max="4571" width="13.42578125" style="1118" customWidth="1"/>
    <col min="4572" max="4572" width="11.28515625" style="1118" customWidth="1"/>
    <col min="4573" max="4573" width="10.28515625" style="1118" customWidth="1"/>
    <col min="4574" max="4574" width="13.85546875" style="1118" customWidth="1"/>
    <col min="4575" max="4576" width="7.85546875" style="1118" customWidth="1"/>
    <col min="4577" max="4577" width="10.85546875" style="1118" customWidth="1"/>
    <col min="4578" max="4578" width="13" style="1118" customWidth="1"/>
    <col min="4579" max="4579" width="11.42578125" style="1118" customWidth="1"/>
    <col min="4580" max="4580" width="10" style="1118" customWidth="1"/>
    <col min="4581" max="4581" width="7.85546875" style="1118" customWidth="1"/>
    <col min="4582" max="4582" width="10.140625" style="1118" customWidth="1"/>
    <col min="4583" max="4584" width="7.85546875" style="1118" customWidth="1"/>
    <col min="4585" max="4585" width="10.85546875" style="1118" customWidth="1"/>
    <col min="4586" max="4586" width="10.7109375" style="1118" customWidth="1"/>
    <col min="4587" max="4587" width="11" style="1118" customWidth="1"/>
    <col min="4588" max="4590" width="7.85546875" style="1118" customWidth="1"/>
    <col min="4591" max="4591" width="11.28515625" style="1118" customWidth="1"/>
    <col min="4592" max="4592" width="12.42578125" style="1118" customWidth="1"/>
    <col min="4593" max="4593" width="11" style="1118" customWidth="1"/>
    <col min="4594" max="4595" width="7.85546875" style="1118" customWidth="1"/>
    <col min="4596" max="4596" width="11" style="1118" customWidth="1"/>
    <col min="4597" max="4597" width="10.5703125" style="1118" customWidth="1"/>
    <col min="4598" max="4599" width="11" style="1118" customWidth="1"/>
    <col min="4600" max="4604" width="7.85546875" style="1118" bestFit="1" customWidth="1"/>
    <col min="4605" max="4605" width="8.42578125" style="1118" bestFit="1" customWidth="1"/>
    <col min="4606" max="4606" width="11.42578125" style="1118" customWidth="1"/>
    <col min="4607" max="4607" width="7.85546875" style="1118" bestFit="1" customWidth="1"/>
    <col min="4608" max="4608" width="9.5703125" style="1118" customWidth="1"/>
    <col min="4609" max="4609" width="7.85546875" style="1118" bestFit="1" customWidth="1"/>
    <col min="4610" max="4610" width="12" style="1118" customWidth="1"/>
    <col min="4611" max="4611" width="13.42578125" style="1118" customWidth="1"/>
    <col min="4612" max="4612" width="9.5703125" style="1118" bestFit="1" customWidth="1"/>
    <col min="4613" max="4619" width="9.140625" style="1118" customWidth="1"/>
    <col min="4620" max="4823" width="9.140625" style="1118"/>
    <col min="4824" max="4824" width="16.7109375" style="1118" customWidth="1"/>
    <col min="4825" max="4825" width="52.5703125" style="1118" customWidth="1"/>
    <col min="4826" max="4826" width="11" style="1118" customWidth="1"/>
    <col min="4827" max="4827" width="13.42578125" style="1118" customWidth="1"/>
    <col min="4828" max="4828" width="11.28515625" style="1118" customWidth="1"/>
    <col min="4829" max="4829" width="10.28515625" style="1118" customWidth="1"/>
    <col min="4830" max="4830" width="13.85546875" style="1118" customWidth="1"/>
    <col min="4831" max="4832" width="7.85546875" style="1118" customWidth="1"/>
    <col min="4833" max="4833" width="10.85546875" style="1118" customWidth="1"/>
    <col min="4834" max="4834" width="13" style="1118" customWidth="1"/>
    <col min="4835" max="4835" width="11.42578125" style="1118" customWidth="1"/>
    <col min="4836" max="4836" width="10" style="1118" customWidth="1"/>
    <col min="4837" max="4837" width="7.85546875" style="1118" customWidth="1"/>
    <col min="4838" max="4838" width="10.140625" style="1118" customWidth="1"/>
    <col min="4839" max="4840" width="7.85546875" style="1118" customWidth="1"/>
    <col min="4841" max="4841" width="10.85546875" style="1118" customWidth="1"/>
    <col min="4842" max="4842" width="10.7109375" style="1118" customWidth="1"/>
    <col min="4843" max="4843" width="11" style="1118" customWidth="1"/>
    <col min="4844" max="4846" width="7.85546875" style="1118" customWidth="1"/>
    <col min="4847" max="4847" width="11.28515625" style="1118" customWidth="1"/>
    <col min="4848" max="4848" width="12.42578125" style="1118" customWidth="1"/>
    <col min="4849" max="4849" width="11" style="1118" customWidth="1"/>
    <col min="4850" max="4851" width="7.85546875" style="1118" customWidth="1"/>
    <col min="4852" max="4852" width="11" style="1118" customWidth="1"/>
    <col min="4853" max="4853" width="10.5703125" style="1118" customWidth="1"/>
    <col min="4854" max="4855" width="11" style="1118" customWidth="1"/>
    <col min="4856" max="4860" width="7.85546875" style="1118" bestFit="1" customWidth="1"/>
    <col min="4861" max="4861" width="8.42578125" style="1118" bestFit="1" customWidth="1"/>
    <col min="4862" max="4862" width="11.42578125" style="1118" customWidth="1"/>
    <col min="4863" max="4863" width="7.85546875" style="1118" bestFit="1" customWidth="1"/>
    <col min="4864" max="4864" width="9.5703125" style="1118" customWidth="1"/>
    <col min="4865" max="4865" width="7.85546875" style="1118" bestFit="1" customWidth="1"/>
    <col min="4866" max="4866" width="12" style="1118" customWidth="1"/>
    <col min="4867" max="4867" width="13.42578125" style="1118" customWidth="1"/>
    <col min="4868" max="4868" width="9.5703125" style="1118" bestFit="1" customWidth="1"/>
    <col min="4869" max="4875" width="9.140625" style="1118" customWidth="1"/>
    <col min="4876" max="5079" width="9.140625" style="1118"/>
    <col min="5080" max="5080" width="16.7109375" style="1118" customWidth="1"/>
    <col min="5081" max="5081" width="52.5703125" style="1118" customWidth="1"/>
    <col min="5082" max="5082" width="11" style="1118" customWidth="1"/>
    <col min="5083" max="5083" width="13.42578125" style="1118" customWidth="1"/>
    <col min="5084" max="5084" width="11.28515625" style="1118" customWidth="1"/>
    <col min="5085" max="5085" width="10.28515625" style="1118" customWidth="1"/>
    <col min="5086" max="5086" width="13.85546875" style="1118" customWidth="1"/>
    <col min="5087" max="5088" width="7.85546875" style="1118" customWidth="1"/>
    <col min="5089" max="5089" width="10.85546875" style="1118" customWidth="1"/>
    <col min="5090" max="5090" width="13" style="1118" customWidth="1"/>
    <col min="5091" max="5091" width="11.42578125" style="1118" customWidth="1"/>
    <col min="5092" max="5092" width="10" style="1118" customWidth="1"/>
    <col min="5093" max="5093" width="7.85546875" style="1118" customWidth="1"/>
    <col min="5094" max="5094" width="10.140625" style="1118" customWidth="1"/>
    <col min="5095" max="5096" width="7.85546875" style="1118" customWidth="1"/>
    <col min="5097" max="5097" width="10.85546875" style="1118" customWidth="1"/>
    <col min="5098" max="5098" width="10.7109375" style="1118" customWidth="1"/>
    <col min="5099" max="5099" width="11" style="1118" customWidth="1"/>
    <col min="5100" max="5102" width="7.85546875" style="1118" customWidth="1"/>
    <col min="5103" max="5103" width="11.28515625" style="1118" customWidth="1"/>
    <col min="5104" max="5104" width="12.42578125" style="1118" customWidth="1"/>
    <col min="5105" max="5105" width="11" style="1118" customWidth="1"/>
    <col min="5106" max="5107" width="7.85546875" style="1118" customWidth="1"/>
    <col min="5108" max="5108" width="11" style="1118" customWidth="1"/>
    <col min="5109" max="5109" width="10.5703125" style="1118" customWidth="1"/>
    <col min="5110" max="5111" width="11" style="1118" customWidth="1"/>
    <col min="5112" max="5116" width="7.85546875" style="1118" bestFit="1" customWidth="1"/>
    <col min="5117" max="5117" width="8.42578125" style="1118" bestFit="1" customWidth="1"/>
    <col min="5118" max="5118" width="11.42578125" style="1118" customWidth="1"/>
    <col min="5119" max="5119" width="7.85546875" style="1118" bestFit="1" customWidth="1"/>
    <col min="5120" max="5120" width="9.5703125" style="1118" customWidth="1"/>
    <col min="5121" max="5121" width="7.85546875" style="1118" bestFit="1" customWidth="1"/>
    <col min="5122" max="5122" width="12" style="1118" customWidth="1"/>
    <col min="5123" max="5123" width="13.42578125" style="1118" customWidth="1"/>
    <col min="5124" max="5124" width="9.5703125" style="1118" bestFit="1" customWidth="1"/>
    <col min="5125" max="5131" width="9.140625" style="1118" customWidth="1"/>
    <col min="5132" max="5335" width="9.140625" style="1118"/>
    <col min="5336" max="5336" width="16.7109375" style="1118" customWidth="1"/>
    <col min="5337" max="5337" width="52.5703125" style="1118" customWidth="1"/>
    <col min="5338" max="5338" width="11" style="1118" customWidth="1"/>
    <col min="5339" max="5339" width="13.42578125" style="1118" customWidth="1"/>
    <col min="5340" max="5340" width="11.28515625" style="1118" customWidth="1"/>
    <col min="5341" max="5341" width="10.28515625" style="1118" customWidth="1"/>
    <col min="5342" max="5342" width="13.85546875" style="1118" customWidth="1"/>
    <col min="5343" max="5344" width="7.85546875" style="1118" customWidth="1"/>
    <col min="5345" max="5345" width="10.85546875" style="1118" customWidth="1"/>
    <col min="5346" max="5346" width="13" style="1118" customWidth="1"/>
    <col min="5347" max="5347" width="11.42578125" style="1118" customWidth="1"/>
    <col min="5348" max="5348" width="10" style="1118" customWidth="1"/>
    <col min="5349" max="5349" width="7.85546875" style="1118" customWidth="1"/>
    <col min="5350" max="5350" width="10.140625" style="1118" customWidth="1"/>
    <col min="5351" max="5352" width="7.85546875" style="1118" customWidth="1"/>
    <col min="5353" max="5353" width="10.85546875" style="1118" customWidth="1"/>
    <col min="5354" max="5354" width="10.7109375" style="1118" customWidth="1"/>
    <col min="5355" max="5355" width="11" style="1118" customWidth="1"/>
    <col min="5356" max="5358" width="7.85546875" style="1118" customWidth="1"/>
    <col min="5359" max="5359" width="11.28515625" style="1118" customWidth="1"/>
    <col min="5360" max="5360" width="12.42578125" style="1118" customWidth="1"/>
    <col min="5361" max="5361" width="11" style="1118" customWidth="1"/>
    <col min="5362" max="5363" width="7.85546875" style="1118" customWidth="1"/>
    <col min="5364" max="5364" width="11" style="1118" customWidth="1"/>
    <col min="5365" max="5365" width="10.5703125" style="1118" customWidth="1"/>
    <col min="5366" max="5367" width="11" style="1118" customWidth="1"/>
    <col min="5368" max="5372" width="7.85546875" style="1118" bestFit="1" customWidth="1"/>
    <col min="5373" max="5373" width="8.42578125" style="1118" bestFit="1" customWidth="1"/>
    <col min="5374" max="5374" width="11.42578125" style="1118" customWidth="1"/>
    <col min="5375" max="5375" width="7.85546875" style="1118" bestFit="1" customWidth="1"/>
    <col min="5376" max="5376" width="9.5703125" style="1118" customWidth="1"/>
    <col min="5377" max="5377" width="7.85546875" style="1118" bestFit="1" customWidth="1"/>
    <col min="5378" max="5378" width="12" style="1118" customWidth="1"/>
    <col min="5379" max="5379" width="13.42578125" style="1118" customWidth="1"/>
    <col min="5380" max="5380" width="9.5703125" style="1118" bestFit="1" customWidth="1"/>
    <col min="5381" max="5387" width="9.140625" style="1118" customWidth="1"/>
    <col min="5388" max="5591" width="9.140625" style="1118"/>
    <col min="5592" max="5592" width="16.7109375" style="1118" customWidth="1"/>
    <col min="5593" max="5593" width="52.5703125" style="1118" customWidth="1"/>
    <col min="5594" max="5594" width="11" style="1118" customWidth="1"/>
    <col min="5595" max="5595" width="13.42578125" style="1118" customWidth="1"/>
    <col min="5596" max="5596" width="11.28515625" style="1118" customWidth="1"/>
    <col min="5597" max="5597" width="10.28515625" style="1118" customWidth="1"/>
    <col min="5598" max="5598" width="13.85546875" style="1118" customWidth="1"/>
    <col min="5599" max="5600" width="7.85546875" style="1118" customWidth="1"/>
    <col min="5601" max="5601" width="10.85546875" style="1118" customWidth="1"/>
    <col min="5602" max="5602" width="13" style="1118" customWidth="1"/>
    <col min="5603" max="5603" width="11.42578125" style="1118" customWidth="1"/>
    <col min="5604" max="5604" width="10" style="1118" customWidth="1"/>
    <col min="5605" max="5605" width="7.85546875" style="1118" customWidth="1"/>
    <col min="5606" max="5606" width="10.140625" style="1118" customWidth="1"/>
    <col min="5607" max="5608" width="7.85546875" style="1118" customWidth="1"/>
    <col min="5609" max="5609" width="10.85546875" style="1118" customWidth="1"/>
    <col min="5610" max="5610" width="10.7109375" style="1118" customWidth="1"/>
    <col min="5611" max="5611" width="11" style="1118" customWidth="1"/>
    <col min="5612" max="5614" width="7.85546875" style="1118" customWidth="1"/>
    <col min="5615" max="5615" width="11.28515625" style="1118" customWidth="1"/>
    <col min="5616" max="5616" width="12.42578125" style="1118" customWidth="1"/>
    <col min="5617" max="5617" width="11" style="1118" customWidth="1"/>
    <col min="5618" max="5619" width="7.85546875" style="1118" customWidth="1"/>
    <col min="5620" max="5620" width="11" style="1118" customWidth="1"/>
    <col min="5621" max="5621" width="10.5703125" style="1118" customWidth="1"/>
    <col min="5622" max="5623" width="11" style="1118" customWidth="1"/>
    <col min="5624" max="5628" width="7.85546875" style="1118" bestFit="1" customWidth="1"/>
    <col min="5629" max="5629" width="8.42578125" style="1118" bestFit="1" customWidth="1"/>
    <col min="5630" max="5630" width="11.42578125" style="1118" customWidth="1"/>
    <col min="5631" max="5631" width="7.85546875" style="1118" bestFit="1" customWidth="1"/>
    <col min="5632" max="5632" width="9.5703125" style="1118" customWidth="1"/>
    <col min="5633" max="5633" width="7.85546875" style="1118" bestFit="1" customWidth="1"/>
    <col min="5634" max="5634" width="12" style="1118" customWidth="1"/>
    <col min="5635" max="5635" width="13.42578125" style="1118" customWidth="1"/>
    <col min="5636" max="5636" width="9.5703125" style="1118" bestFit="1" customWidth="1"/>
    <col min="5637" max="5643" width="9.140625" style="1118" customWidth="1"/>
    <col min="5644" max="5847" width="9.140625" style="1118"/>
    <col min="5848" max="5848" width="16.7109375" style="1118" customWidth="1"/>
    <col min="5849" max="5849" width="52.5703125" style="1118" customWidth="1"/>
    <col min="5850" max="5850" width="11" style="1118" customWidth="1"/>
    <col min="5851" max="5851" width="13.42578125" style="1118" customWidth="1"/>
    <col min="5852" max="5852" width="11.28515625" style="1118" customWidth="1"/>
    <col min="5853" max="5853" width="10.28515625" style="1118" customWidth="1"/>
    <col min="5854" max="5854" width="13.85546875" style="1118" customWidth="1"/>
    <col min="5855" max="5856" width="7.85546875" style="1118" customWidth="1"/>
    <col min="5857" max="5857" width="10.85546875" style="1118" customWidth="1"/>
    <col min="5858" max="5858" width="13" style="1118" customWidth="1"/>
    <col min="5859" max="5859" width="11.42578125" style="1118" customWidth="1"/>
    <col min="5860" max="5860" width="10" style="1118" customWidth="1"/>
    <col min="5861" max="5861" width="7.85546875" style="1118" customWidth="1"/>
    <col min="5862" max="5862" width="10.140625" style="1118" customWidth="1"/>
    <col min="5863" max="5864" width="7.85546875" style="1118" customWidth="1"/>
    <col min="5865" max="5865" width="10.85546875" style="1118" customWidth="1"/>
    <col min="5866" max="5866" width="10.7109375" style="1118" customWidth="1"/>
    <col min="5867" max="5867" width="11" style="1118" customWidth="1"/>
    <col min="5868" max="5870" width="7.85546875" style="1118" customWidth="1"/>
    <col min="5871" max="5871" width="11.28515625" style="1118" customWidth="1"/>
    <col min="5872" max="5872" width="12.42578125" style="1118" customWidth="1"/>
    <col min="5873" max="5873" width="11" style="1118" customWidth="1"/>
    <col min="5874" max="5875" width="7.85546875" style="1118" customWidth="1"/>
    <col min="5876" max="5876" width="11" style="1118" customWidth="1"/>
    <col min="5877" max="5877" width="10.5703125" style="1118" customWidth="1"/>
    <col min="5878" max="5879" width="11" style="1118" customWidth="1"/>
    <col min="5880" max="5884" width="7.85546875" style="1118" bestFit="1" customWidth="1"/>
    <col min="5885" max="5885" width="8.42578125" style="1118" bestFit="1" customWidth="1"/>
    <col min="5886" max="5886" width="11.42578125" style="1118" customWidth="1"/>
    <col min="5887" max="5887" width="7.85546875" style="1118" bestFit="1" customWidth="1"/>
    <col min="5888" max="5888" width="9.5703125" style="1118" customWidth="1"/>
    <col min="5889" max="5889" width="7.85546875" style="1118" bestFit="1" customWidth="1"/>
    <col min="5890" max="5890" width="12" style="1118" customWidth="1"/>
    <col min="5891" max="5891" width="13.42578125" style="1118" customWidth="1"/>
    <col min="5892" max="5892" width="9.5703125" style="1118" bestFit="1" customWidth="1"/>
    <col min="5893" max="5899" width="9.140625" style="1118" customWidth="1"/>
    <col min="5900" max="6103" width="9.140625" style="1118"/>
    <col min="6104" max="6104" width="16.7109375" style="1118" customWidth="1"/>
    <col min="6105" max="6105" width="52.5703125" style="1118" customWidth="1"/>
    <col min="6106" max="6106" width="11" style="1118" customWidth="1"/>
    <col min="6107" max="6107" width="13.42578125" style="1118" customWidth="1"/>
    <col min="6108" max="6108" width="11.28515625" style="1118" customWidth="1"/>
    <col min="6109" max="6109" width="10.28515625" style="1118" customWidth="1"/>
    <col min="6110" max="6110" width="13.85546875" style="1118" customWidth="1"/>
    <col min="6111" max="6112" width="7.85546875" style="1118" customWidth="1"/>
    <col min="6113" max="6113" width="10.85546875" style="1118" customWidth="1"/>
    <col min="6114" max="6114" width="13" style="1118" customWidth="1"/>
    <col min="6115" max="6115" width="11.42578125" style="1118" customWidth="1"/>
    <col min="6116" max="6116" width="10" style="1118" customWidth="1"/>
    <col min="6117" max="6117" width="7.85546875" style="1118" customWidth="1"/>
    <col min="6118" max="6118" width="10.140625" style="1118" customWidth="1"/>
    <col min="6119" max="6120" width="7.85546875" style="1118" customWidth="1"/>
    <col min="6121" max="6121" width="10.85546875" style="1118" customWidth="1"/>
    <col min="6122" max="6122" width="10.7109375" style="1118" customWidth="1"/>
    <col min="6123" max="6123" width="11" style="1118" customWidth="1"/>
    <col min="6124" max="6126" width="7.85546875" style="1118" customWidth="1"/>
    <col min="6127" max="6127" width="11.28515625" style="1118" customWidth="1"/>
    <col min="6128" max="6128" width="12.42578125" style="1118" customWidth="1"/>
    <col min="6129" max="6129" width="11" style="1118" customWidth="1"/>
    <col min="6130" max="6131" width="7.85546875" style="1118" customWidth="1"/>
    <col min="6132" max="6132" width="11" style="1118" customWidth="1"/>
    <col min="6133" max="6133" width="10.5703125" style="1118" customWidth="1"/>
    <col min="6134" max="6135" width="11" style="1118" customWidth="1"/>
    <col min="6136" max="6140" width="7.85546875" style="1118" bestFit="1" customWidth="1"/>
    <col min="6141" max="6141" width="8.42578125" style="1118" bestFit="1" customWidth="1"/>
    <col min="6142" max="6142" width="11.42578125" style="1118" customWidth="1"/>
    <col min="6143" max="6143" width="7.85546875" style="1118" bestFit="1" customWidth="1"/>
    <col min="6144" max="6144" width="9.5703125" style="1118" customWidth="1"/>
    <col min="6145" max="6145" width="7.85546875" style="1118" bestFit="1" customWidth="1"/>
    <col min="6146" max="6146" width="12" style="1118" customWidth="1"/>
    <col min="6147" max="6147" width="13.42578125" style="1118" customWidth="1"/>
    <col min="6148" max="6148" width="9.5703125" style="1118" bestFit="1" customWidth="1"/>
    <col min="6149" max="6155" width="9.140625" style="1118" customWidth="1"/>
    <col min="6156" max="6359" width="9.140625" style="1118"/>
    <col min="6360" max="6360" width="16.7109375" style="1118" customWidth="1"/>
    <col min="6361" max="6361" width="52.5703125" style="1118" customWidth="1"/>
    <col min="6362" max="6362" width="11" style="1118" customWidth="1"/>
    <col min="6363" max="6363" width="13.42578125" style="1118" customWidth="1"/>
    <col min="6364" max="6364" width="11.28515625" style="1118" customWidth="1"/>
    <col min="6365" max="6365" width="10.28515625" style="1118" customWidth="1"/>
    <col min="6366" max="6366" width="13.85546875" style="1118" customWidth="1"/>
    <col min="6367" max="6368" width="7.85546875" style="1118" customWidth="1"/>
    <col min="6369" max="6369" width="10.85546875" style="1118" customWidth="1"/>
    <col min="6370" max="6370" width="13" style="1118" customWidth="1"/>
    <col min="6371" max="6371" width="11.42578125" style="1118" customWidth="1"/>
    <col min="6372" max="6372" width="10" style="1118" customWidth="1"/>
    <col min="6373" max="6373" width="7.85546875" style="1118" customWidth="1"/>
    <col min="6374" max="6374" width="10.140625" style="1118" customWidth="1"/>
    <col min="6375" max="6376" width="7.85546875" style="1118" customWidth="1"/>
    <col min="6377" max="6377" width="10.85546875" style="1118" customWidth="1"/>
    <col min="6378" max="6378" width="10.7109375" style="1118" customWidth="1"/>
    <col min="6379" max="6379" width="11" style="1118" customWidth="1"/>
    <col min="6380" max="6382" width="7.85546875" style="1118" customWidth="1"/>
    <col min="6383" max="6383" width="11.28515625" style="1118" customWidth="1"/>
    <col min="6384" max="6384" width="12.42578125" style="1118" customWidth="1"/>
    <col min="6385" max="6385" width="11" style="1118" customWidth="1"/>
    <col min="6386" max="6387" width="7.85546875" style="1118" customWidth="1"/>
    <col min="6388" max="6388" width="11" style="1118" customWidth="1"/>
    <col min="6389" max="6389" width="10.5703125" style="1118" customWidth="1"/>
    <col min="6390" max="6391" width="11" style="1118" customWidth="1"/>
    <col min="6392" max="6396" width="7.85546875" style="1118" bestFit="1" customWidth="1"/>
    <col min="6397" max="6397" width="8.42578125" style="1118" bestFit="1" customWidth="1"/>
    <col min="6398" max="6398" width="11.42578125" style="1118" customWidth="1"/>
    <col min="6399" max="6399" width="7.85546875" style="1118" bestFit="1" customWidth="1"/>
    <col min="6400" max="6400" width="9.5703125" style="1118" customWidth="1"/>
    <col min="6401" max="6401" width="7.85546875" style="1118" bestFit="1" customWidth="1"/>
    <col min="6402" max="6402" width="12" style="1118" customWidth="1"/>
    <col min="6403" max="6403" width="13.42578125" style="1118" customWidth="1"/>
    <col min="6404" max="6404" width="9.5703125" style="1118" bestFit="1" customWidth="1"/>
    <col min="6405" max="6411" width="9.140625" style="1118" customWidth="1"/>
    <col min="6412" max="6615" width="9.140625" style="1118"/>
    <col min="6616" max="6616" width="16.7109375" style="1118" customWidth="1"/>
    <col min="6617" max="6617" width="52.5703125" style="1118" customWidth="1"/>
    <col min="6618" max="6618" width="11" style="1118" customWidth="1"/>
    <col min="6619" max="6619" width="13.42578125" style="1118" customWidth="1"/>
    <col min="6620" max="6620" width="11.28515625" style="1118" customWidth="1"/>
    <col min="6621" max="6621" width="10.28515625" style="1118" customWidth="1"/>
    <col min="6622" max="6622" width="13.85546875" style="1118" customWidth="1"/>
    <col min="6623" max="6624" width="7.85546875" style="1118" customWidth="1"/>
    <col min="6625" max="6625" width="10.85546875" style="1118" customWidth="1"/>
    <col min="6626" max="6626" width="13" style="1118" customWidth="1"/>
    <col min="6627" max="6627" width="11.42578125" style="1118" customWidth="1"/>
    <col min="6628" max="6628" width="10" style="1118" customWidth="1"/>
    <col min="6629" max="6629" width="7.85546875" style="1118" customWidth="1"/>
    <col min="6630" max="6630" width="10.140625" style="1118" customWidth="1"/>
    <col min="6631" max="6632" width="7.85546875" style="1118" customWidth="1"/>
    <col min="6633" max="6633" width="10.85546875" style="1118" customWidth="1"/>
    <col min="6634" max="6634" width="10.7109375" style="1118" customWidth="1"/>
    <col min="6635" max="6635" width="11" style="1118" customWidth="1"/>
    <col min="6636" max="6638" width="7.85546875" style="1118" customWidth="1"/>
    <col min="6639" max="6639" width="11.28515625" style="1118" customWidth="1"/>
    <col min="6640" max="6640" width="12.42578125" style="1118" customWidth="1"/>
    <col min="6641" max="6641" width="11" style="1118" customWidth="1"/>
    <col min="6642" max="6643" width="7.85546875" style="1118" customWidth="1"/>
    <col min="6644" max="6644" width="11" style="1118" customWidth="1"/>
    <col min="6645" max="6645" width="10.5703125" style="1118" customWidth="1"/>
    <col min="6646" max="6647" width="11" style="1118" customWidth="1"/>
    <col min="6648" max="6652" width="7.85546875" style="1118" bestFit="1" customWidth="1"/>
    <col min="6653" max="6653" width="8.42578125" style="1118" bestFit="1" customWidth="1"/>
    <col min="6654" max="6654" width="11.42578125" style="1118" customWidth="1"/>
    <col min="6655" max="6655" width="7.85546875" style="1118" bestFit="1" customWidth="1"/>
    <col min="6656" max="6656" width="9.5703125" style="1118" customWidth="1"/>
    <col min="6657" max="6657" width="7.85546875" style="1118" bestFit="1" customWidth="1"/>
    <col min="6658" max="6658" width="12" style="1118" customWidth="1"/>
    <col min="6659" max="6659" width="13.42578125" style="1118" customWidth="1"/>
    <col min="6660" max="6660" width="9.5703125" style="1118" bestFit="1" customWidth="1"/>
    <col min="6661" max="6667" width="9.140625" style="1118" customWidth="1"/>
    <col min="6668" max="6871" width="9.140625" style="1118"/>
    <col min="6872" max="6872" width="16.7109375" style="1118" customWidth="1"/>
    <col min="6873" max="6873" width="52.5703125" style="1118" customWidth="1"/>
    <col min="6874" max="6874" width="11" style="1118" customWidth="1"/>
    <col min="6875" max="6875" width="13.42578125" style="1118" customWidth="1"/>
    <col min="6876" max="6876" width="11.28515625" style="1118" customWidth="1"/>
    <col min="6877" max="6877" width="10.28515625" style="1118" customWidth="1"/>
    <col min="6878" max="6878" width="13.85546875" style="1118" customWidth="1"/>
    <col min="6879" max="6880" width="7.85546875" style="1118" customWidth="1"/>
    <col min="6881" max="6881" width="10.85546875" style="1118" customWidth="1"/>
    <col min="6882" max="6882" width="13" style="1118" customWidth="1"/>
    <col min="6883" max="6883" width="11.42578125" style="1118" customWidth="1"/>
    <col min="6884" max="6884" width="10" style="1118" customWidth="1"/>
    <col min="6885" max="6885" width="7.85546875" style="1118" customWidth="1"/>
    <col min="6886" max="6886" width="10.140625" style="1118" customWidth="1"/>
    <col min="6887" max="6888" width="7.85546875" style="1118" customWidth="1"/>
    <col min="6889" max="6889" width="10.85546875" style="1118" customWidth="1"/>
    <col min="6890" max="6890" width="10.7109375" style="1118" customWidth="1"/>
    <col min="6891" max="6891" width="11" style="1118" customWidth="1"/>
    <col min="6892" max="6894" width="7.85546875" style="1118" customWidth="1"/>
    <col min="6895" max="6895" width="11.28515625" style="1118" customWidth="1"/>
    <col min="6896" max="6896" width="12.42578125" style="1118" customWidth="1"/>
    <col min="6897" max="6897" width="11" style="1118" customWidth="1"/>
    <col min="6898" max="6899" width="7.85546875" style="1118" customWidth="1"/>
    <col min="6900" max="6900" width="11" style="1118" customWidth="1"/>
    <col min="6901" max="6901" width="10.5703125" style="1118" customWidth="1"/>
    <col min="6902" max="6903" width="11" style="1118" customWidth="1"/>
    <col min="6904" max="6908" width="7.85546875" style="1118" bestFit="1" customWidth="1"/>
    <col min="6909" max="6909" width="8.42578125" style="1118" bestFit="1" customWidth="1"/>
    <col min="6910" max="6910" width="11.42578125" style="1118" customWidth="1"/>
    <col min="6911" max="6911" width="7.85546875" style="1118" bestFit="1" customWidth="1"/>
    <col min="6912" max="6912" width="9.5703125" style="1118" customWidth="1"/>
    <col min="6913" max="6913" width="7.85546875" style="1118" bestFit="1" customWidth="1"/>
    <col min="6914" max="6914" width="12" style="1118" customWidth="1"/>
    <col min="6915" max="6915" width="13.42578125" style="1118" customWidth="1"/>
    <col min="6916" max="6916" width="9.5703125" style="1118" bestFit="1" customWidth="1"/>
    <col min="6917" max="6923" width="9.140625" style="1118" customWidth="1"/>
    <col min="6924" max="7127" width="9.140625" style="1118"/>
    <col min="7128" max="7128" width="16.7109375" style="1118" customWidth="1"/>
    <col min="7129" max="7129" width="52.5703125" style="1118" customWidth="1"/>
    <col min="7130" max="7130" width="11" style="1118" customWidth="1"/>
    <col min="7131" max="7131" width="13.42578125" style="1118" customWidth="1"/>
    <col min="7132" max="7132" width="11.28515625" style="1118" customWidth="1"/>
    <col min="7133" max="7133" width="10.28515625" style="1118" customWidth="1"/>
    <col min="7134" max="7134" width="13.85546875" style="1118" customWidth="1"/>
    <col min="7135" max="7136" width="7.85546875" style="1118" customWidth="1"/>
    <col min="7137" max="7137" width="10.85546875" style="1118" customWidth="1"/>
    <col min="7138" max="7138" width="13" style="1118" customWidth="1"/>
    <col min="7139" max="7139" width="11.42578125" style="1118" customWidth="1"/>
    <col min="7140" max="7140" width="10" style="1118" customWidth="1"/>
    <col min="7141" max="7141" width="7.85546875" style="1118" customWidth="1"/>
    <col min="7142" max="7142" width="10.140625" style="1118" customWidth="1"/>
    <col min="7143" max="7144" width="7.85546875" style="1118" customWidth="1"/>
    <col min="7145" max="7145" width="10.85546875" style="1118" customWidth="1"/>
    <col min="7146" max="7146" width="10.7109375" style="1118" customWidth="1"/>
    <col min="7147" max="7147" width="11" style="1118" customWidth="1"/>
    <col min="7148" max="7150" width="7.85546875" style="1118" customWidth="1"/>
    <col min="7151" max="7151" width="11.28515625" style="1118" customWidth="1"/>
    <col min="7152" max="7152" width="12.42578125" style="1118" customWidth="1"/>
    <col min="7153" max="7153" width="11" style="1118" customWidth="1"/>
    <col min="7154" max="7155" width="7.85546875" style="1118" customWidth="1"/>
    <col min="7156" max="7156" width="11" style="1118" customWidth="1"/>
    <col min="7157" max="7157" width="10.5703125" style="1118" customWidth="1"/>
    <col min="7158" max="7159" width="11" style="1118" customWidth="1"/>
    <col min="7160" max="7164" width="7.85546875" style="1118" bestFit="1" customWidth="1"/>
    <col min="7165" max="7165" width="8.42578125" style="1118" bestFit="1" customWidth="1"/>
    <col min="7166" max="7166" width="11.42578125" style="1118" customWidth="1"/>
    <col min="7167" max="7167" width="7.85546875" style="1118" bestFit="1" customWidth="1"/>
    <col min="7168" max="7168" width="9.5703125" style="1118" customWidth="1"/>
    <col min="7169" max="7169" width="7.85546875" style="1118" bestFit="1" customWidth="1"/>
    <col min="7170" max="7170" width="12" style="1118" customWidth="1"/>
    <col min="7171" max="7171" width="13.42578125" style="1118" customWidth="1"/>
    <col min="7172" max="7172" width="9.5703125" style="1118" bestFit="1" customWidth="1"/>
    <col min="7173" max="7179" width="9.140625" style="1118" customWidth="1"/>
    <col min="7180" max="7383" width="9.140625" style="1118"/>
    <col min="7384" max="7384" width="16.7109375" style="1118" customWidth="1"/>
    <col min="7385" max="7385" width="52.5703125" style="1118" customWidth="1"/>
    <col min="7386" max="7386" width="11" style="1118" customWidth="1"/>
    <col min="7387" max="7387" width="13.42578125" style="1118" customWidth="1"/>
    <col min="7388" max="7388" width="11.28515625" style="1118" customWidth="1"/>
    <col min="7389" max="7389" width="10.28515625" style="1118" customWidth="1"/>
    <col min="7390" max="7390" width="13.85546875" style="1118" customWidth="1"/>
    <col min="7391" max="7392" width="7.85546875" style="1118" customWidth="1"/>
    <col min="7393" max="7393" width="10.85546875" style="1118" customWidth="1"/>
    <col min="7394" max="7394" width="13" style="1118" customWidth="1"/>
    <col min="7395" max="7395" width="11.42578125" style="1118" customWidth="1"/>
    <col min="7396" max="7396" width="10" style="1118" customWidth="1"/>
    <col min="7397" max="7397" width="7.85546875" style="1118" customWidth="1"/>
    <col min="7398" max="7398" width="10.140625" style="1118" customWidth="1"/>
    <col min="7399" max="7400" width="7.85546875" style="1118" customWidth="1"/>
    <col min="7401" max="7401" width="10.85546875" style="1118" customWidth="1"/>
    <col min="7402" max="7402" width="10.7109375" style="1118" customWidth="1"/>
    <col min="7403" max="7403" width="11" style="1118" customWidth="1"/>
    <col min="7404" max="7406" width="7.85546875" style="1118" customWidth="1"/>
    <col min="7407" max="7407" width="11.28515625" style="1118" customWidth="1"/>
    <col min="7408" max="7408" width="12.42578125" style="1118" customWidth="1"/>
    <col min="7409" max="7409" width="11" style="1118" customWidth="1"/>
    <col min="7410" max="7411" width="7.85546875" style="1118" customWidth="1"/>
    <col min="7412" max="7412" width="11" style="1118" customWidth="1"/>
    <col min="7413" max="7413" width="10.5703125" style="1118" customWidth="1"/>
    <col min="7414" max="7415" width="11" style="1118" customWidth="1"/>
    <col min="7416" max="7420" width="7.85546875" style="1118" bestFit="1" customWidth="1"/>
    <col min="7421" max="7421" width="8.42578125" style="1118" bestFit="1" customWidth="1"/>
    <col min="7422" max="7422" width="11.42578125" style="1118" customWidth="1"/>
    <col min="7423" max="7423" width="7.85546875" style="1118" bestFit="1" customWidth="1"/>
    <col min="7424" max="7424" width="9.5703125" style="1118" customWidth="1"/>
    <col min="7425" max="7425" width="7.85546875" style="1118" bestFit="1" customWidth="1"/>
    <col min="7426" max="7426" width="12" style="1118" customWidth="1"/>
    <col min="7427" max="7427" width="13.42578125" style="1118" customWidth="1"/>
    <col min="7428" max="7428" width="9.5703125" style="1118" bestFit="1" customWidth="1"/>
    <col min="7429" max="7435" width="9.140625" style="1118" customWidth="1"/>
    <col min="7436" max="7639" width="9.140625" style="1118"/>
    <col min="7640" max="7640" width="16.7109375" style="1118" customWidth="1"/>
    <col min="7641" max="7641" width="52.5703125" style="1118" customWidth="1"/>
    <col min="7642" max="7642" width="11" style="1118" customWidth="1"/>
    <col min="7643" max="7643" width="13.42578125" style="1118" customWidth="1"/>
    <col min="7644" max="7644" width="11.28515625" style="1118" customWidth="1"/>
    <col min="7645" max="7645" width="10.28515625" style="1118" customWidth="1"/>
    <col min="7646" max="7646" width="13.85546875" style="1118" customWidth="1"/>
    <col min="7647" max="7648" width="7.85546875" style="1118" customWidth="1"/>
    <col min="7649" max="7649" width="10.85546875" style="1118" customWidth="1"/>
    <col min="7650" max="7650" width="13" style="1118" customWidth="1"/>
    <col min="7651" max="7651" width="11.42578125" style="1118" customWidth="1"/>
    <col min="7652" max="7652" width="10" style="1118" customWidth="1"/>
    <col min="7653" max="7653" width="7.85546875" style="1118" customWidth="1"/>
    <col min="7654" max="7654" width="10.140625" style="1118" customWidth="1"/>
    <col min="7655" max="7656" width="7.85546875" style="1118" customWidth="1"/>
    <col min="7657" max="7657" width="10.85546875" style="1118" customWidth="1"/>
    <col min="7658" max="7658" width="10.7109375" style="1118" customWidth="1"/>
    <col min="7659" max="7659" width="11" style="1118" customWidth="1"/>
    <col min="7660" max="7662" width="7.85546875" style="1118" customWidth="1"/>
    <col min="7663" max="7663" width="11.28515625" style="1118" customWidth="1"/>
    <col min="7664" max="7664" width="12.42578125" style="1118" customWidth="1"/>
    <col min="7665" max="7665" width="11" style="1118" customWidth="1"/>
    <col min="7666" max="7667" width="7.85546875" style="1118" customWidth="1"/>
    <col min="7668" max="7668" width="11" style="1118" customWidth="1"/>
    <col min="7669" max="7669" width="10.5703125" style="1118" customWidth="1"/>
    <col min="7670" max="7671" width="11" style="1118" customWidth="1"/>
    <col min="7672" max="7676" width="7.85546875" style="1118" bestFit="1" customWidth="1"/>
    <col min="7677" max="7677" width="8.42578125" style="1118" bestFit="1" customWidth="1"/>
    <col min="7678" max="7678" width="11.42578125" style="1118" customWidth="1"/>
    <col min="7679" max="7679" width="7.85546875" style="1118" bestFit="1" customWidth="1"/>
    <col min="7680" max="7680" width="9.5703125" style="1118" customWidth="1"/>
    <col min="7681" max="7681" width="7.85546875" style="1118" bestFit="1" customWidth="1"/>
    <col min="7682" max="7682" width="12" style="1118" customWidth="1"/>
    <col min="7683" max="7683" width="13.42578125" style="1118" customWidth="1"/>
    <col min="7684" max="7684" width="9.5703125" style="1118" bestFit="1" customWidth="1"/>
    <col min="7685" max="7691" width="9.140625" style="1118" customWidth="1"/>
    <col min="7692" max="7895" width="9.140625" style="1118"/>
    <col min="7896" max="7896" width="16.7109375" style="1118" customWidth="1"/>
    <col min="7897" max="7897" width="52.5703125" style="1118" customWidth="1"/>
    <col min="7898" max="7898" width="11" style="1118" customWidth="1"/>
    <col min="7899" max="7899" width="13.42578125" style="1118" customWidth="1"/>
    <col min="7900" max="7900" width="11.28515625" style="1118" customWidth="1"/>
    <col min="7901" max="7901" width="10.28515625" style="1118" customWidth="1"/>
    <col min="7902" max="7902" width="13.85546875" style="1118" customWidth="1"/>
    <col min="7903" max="7904" width="7.85546875" style="1118" customWidth="1"/>
    <col min="7905" max="7905" width="10.85546875" style="1118" customWidth="1"/>
    <col min="7906" max="7906" width="13" style="1118" customWidth="1"/>
    <col min="7907" max="7907" width="11.42578125" style="1118" customWidth="1"/>
    <col min="7908" max="7908" width="10" style="1118" customWidth="1"/>
    <col min="7909" max="7909" width="7.85546875" style="1118" customWidth="1"/>
    <col min="7910" max="7910" width="10.140625" style="1118" customWidth="1"/>
    <col min="7911" max="7912" width="7.85546875" style="1118" customWidth="1"/>
    <col min="7913" max="7913" width="10.85546875" style="1118" customWidth="1"/>
    <col min="7914" max="7914" width="10.7109375" style="1118" customWidth="1"/>
    <col min="7915" max="7915" width="11" style="1118" customWidth="1"/>
    <col min="7916" max="7918" width="7.85546875" style="1118" customWidth="1"/>
    <col min="7919" max="7919" width="11.28515625" style="1118" customWidth="1"/>
    <col min="7920" max="7920" width="12.42578125" style="1118" customWidth="1"/>
    <col min="7921" max="7921" width="11" style="1118" customWidth="1"/>
    <col min="7922" max="7923" width="7.85546875" style="1118" customWidth="1"/>
    <col min="7924" max="7924" width="11" style="1118" customWidth="1"/>
    <col min="7925" max="7925" width="10.5703125" style="1118" customWidth="1"/>
    <col min="7926" max="7927" width="11" style="1118" customWidth="1"/>
    <col min="7928" max="7932" width="7.85546875" style="1118" bestFit="1" customWidth="1"/>
    <col min="7933" max="7933" width="8.42578125" style="1118" bestFit="1" customWidth="1"/>
    <col min="7934" max="7934" width="11.42578125" style="1118" customWidth="1"/>
    <col min="7935" max="7935" width="7.85546875" style="1118" bestFit="1" customWidth="1"/>
    <col min="7936" max="7936" width="9.5703125" style="1118" customWidth="1"/>
    <col min="7937" max="7937" width="7.85546875" style="1118" bestFit="1" customWidth="1"/>
    <col min="7938" max="7938" width="12" style="1118" customWidth="1"/>
    <col min="7939" max="7939" width="13.42578125" style="1118" customWidth="1"/>
    <col min="7940" max="7940" width="9.5703125" style="1118" bestFit="1" customWidth="1"/>
    <col min="7941" max="7947" width="9.140625" style="1118" customWidth="1"/>
    <col min="7948" max="8151" width="9.140625" style="1118"/>
    <col min="8152" max="8152" width="16.7109375" style="1118" customWidth="1"/>
    <col min="8153" max="8153" width="52.5703125" style="1118" customWidth="1"/>
    <col min="8154" max="8154" width="11" style="1118" customWidth="1"/>
    <col min="8155" max="8155" width="13.42578125" style="1118" customWidth="1"/>
    <col min="8156" max="8156" width="11.28515625" style="1118" customWidth="1"/>
    <col min="8157" max="8157" width="10.28515625" style="1118" customWidth="1"/>
    <col min="8158" max="8158" width="13.85546875" style="1118" customWidth="1"/>
    <col min="8159" max="8160" width="7.85546875" style="1118" customWidth="1"/>
    <col min="8161" max="8161" width="10.85546875" style="1118" customWidth="1"/>
    <col min="8162" max="8162" width="13" style="1118" customWidth="1"/>
    <col min="8163" max="8163" width="11.42578125" style="1118" customWidth="1"/>
    <col min="8164" max="8164" width="10" style="1118" customWidth="1"/>
    <col min="8165" max="8165" width="7.85546875" style="1118" customWidth="1"/>
    <col min="8166" max="8166" width="10.140625" style="1118" customWidth="1"/>
    <col min="8167" max="8168" width="7.85546875" style="1118" customWidth="1"/>
    <col min="8169" max="8169" width="10.85546875" style="1118" customWidth="1"/>
    <col min="8170" max="8170" width="10.7109375" style="1118" customWidth="1"/>
    <col min="8171" max="8171" width="11" style="1118" customWidth="1"/>
    <col min="8172" max="8174" width="7.85546875" style="1118" customWidth="1"/>
    <col min="8175" max="8175" width="11.28515625" style="1118" customWidth="1"/>
    <col min="8176" max="8176" width="12.42578125" style="1118" customWidth="1"/>
    <col min="8177" max="8177" width="11" style="1118" customWidth="1"/>
    <col min="8178" max="8179" width="7.85546875" style="1118" customWidth="1"/>
    <col min="8180" max="8180" width="11" style="1118" customWidth="1"/>
    <col min="8181" max="8181" width="10.5703125" style="1118" customWidth="1"/>
    <col min="8182" max="8183" width="11" style="1118" customWidth="1"/>
    <col min="8184" max="8188" width="7.85546875" style="1118" bestFit="1" customWidth="1"/>
    <col min="8189" max="8189" width="8.42578125" style="1118" bestFit="1" customWidth="1"/>
    <col min="8190" max="8190" width="11.42578125" style="1118" customWidth="1"/>
    <col min="8191" max="8191" width="7.85546875" style="1118" bestFit="1" customWidth="1"/>
    <col min="8192" max="8192" width="9.5703125" style="1118" customWidth="1"/>
    <col min="8193" max="8193" width="7.85546875" style="1118" bestFit="1" customWidth="1"/>
    <col min="8194" max="8194" width="12" style="1118" customWidth="1"/>
    <col min="8195" max="8195" width="13.42578125" style="1118" customWidth="1"/>
    <col min="8196" max="8196" width="9.5703125" style="1118" bestFit="1" customWidth="1"/>
    <col min="8197" max="8203" width="9.140625" style="1118" customWidth="1"/>
    <col min="8204" max="8407" width="9.140625" style="1118"/>
    <col min="8408" max="8408" width="16.7109375" style="1118" customWidth="1"/>
    <col min="8409" max="8409" width="52.5703125" style="1118" customWidth="1"/>
    <col min="8410" max="8410" width="11" style="1118" customWidth="1"/>
    <col min="8411" max="8411" width="13.42578125" style="1118" customWidth="1"/>
    <col min="8412" max="8412" width="11.28515625" style="1118" customWidth="1"/>
    <col min="8413" max="8413" width="10.28515625" style="1118" customWidth="1"/>
    <col min="8414" max="8414" width="13.85546875" style="1118" customWidth="1"/>
    <col min="8415" max="8416" width="7.85546875" style="1118" customWidth="1"/>
    <col min="8417" max="8417" width="10.85546875" style="1118" customWidth="1"/>
    <col min="8418" max="8418" width="13" style="1118" customWidth="1"/>
    <col min="8419" max="8419" width="11.42578125" style="1118" customWidth="1"/>
    <col min="8420" max="8420" width="10" style="1118" customWidth="1"/>
    <col min="8421" max="8421" width="7.85546875" style="1118" customWidth="1"/>
    <col min="8422" max="8422" width="10.140625" style="1118" customWidth="1"/>
    <col min="8423" max="8424" width="7.85546875" style="1118" customWidth="1"/>
    <col min="8425" max="8425" width="10.85546875" style="1118" customWidth="1"/>
    <col min="8426" max="8426" width="10.7109375" style="1118" customWidth="1"/>
    <col min="8427" max="8427" width="11" style="1118" customWidth="1"/>
    <col min="8428" max="8430" width="7.85546875" style="1118" customWidth="1"/>
    <col min="8431" max="8431" width="11.28515625" style="1118" customWidth="1"/>
    <col min="8432" max="8432" width="12.42578125" style="1118" customWidth="1"/>
    <col min="8433" max="8433" width="11" style="1118" customWidth="1"/>
    <col min="8434" max="8435" width="7.85546875" style="1118" customWidth="1"/>
    <col min="8436" max="8436" width="11" style="1118" customWidth="1"/>
    <col min="8437" max="8437" width="10.5703125" style="1118" customWidth="1"/>
    <col min="8438" max="8439" width="11" style="1118" customWidth="1"/>
    <col min="8440" max="8444" width="7.85546875" style="1118" bestFit="1" customWidth="1"/>
    <col min="8445" max="8445" width="8.42578125" style="1118" bestFit="1" customWidth="1"/>
    <col min="8446" max="8446" width="11.42578125" style="1118" customWidth="1"/>
    <col min="8447" max="8447" width="7.85546875" style="1118" bestFit="1" customWidth="1"/>
    <col min="8448" max="8448" width="9.5703125" style="1118" customWidth="1"/>
    <col min="8449" max="8449" width="7.85546875" style="1118" bestFit="1" customWidth="1"/>
    <col min="8450" max="8450" width="12" style="1118" customWidth="1"/>
    <col min="8451" max="8451" width="13.42578125" style="1118" customWidth="1"/>
    <col min="8452" max="8452" width="9.5703125" style="1118" bestFit="1" customWidth="1"/>
    <col min="8453" max="8459" width="9.140625" style="1118" customWidth="1"/>
    <col min="8460" max="8663" width="9.140625" style="1118"/>
    <col min="8664" max="8664" width="16.7109375" style="1118" customWidth="1"/>
    <col min="8665" max="8665" width="52.5703125" style="1118" customWidth="1"/>
    <col min="8666" max="8666" width="11" style="1118" customWidth="1"/>
    <col min="8667" max="8667" width="13.42578125" style="1118" customWidth="1"/>
    <col min="8668" max="8668" width="11.28515625" style="1118" customWidth="1"/>
    <col min="8669" max="8669" width="10.28515625" style="1118" customWidth="1"/>
    <col min="8670" max="8670" width="13.85546875" style="1118" customWidth="1"/>
    <col min="8671" max="8672" width="7.85546875" style="1118" customWidth="1"/>
    <col min="8673" max="8673" width="10.85546875" style="1118" customWidth="1"/>
    <col min="8674" max="8674" width="13" style="1118" customWidth="1"/>
    <col min="8675" max="8675" width="11.42578125" style="1118" customWidth="1"/>
    <col min="8676" max="8676" width="10" style="1118" customWidth="1"/>
    <col min="8677" max="8677" width="7.85546875" style="1118" customWidth="1"/>
    <col min="8678" max="8678" width="10.140625" style="1118" customWidth="1"/>
    <col min="8679" max="8680" width="7.85546875" style="1118" customWidth="1"/>
    <col min="8681" max="8681" width="10.85546875" style="1118" customWidth="1"/>
    <col min="8682" max="8682" width="10.7109375" style="1118" customWidth="1"/>
    <col min="8683" max="8683" width="11" style="1118" customWidth="1"/>
    <col min="8684" max="8686" width="7.85546875" style="1118" customWidth="1"/>
    <col min="8687" max="8687" width="11.28515625" style="1118" customWidth="1"/>
    <col min="8688" max="8688" width="12.42578125" style="1118" customWidth="1"/>
    <col min="8689" max="8689" width="11" style="1118" customWidth="1"/>
    <col min="8690" max="8691" width="7.85546875" style="1118" customWidth="1"/>
    <col min="8692" max="8692" width="11" style="1118" customWidth="1"/>
    <col min="8693" max="8693" width="10.5703125" style="1118" customWidth="1"/>
    <col min="8694" max="8695" width="11" style="1118" customWidth="1"/>
    <col min="8696" max="8700" width="7.85546875" style="1118" bestFit="1" customWidth="1"/>
    <col min="8701" max="8701" width="8.42578125" style="1118" bestFit="1" customWidth="1"/>
    <col min="8702" max="8702" width="11.42578125" style="1118" customWidth="1"/>
    <col min="8703" max="8703" width="7.85546875" style="1118" bestFit="1" customWidth="1"/>
    <col min="8704" max="8704" width="9.5703125" style="1118" customWidth="1"/>
    <col min="8705" max="8705" width="7.85546875" style="1118" bestFit="1" customWidth="1"/>
    <col min="8706" max="8706" width="12" style="1118" customWidth="1"/>
    <col min="8707" max="8707" width="13.42578125" style="1118" customWidth="1"/>
    <col min="8708" max="8708" width="9.5703125" style="1118" bestFit="1" customWidth="1"/>
    <col min="8709" max="8715" width="9.140625" style="1118" customWidth="1"/>
    <col min="8716" max="8919" width="9.140625" style="1118"/>
    <col min="8920" max="8920" width="16.7109375" style="1118" customWidth="1"/>
    <col min="8921" max="8921" width="52.5703125" style="1118" customWidth="1"/>
    <col min="8922" max="8922" width="11" style="1118" customWidth="1"/>
    <col min="8923" max="8923" width="13.42578125" style="1118" customWidth="1"/>
    <col min="8924" max="8924" width="11.28515625" style="1118" customWidth="1"/>
    <col min="8925" max="8925" width="10.28515625" style="1118" customWidth="1"/>
    <col min="8926" max="8926" width="13.85546875" style="1118" customWidth="1"/>
    <col min="8927" max="8928" width="7.85546875" style="1118" customWidth="1"/>
    <col min="8929" max="8929" width="10.85546875" style="1118" customWidth="1"/>
    <col min="8930" max="8930" width="13" style="1118" customWidth="1"/>
    <col min="8931" max="8931" width="11.42578125" style="1118" customWidth="1"/>
    <col min="8932" max="8932" width="10" style="1118" customWidth="1"/>
    <col min="8933" max="8933" width="7.85546875" style="1118" customWidth="1"/>
    <col min="8934" max="8934" width="10.140625" style="1118" customWidth="1"/>
    <col min="8935" max="8936" width="7.85546875" style="1118" customWidth="1"/>
    <col min="8937" max="8937" width="10.85546875" style="1118" customWidth="1"/>
    <col min="8938" max="8938" width="10.7109375" style="1118" customWidth="1"/>
    <col min="8939" max="8939" width="11" style="1118" customWidth="1"/>
    <col min="8940" max="8942" width="7.85546875" style="1118" customWidth="1"/>
    <col min="8943" max="8943" width="11.28515625" style="1118" customWidth="1"/>
    <col min="8944" max="8944" width="12.42578125" style="1118" customWidth="1"/>
    <col min="8945" max="8945" width="11" style="1118" customWidth="1"/>
    <col min="8946" max="8947" width="7.85546875" style="1118" customWidth="1"/>
    <col min="8948" max="8948" width="11" style="1118" customWidth="1"/>
    <col min="8949" max="8949" width="10.5703125" style="1118" customWidth="1"/>
    <col min="8950" max="8951" width="11" style="1118" customWidth="1"/>
    <col min="8952" max="8956" width="7.85546875" style="1118" bestFit="1" customWidth="1"/>
    <col min="8957" max="8957" width="8.42578125" style="1118" bestFit="1" customWidth="1"/>
    <col min="8958" max="8958" width="11.42578125" style="1118" customWidth="1"/>
    <col min="8959" max="8959" width="7.85546875" style="1118" bestFit="1" customWidth="1"/>
    <col min="8960" max="8960" width="9.5703125" style="1118" customWidth="1"/>
    <col min="8961" max="8961" width="7.85546875" style="1118" bestFit="1" customWidth="1"/>
    <col min="8962" max="8962" width="12" style="1118" customWidth="1"/>
    <col min="8963" max="8963" width="13.42578125" style="1118" customWidth="1"/>
    <col min="8964" max="8964" width="9.5703125" style="1118" bestFit="1" customWidth="1"/>
    <col min="8965" max="8971" width="9.140625" style="1118" customWidth="1"/>
    <col min="8972" max="9175" width="9.140625" style="1118"/>
    <col min="9176" max="9176" width="16.7109375" style="1118" customWidth="1"/>
    <col min="9177" max="9177" width="52.5703125" style="1118" customWidth="1"/>
    <col min="9178" max="9178" width="11" style="1118" customWidth="1"/>
    <col min="9179" max="9179" width="13.42578125" style="1118" customWidth="1"/>
    <col min="9180" max="9180" width="11.28515625" style="1118" customWidth="1"/>
    <col min="9181" max="9181" width="10.28515625" style="1118" customWidth="1"/>
    <col min="9182" max="9182" width="13.85546875" style="1118" customWidth="1"/>
    <col min="9183" max="9184" width="7.85546875" style="1118" customWidth="1"/>
    <col min="9185" max="9185" width="10.85546875" style="1118" customWidth="1"/>
    <col min="9186" max="9186" width="13" style="1118" customWidth="1"/>
    <col min="9187" max="9187" width="11.42578125" style="1118" customWidth="1"/>
    <col min="9188" max="9188" width="10" style="1118" customWidth="1"/>
    <col min="9189" max="9189" width="7.85546875" style="1118" customWidth="1"/>
    <col min="9190" max="9190" width="10.140625" style="1118" customWidth="1"/>
    <col min="9191" max="9192" width="7.85546875" style="1118" customWidth="1"/>
    <col min="9193" max="9193" width="10.85546875" style="1118" customWidth="1"/>
    <col min="9194" max="9194" width="10.7109375" style="1118" customWidth="1"/>
    <col min="9195" max="9195" width="11" style="1118" customWidth="1"/>
    <col min="9196" max="9198" width="7.85546875" style="1118" customWidth="1"/>
    <col min="9199" max="9199" width="11.28515625" style="1118" customWidth="1"/>
    <col min="9200" max="9200" width="12.42578125" style="1118" customWidth="1"/>
    <col min="9201" max="9201" width="11" style="1118" customWidth="1"/>
    <col min="9202" max="9203" width="7.85546875" style="1118" customWidth="1"/>
    <col min="9204" max="9204" width="11" style="1118" customWidth="1"/>
    <col min="9205" max="9205" width="10.5703125" style="1118" customWidth="1"/>
    <col min="9206" max="9207" width="11" style="1118" customWidth="1"/>
    <col min="9208" max="9212" width="7.85546875" style="1118" bestFit="1" customWidth="1"/>
    <col min="9213" max="9213" width="8.42578125" style="1118" bestFit="1" customWidth="1"/>
    <col min="9214" max="9214" width="11.42578125" style="1118" customWidth="1"/>
    <col min="9215" max="9215" width="7.85546875" style="1118" bestFit="1" customWidth="1"/>
    <col min="9216" max="9216" width="9.5703125" style="1118" customWidth="1"/>
    <col min="9217" max="9217" width="7.85546875" style="1118" bestFit="1" customWidth="1"/>
    <col min="9218" max="9218" width="12" style="1118" customWidth="1"/>
    <col min="9219" max="9219" width="13.42578125" style="1118" customWidth="1"/>
    <col min="9220" max="9220" width="9.5703125" style="1118" bestFit="1" customWidth="1"/>
    <col min="9221" max="9227" width="9.140625" style="1118" customWidth="1"/>
    <col min="9228" max="9431" width="9.140625" style="1118"/>
    <col min="9432" max="9432" width="16.7109375" style="1118" customWidth="1"/>
    <col min="9433" max="9433" width="52.5703125" style="1118" customWidth="1"/>
    <col min="9434" max="9434" width="11" style="1118" customWidth="1"/>
    <col min="9435" max="9435" width="13.42578125" style="1118" customWidth="1"/>
    <col min="9436" max="9436" width="11.28515625" style="1118" customWidth="1"/>
    <col min="9437" max="9437" width="10.28515625" style="1118" customWidth="1"/>
    <col min="9438" max="9438" width="13.85546875" style="1118" customWidth="1"/>
    <col min="9439" max="9440" width="7.85546875" style="1118" customWidth="1"/>
    <col min="9441" max="9441" width="10.85546875" style="1118" customWidth="1"/>
    <col min="9442" max="9442" width="13" style="1118" customWidth="1"/>
    <col min="9443" max="9443" width="11.42578125" style="1118" customWidth="1"/>
    <col min="9444" max="9444" width="10" style="1118" customWidth="1"/>
    <col min="9445" max="9445" width="7.85546875" style="1118" customWidth="1"/>
    <col min="9446" max="9446" width="10.140625" style="1118" customWidth="1"/>
    <col min="9447" max="9448" width="7.85546875" style="1118" customWidth="1"/>
    <col min="9449" max="9449" width="10.85546875" style="1118" customWidth="1"/>
    <col min="9450" max="9450" width="10.7109375" style="1118" customWidth="1"/>
    <col min="9451" max="9451" width="11" style="1118" customWidth="1"/>
    <col min="9452" max="9454" width="7.85546875" style="1118" customWidth="1"/>
    <col min="9455" max="9455" width="11.28515625" style="1118" customWidth="1"/>
    <col min="9456" max="9456" width="12.42578125" style="1118" customWidth="1"/>
    <col min="9457" max="9457" width="11" style="1118" customWidth="1"/>
    <col min="9458" max="9459" width="7.85546875" style="1118" customWidth="1"/>
    <col min="9460" max="9460" width="11" style="1118" customWidth="1"/>
    <col min="9461" max="9461" width="10.5703125" style="1118" customWidth="1"/>
    <col min="9462" max="9463" width="11" style="1118" customWidth="1"/>
    <col min="9464" max="9468" width="7.85546875" style="1118" bestFit="1" customWidth="1"/>
    <col min="9469" max="9469" width="8.42578125" style="1118" bestFit="1" customWidth="1"/>
    <col min="9470" max="9470" width="11.42578125" style="1118" customWidth="1"/>
    <col min="9471" max="9471" width="7.85546875" style="1118" bestFit="1" customWidth="1"/>
    <col min="9472" max="9472" width="9.5703125" style="1118" customWidth="1"/>
    <col min="9473" max="9473" width="7.85546875" style="1118" bestFit="1" customWidth="1"/>
    <col min="9474" max="9474" width="12" style="1118" customWidth="1"/>
    <col min="9475" max="9475" width="13.42578125" style="1118" customWidth="1"/>
    <col min="9476" max="9476" width="9.5703125" style="1118" bestFit="1" customWidth="1"/>
    <col min="9477" max="9483" width="9.140625" style="1118" customWidth="1"/>
    <col min="9484" max="9687" width="9.140625" style="1118"/>
    <col min="9688" max="9688" width="16.7109375" style="1118" customWidth="1"/>
    <col min="9689" max="9689" width="52.5703125" style="1118" customWidth="1"/>
    <col min="9690" max="9690" width="11" style="1118" customWidth="1"/>
    <col min="9691" max="9691" width="13.42578125" style="1118" customWidth="1"/>
    <col min="9692" max="9692" width="11.28515625" style="1118" customWidth="1"/>
    <col min="9693" max="9693" width="10.28515625" style="1118" customWidth="1"/>
    <col min="9694" max="9694" width="13.85546875" style="1118" customWidth="1"/>
    <col min="9695" max="9696" width="7.85546875" style="1118" customWidth="1"/>
    <col min="9697" max="9697" width="10.85546875" style="1118" customWidth="1"/>
    <col min="9698" max="9698" width="13" style="1118" customWidth="1"/>
    <col min="9699" max="9699" width="11.42578125" style="1118" customWidth="1"/>
    <col min="9700" max="9700" width="10" style="1118" customWidth="1"/>
    <col min="9701" max="9701" width="7.85546875" style="1118" customWidth="1"/>
    <col min="9702" max="9702" width="10.140625" style="1118" customWidth="1"/>
    <col min="9703" max="9704" width="7.85546875" style="1118" customWidth="1"/>
    <col min="9705" max="9705" width="10.85546875" style="1118" customWidth="1"/>
    <col min="9706" max="9706" width="10.7109375" style="1118" customWidth="1"/>
    <col min="9707" max="9707" width="11" style="1118" customWidth="1"/>
    <col min="9708" max="9710" width="7.85546875" style="1118" customWidth="1"/>
    <col min="9711" max="9711" width="11.28515625" style="1118" customWidth="1"/>
    <col min="9712" max="9712" width="12.42578125" style="1118" customWidth="1"/>
    <col min="9713" max="9713" width="11" style="1118" customWidth="1"/>
    <col min="9714" max="9715" width="7.85546875" style="1118" customWidth="1"/>
    <col min="9716" max="9716" width="11" style="1118" customWidth="1"/>
    <col min="9717" max="9717" width="10.5703125" style="1118" customWidth="1"/>
    <col min="9718" max="9719" width="11" style="1118" customWidth="1"/>
    <col min="9720" max="9724" width="7.85546875" style="1118" bestFit="1" customWidth="1"/>
    <col min="9725" max="9725" width="8.42578125" style="1118" bestFit="1" customWidth="1"/>
    <col min="9726" max="9726" width="11.42578125" style="1118" customWidth="1"/>
    <col min="9727" max="9727" width="7.85546875" style="1118" bestFit="1" customWidth="1"/>
    <col min="9728" max="9728" width="9.5703125" style="1118" customWidth="1"/>
    <col min="9729" max="9729" width="7.85546875" style="1118" bestFit="1" customWidth="1"/>
    <col min="9730" max="9730" width="12" style="1118" customWidth="1"/>
    <col min="9731" max="9731" width="13.42578125" style="1118" customWidth="1"/>
    <col min="9732" max="9732" width="9.5703125" style="1118" bestFit="1" customWidth="1"/>
    <col min="9733" max="9739" width="9.140625" style="1118" customWidth="1"/>
    <col min="9740" max="9943" width="9.140625" style="1118"/>
    <col min="9944" max="9944" width="16.7109375" style="1118" customWidth="1"/>
    <col min="9945" max="9945" width="52.5703125" style="1118" customWidth="1"/>
    <col min="9946" max="9946" width="11" style="1118" customWidth="1"/>
    <col min="9947" max="9947" width="13.42578125" style="1118" customWidth="1"/>
    <col min="9948" max="9948" width="11.28515625" style="1118" customWidth="1"/>
    <col min="9949" max="9949" width="10.28515625" style="1118" customWidth="1"/>
    <col min="9950" max="9950" width="13.85546875" style="1118" customWidth="1"/>
    <col min="9951" max="9952" width="7.85546875" style="1118" customWidth="1"/>
    <col min="9953" max="9953" width="10.85546875" style="1118" customWidth="1"/>
    <col min="9954" max="9954" width="13" style="1118" customWidth="1"/>
    <col min="9955" max="9955" width="11.42578125" style="1118" customWidth="1"/>
    <col min="9956" max="9956" width="10" style="1118" customWidth="1"/>
    <col min="9957" max="9957" width="7.85546875" style="1118" customWidth="1"/>
    <col min="9958" max="9958" width="10.140625" style="1118" customWidth="1"/>
    <col min="9959" max="9960" width="7.85546875" style="1118" customWidth="1"/>
    <col min="9961" max="9961" width="10.85546875" style="1118" customWidth="1"/>
    <col min="9962" max="9962" width="10.7109375" style="1118" customWidth="1"/>
    <col min="9963" max="9963" width="11" style="1118" customWidth="1"/>
    <col min="9964" max="9966" width="7.85546875" style="1118" customWidth="1"/>
    <col min="9967" max="9967" width="11.28515625" style="1118" customWidth="1"/>
    <col min="9968" max="9968" width="12.42578125" style="1118" customWidth="1"/>
    <col min="9969" max="9969" width="11" style="1118" customWidth="1"/>
    <col min="9970" max="9971" width="7.85546875" style="1118" customWidth="1"/>
    <col min="9972" max="9972" width="11" style="1118" customWidth="1"/>
    <col min="9973" max="9973" width="10.5703125" style="1118" customWidth="1"/>
    <col min="9974" max="9975" width="11" style="1118" customWidth="1"/>
    <col min="9976" max="9980" width="7.85546875" style="1118" bestFit="1" customWidth="1"/>
    <col min="9981" max="9981" width="8.42578125" style="1118" bestFit="1" customWidth="1"/>
    <col min="9982" max="9982" width="11.42578125" style="1118" customWidth="1"/>
    <col min="9983" max="9983" width="7.85546875" style="1118" bestFit="1" customWidth="1"/>
    <col min="9984" max="9984" width="9.5703125" style="1118" customWidth="1"/>
    <col min="9985" max="9985" width="7.85546875" style="1118" bestFit="1" customWidth="1"/>
    <col min="9986" max="9986" width="12" style="1118" customWidth="1"/>
    <col min="9987" max="9987" width="13.42578125" style="1118" customWidth="1"/>
    <col min="9988" max="9988" width="9.5703125" style="1118" bestFit="1" customWidth="1"/>
    <col min="9989" max="9995" width="9.140625" style="1118" customWidth="1"/>
    <col min="9996" max="10199" width="9.140625" style="1118"/>
    <col min="10200" max="10200" width="16.7109375" style="1118" customWidth="1"/>
    <col min="10201" max="10201" width="52.5703125" style="1118" customWidth="1"/>
    <col min="10202" max="10202" width="11" style="1118" customWidth="1"/>
    <col min="10203" max="10203" width="13.42578125" style="1118" customWidth="1"/>
    <col min="10204" max="10204" width="11.28515625" style="1118" customWidth="1"/>
    <col min="10205" max="10205" width="10.28515625" style="1118" customWidth="1"/>
    <col min="10206" max="10206" width="13.85546875" style="1118" customWidth="1"/>
    <col min="10207" max="10208" width="7.85546875" style="1118" customWidth="1"/>
    <col min="10209" max="10209" width="10.85546875" style="1118" customWidth="1"/>
    <col min="10210" max="10210" width="13" style="1118" customWidth="1"/>
    <col min="10211" max="10211" width="11.42578125" style="1118" customWidth="1"/>
    <col min="10212" max="10212" width="10" style="1118" customWidth="1"/>
    <col min="10213" max="10213" width="7.85546875" style="1118" customWidth="1"/>
    <col min="10214" max="10214" width="10.140625" style="1118" customWidth="1"/>
    <col min="10215" max="10216" width="7.85546875" style="1118" customWidth="1"/>
    <col min="10217" max="10217" width="10.85546875" style="1118" customWidth="1"/>
    <col min="10218" max="10218" width="10.7109375" style="1118" customWidth="1"/>
    <col min="10219" max="10219" width="11" style="1118" customWidth="1"/>
    <col min="10220" max="10222" width="7.85546875" style="1118" customWidth="1"/>
    <col min="10223" max="10223" width="11.28515625" style="1118" customWidth="1"/>
    <col min="10224" max="10224" width="12.42578125" style="1118" customWidth="1"/>
    <col min="10225" max="10225" width="11" style="1118" customWidth="1"/>
    <col min="10226" max="10227" width="7.85546875" style="1118" customWidth="1"/>
    <col min="10228" max="10228" width="11" style="1118" customWidth="1"/>
    <col min="10229" max="10229" width="10.5703125" style="1118" customWidth="1"/>
    <col min="10230" max="10231" width="11" style="1118" customWidth="1"/>
    <col min="10232" max="10236" width="7.85546875" style="1118" bestFit="1" customWidth="1"/>
    <col min="10237" max="10237" width="8.42578125" style="1118" bestFit="1" customWidth="1"/>
    <col min="10238" max="10238" width="11.42578125" style="1118" customWidth="1"/>
    <col min="10239" max="10239" width="7.85546875" style="1118" bestFit="1" customWidth="1"/>
    <col min="10240" max="10240" width="9.5703125" style="1118" customWidth="1"/>
    <col min="10241" max="10241" width="7.85546875" style="1118" bestFit="1" customWidth="1"/>
    <col min="10242" max="10242" width="12" style="1118" customWidth="1"/>
    <col min="10243" max="10243" width="13.42578125" style="1118" customWidth="1"/>
    <col min="10244" max="10244" width="9.5703125" style="1118" bestFit="1" customWidth="1"/>
    <col min="10245" max="10251" width="9.140625" style="1118" customWidth="1"/>
    <col min="10252" max="10455" width="9.140625" style="1118"/>
    <col min="10456" max="10456" width="16.7109375" style="1118" customWidth="1"/>
    <col min="10457" max="10457" width="52.5703125" style="1118" customWidth="1"/>
    <col min="10458" max="10458" width="11" style="1118" customWidth="1"/>
    <col min="10459" max="10459" width="13.42578125" style="1118" customWidth="1"/>
    <col min="10460" max="10460" width="11.28515625" style="1118" customWidth="1"/>
    <col min="10461" max="10461" width="10.28515625" style="1118" customWidth="1"/>
    <col min="10462" max="10462" width="13.85546875" style="1118" customWidth="1"/>
    <col min="10463" max="10464" width="7.85546875" style="1118" customWidth="1"/>
    <col min="10465" max="10465" width="10.85546875" style="1118" customWidth="1"/>
    <col min="10466" max="10466" width="13" style="1118" customWidth="1"/>
    <col min="10467" max="10467" width="11.42578125" style="1118" customWidth="1"/>
    <col min="10468" max="10468" width="10" style="1118" customWidth="1"/>
    <col min="10469" max="10469" width="7.85546875" style="1118" customWidth="1"/>
    <col min="10470" max="10470" width="10.140625" style="1118" customWidth="1"/>
    <col min="10471" max="10472" width="7.85546875" style="1118" customWidth="1"/>
    <col min="10473" max="10473" width="10.85546875" style="1118" customWidth="1"/>
    <col min="10474" max="10474" width="10.7109375" style="1118" customWidth="1"/>
    <col min="10475" max="10475" width="11" style="1118" customWidth="1"/>
    <col min="10476" max="10478" width="7.85546875" style="1118" customWidth="1"/>
    <col min="10479" max="10479" width="11.28515625" style="1118" customWidth="1"/>
    <col min="10480" max="10480" width="12.42578125" style="1118" customWidth="1"/>
    <col min="10481" max="10481" width="11" style="1118" customWidth="1"/>
    <col min="10482" max="10483" width="7.85546875" style="1118" customWidth="1"/>
    <col min="10484" max="10484" width="11" style="1118" customWidth="1"/>
    <col min="10485" max="10485" width="10.5703125" style="1118" customWidth="1"/>
    <col min="10486" max="10487" width="11" style="1118" customWidth="1"/>
    <col min="10488" max="10492" width="7.85546875" style="1118" bestFit="1" customWidth="1"/>
    <col min="10493" max="10493" width="8.42578125" style="1118" bestFit="1" customWidth="1"/>
    <col min="10494" max="10494" width="11.42578125" style="1118" customWidth="1"/>
    <col min="10495" max="10495" width="7.85546875" style="1118" bestFit="1" customWidth="1"/>
    <col min="10496" max="10496" width="9.5703125" style="1118" customWidth="1"/>
    <col min="10497" max="10497" width="7.85546875" style="1118" bestFit="1" customWidth="1"/>
    <col min="10498" max="10498" width="12" style="1118" customWidth="1"/>
    <col min="10499" max="10499" width="13.42578125" style="1118" customWidth="1"/>
    <col min="10500" max="10500" width="9.5703125" style="1118" bestFit="1" customWidth="1"/>
    <col min="10501" max="10507" width="9.140625" style="1118" customWidth="1"/>
    <col min="10508" max="10711" width="9.140625" style="1118"/>
    <col min="10712" max="10712" width="16.7109375" style="1118" customWidth="1"/>
    <col min="10713" max="10713" width="52.5703125" style="1118" customWidth="1"/>
    <col min="10714" max="10714" width="11" style="1118" customWidth="1"/>
    <col min="10715" max="10715" width="13.42578125" style="1118" customWidth="1"/>
    <col min="10716" max="10716" width="11.28515625" style="1118" customWidth="1"/>
    <col min="10717" max="10717" width="10.28515625" style="1118" customWidth="1"/>
    <col min="10718" max="10718" width="13.85546875" style="1118" customWidth="1"/>
    <col min="10719" max="10720" width="7.85546875" style="1118" customWidth="1"/>
    <col min="10721" max="10721" width="10.85546875" style="1118" customWidth="1"/>
    <col min="10722" max="10722" width="13" style="1118" customWidth="1"/>
    <col min="10723" max="10723" width="11.42578125" style="1118" customWidth="1"/>
    <col min="10724" max="10724" width="10" style="1118" customWidth="1"/>
    <col min="10725" max="10725" width="7.85546875" style="1118" customWidth="1"/>
    <col min="10726" max="10726" width="10.140625" style="1118" customWidth="1"/>
    <col min="10727" max="10728" width="7.85546875" style="1118" customWidth="1"/>
    <col min="10729" max="10729" width="10.85546875" style="1118" customWidth="1"/>
    <col min="10730" max="10730" width="10.7109375" style="1118" customWidth="1"/>
    <col min="10731" max="10731" width="11" style="1118" customWidth="1"/>
    <col min="10732" max="10734" width="7.85546875" style="1118" customWidth="1"/>
    <col min="10735" max="10735" width="11.28515625" style="1118" customWidth="1"/>
    <col min="10736" max="10736" width="12.42578125" style="1118" customWidth="1"/>
    <col min="10737" max="10737" width="11" style="1118" customWidth="1"/>
    <col min="10738" max="10739" width="7.85546875" style="1118" customWidth="1"/>
    <col min="10740" max="10740" width="11" style="1118" customWidth="1"/>
    <col min="10741" max="10741" width="10.5703125" style="1118" customWidth="1"/>
    <col min="10742" max="10743" width="11" style="1118" customWidth="1"/>
    <col min="10744" max="10748" width="7.85546875" style="1118" bestFit="1" customWidth="1"/>
    <col min="10749" max="10749" width="8.42578125" style="1118" bestFit="1" customWidth="1"/>
    <col min="10750" max="10750" width="11.42578125" style="1118" customWidth="1"/>
    <col min="10751" max="10751" width="7.85546875" style="1118" bestFit="1" customWidth="1"/>
    <col min="10752" max="10752" width="9.5703125" style="1118" customWidth="1"/>
    <col min="10753" max="10753" width="7.85546875" style="1118" bestFit="1" customWidth="1"/>
    <col min="10754" max="10754" width="12" style="1118" customWidth="1"/>
    <col min="10755" max="10755" width="13.42578125" style="1118" customWidth="1"/>
    <col min="10756" max="10756" width="9.5703125" style="1118" bestFit="1" customWidth="1"/>
    <col min="10757" max="10763" width="9.140625" style="1118" customWidth="1"/>
    <col min="10764" max="10967" width="9.140625" style="1118"/>
    <col min="10968" max="10968" width="16.7109375" style="1118" customWidth="1"/>
    <col min="10969" max="10969" width="52.5703125" style="1118" customWidth="1"/>
    <col min="10970" max="10970" width="11" style="1118" customWidth="1"/>
    <col min="10971" max="10971" width="13.42578125" style="1118" customWidth="1"/>
    <col min="10972" max="10972" width="11.28515625" style="1118" customWidth="1"/>
    <col min="10973" max="10973" width="10.28515625" style="1118" customWidth="1"/>
    <col min="10974" max="10974" width="13.85546875" style="1118" customWidth="1"/>
    <col min="10975" max="10976" width="7.85546875" style="1118" customWidth="1"/>
    <col min="10977" max="10977" width="10.85546875" style="1118" customWidth="1"/>
    <col min="10978" max="10978" width="13" style="1118" customWidth="1"/>
    <col min="10979" max="10979" width="11.42578125" style="1118" customWidth="1"/>
    <col min="10980" max="10980" width="10" style="1118" customWidth="1"/>
    <col min="10981" max="10981" width="7.85546875" style="1118" customWidth="1"/>
    <col min="10982" max="10982" width="10.140625" style="1118" customWidth="1"/>
    <col min="10983" max="10984" width="7.85546875" style="1118" customWidth="1"/>
    <col min="10985" max="10985" width="10.85546875" style="1118" customWidth="1"/>
    <col min="10986" max="10986" width="10.7109375" style="1118" customWidth="1"/>
    <col min="10987" max="10987" width="11" style="1118" customWidth="1"/>
    <col min="10988" max="10990" width="7.85546875" style="1118" customWidth="1"/>
    <col min="10991" max="10991" width="11.28515625" style="1118" customWidth="1"/>
    <col min="10992" max="10992" width="12.42578125" style="1118" customWidth="1"/>
    <col min="10993" max="10993" width="11" style="1118" customWidth="1"/>
    <col min="10994" max="10995" width="7.85546875" style="1118" customWidth="1"/>
    <col min="10996" max="10996" width="11" style="1118" customWidth="1"/>
    <col min="10997" max="10997" width="10.5703125" style="1118" customWidth="1"/>
    <col min="10998" max="10999" width="11" style="1118" customWidth="1"/>
    <col min="11000" max="11004" width="7.85546875" style="1118" bestFit="1" customWidth="1"/>
    <col min="11005" max="11005" width="8.42578125" style="1118" bestFit="1" customWidth="1"/>
    <col min="11006" max="11006" width="11.42578125" style="1118" customWidth="1"/>
    <col min="11007" max="11007" width="7.85546875" style="1118" bestFit="1" customWidth="1"/>
    <col min="11008" max="11008" width="9.5703125" style="1118" customWidth="1"/>
    <col min="11009" max="11009" width="7.85546875" style="1118" bestFit="1" customWidth="1"/>
    <col min="11010" max="11010" width="12" style="1118" customWidth="1"/>
    <col min="11011" max="11011" width="13.42578125" style="1118" customWidth="1"/>
    <col min="11012" max="11012" width="9.5703125" style="1118" bestFit="1" customWidth="1"/>
    <col min="11013" max="11019" width="9.140625" style="1118" customWidth="1"/>
    <col min="11020" max="11223" width="9.140625" style="1118"/>
    <col min="11224" max="11224" width="16.7109375" style="1118" customWidth="1"/>
    <col min="11225" max="11225" width="52.5703125" style="1118" customWidth="1"/>
    <col min="11226" max="11226" width="11" style="1118" customWidth="1"/>
    <col min="11227" max="11227" width="13.42578125" style="1118" customWidth="1"/>
    <col min="11228" max="11228" width="11.28515625" style="1118" customWidth="1"/>
    <col min="11229" max="11229" width="10.28515625" style="1118" customWidth="1"/>
    <col min="11230" max="11230" width="13.85546875" style="1118" customWidth="1"/>
    <col min="11231" max="11232" width="7.85546875" style="1118" customWidth="1"/>
    <col min="11233" max="11233" width="10.85546875" style="1118" customWidth="1"/>
    <col min="11234" max="11234" width="13" style="1118" customWidth="1"/>
    <col min="11235" max="11235" width="11.42578125" style="1118" customWidth="1"/>
    <col min="11236" max="11236" width="10" style="1118" customWidth="1"/>
    <col min="11237" max="11237" width="7.85546875" style="1118" customWidth="1"/>
    <col min="11238" max="11238" width="10.140625" style="1118" customWidth="1"/>
    <col min="11239" max="11240" width="7.85546875" style="1118" customWidth="1"/>
    <col min="11241" max="11241" width="10.85546875" style="1118" customWidth="1"/>
    <col min="11242" max="11242" width="10.7109375" style="1118" customWidth="1"/>
    <col min="11243" max="11243" width="11" style="1118" customWidth="1"/>
    <col min="11244" max="11246" width="7.85546875" style="1118" customWidth="1"/>
    <col min="11247" max="11247" width="11.28515625" style="1118" customWidth="1"/>
    <col min="11248" max="11248" width="12.42578125" style="1118" customWidth="1"/>
    <col min="11249" max="11249" width="11" style="1118" customWidth="1"/>
    <col min="11250" max="11251" width="7.85546875" style="1118" customWidth="1"/>
    <col min="11252" max="11252" width="11" style="1118" customWidth="1"/>
    <col min="11253" max="11253" width="10.5703125" style="1118" customWidth="1"/>
    <col min="11254" max="11255" width="11" style="1118" customWidth="1"/>
    <col min="11256" max="11260" width="7.85546875" style="1118" bestFit="1" customWidth="1"/>
    <col min="11261" max="11261" width="8.42578125" style="1118" bestFit="1" customWidth="1"/>
    <col min="11262" max="11262" width="11.42578125" style="1118" customWidth="1"/>
    <col min="11263" max="11263" width="7.85546875" style="1118" bestFit="1" customWidth="1"/>
    <col min="11264" max="11264" width="9.5703125" style="1118" customWidth="1"/>
    <col min="11265" max="11265" width="7.85546875" style="1118" bestFit="1" customWidth="1"/>
    <col min="11266" max="11266" width="12" style="1118" customWidth="1"/>
    <col min="11267" max="11267" width="13.42578125" style="1118" customWidth="1"/>
    <col min="11268" max="11268" width="9.5703125" style="1118" bestFit="1" customWidth="1"/>
    <col min="11269" max="11275" width="9.140625" style="1118" customWidth="1"/>
    <col min="11276" max="11479" width="9.140625" style="1118"/>
    <col min="11480" max="11480" width="16.7109375" style="1118" customWidth="1"/>
    <col min="11481" max="11481" width="52.5703125" style="1118" customWidth="1"/>
    <col min="11482" max="11482" width="11" style="1118" customWidth="1"/>
    <col min="11483" max="11483" width="13.42578125" style="1118" customWidth="1"/>
    <col min="11484" max="11484" width="11.28515625" style="1118" customWidth="1"/>
    <col min="11485" max="11485" width="10.28515625" style="1118" customWidth="1"/>
    <col min="11486" max="11486" width="13.85546875" style="1118" customWidth="1"/>
    <col min="11487" max="11488" width="7.85546875" style="1118" customWidth="1"/>
    <col min="11489" max="11489" width="10.85546875" style="1118" customWidth="1"/>
    <col min="11490" max="11490" width="13" style="1118" customWidth="1"/>
    <col min="11491" max="11491" width="11.42578125" style="1118" customWidth="1"/>
    <col min="11492" max="11492" width="10" style="1118" customWidth="1"/>
    <col min="11493" max="11493" width="7.85546875" style="1118" customWidth="1"/>
    <col min="11494" max="11494" width="10.140625" style="1118" customWidth="1"/>
    <col min="11495" max="11496" width="7.85546875" style="1118" customWidth="1"/>
    <col min="11497" max="11497" width="10.85546875" style="1118" customWidth="1"/>
    <col min="11498" max="11498" width="10.7109375" style="1118" customWidth="1"/>
    <col min="11499" max="11499" width="11" style="1118" customWidth="1"/>
    <col min="11500" max="11502" width="7.85546875" style="1118" customWidth="1"/>
    <col min="11503" max="11503" width="11.28515625" style="1118" customWidth="1"/>
    <col min="11504" max="11504" width="12.42578125" style="1118" customWidth="1"/>
    <col min="11505" max="11505" width="11" style="1118" customWidth="1"/>
    <col min="11506" max="11507" width="7.85546875" style="1118" customWidth="1"/>
    <col min="11508" max="11508" width="11" style="1118" customWidth="1"/>
    <col min="11509" max="11509" width="10.5703125" style="1118" customWidth="1"/>
    <col min="11510" max="11511" width="11" style="1118" customWidth="1"/>
    <col min="11512" max="11516" width="7.85546875" style="1118" bestFit="1" customWidth="1"/>
    <col min="11517" max="11517" width="8.42578125" style="1118" bestFit="1" customWidth="1"/>
    <col min="11518" max="11518" width="11.42578125" style="1118" customWidth="1"/>
    <col min="11519" max="11519" width="7.85546875" style="1118" bestFit="1" customWidth="1"/>
    <col min="11520" max="11520" width="9.5703125" style="1118" customWidth="1"/>
    <col min="11521" max="11521" width="7.85546875" style="1118" bestFit="1" customWidth="1"/>
    <col min="11522" max="11522" width="12" style="1118" customWidth="1"/>
    <col min="11523" max="11523" width="13.42578125" style="1118" customWidth="1"/>
    <col min="11524" max="11524" width="9.5703125" style="1118" bestFit="1" customWidth="1"/>
    <col min="11525" max="11531" width="9.140625" style="1118" customWidth="1"/>
    <col min="11532" max="11735" width="9.140625" style="1118"/>
    <col min="11736" max="11736" width="16.7109375" style="1118" customWidth="1"/>
    <col min="11737" max="11737" width="52.5703125" style="1118" customWidth="1"/>
    <col min="11738" max="11738" width="11" style="1118" customWidth="1"/>
    <col min="11739" max="11739" width="13.42578125" style="1118" customWidth="1"/>
    <col min="11740" max="11740" width="11.28515625" style="1118" customWidth="1"/>
    <col min="11741" max="11741" width="10.28515625" style="1118" customWidth="1"/>
    <col min="11742" max="11742" width="13.85546875" style="1118" customWidth="1"/>
    <col min="11743" max="11744" width="7.85546875" style="1118" customWidth="1"/>
    <col min="11745" max="11745" width="10.85546875" style="1118" customWidth="1"/>
    <col min="11746" max="11746" width="13" style="1118" customWidth="1"/>
    <col min="11747" max="11747" width="11.42578125" style="1118" customWidth="1"/>
    <col min="11748" max="11748" width="10" style="1118" customWidth="1"/>
    <col min="11749" max="11749" width="7.85546875" style="1118" customWidth="1"/>
    <col min="11750" max="11750" width="10.140625" style="1118" customWidth="1"/>
    <col min="11751" max="11752" width="7.85546875" style="1118" customWidth="1"/>
    <col min="11753" max="11753" width="10.85546875" style="1118" customWidth="1"/>
    <col min="11754" max="11754" width="10.7109375" style="1118" customWidth="1"/>
    <col min="11755" max="11755" width="11" style="1118" customWidth="1"/>
    <col min="11756" max="11758" width="7.85546875" style="1118" customWidth="1"/>
    <col min="11759" max="11759" width="11.28515625" style="1118" customWidth="1"/>
    <col min="11760" max="11760" width="12.42578125" style="1118" customWidth="1"/>
    <col min="11761" max="11761" width="11" style="1118" customWidth="1"/>
    <col min="11762" max="11763" width="7.85546875" style="1118" customWidth="1"/>
    <col min="11764" max="11764" width="11" style="1118" customWidth="1"/>
    <col min="11765" max="11765" width="10.5703125" style="1118" customWidth="1"/>
    <col min="11766" max="11767" width="11" style="1118" customWidth="1"/>
    <col min="11768" max="11772" width="7.85546875" style="1118" bestFit="1" customWidth="1"/>
    <col min="11773" max="11773" width="8.42578125" style="1118" bestFit="1" customWidth="1"/>
    <col min="11774" max="11774" width="11.42578125" style="1118" customWidth="1"/>
    <col min="11775" max="11775" width="7.85546875" style="1118" bestFit="1" customWidth="1"/>
    <col min="11776" max="11776" width="9.5703125" style="1118" customWidth="1"/>
    <col min="11777" max="11777" width="7.85546875" style="1118" bestFit="1" customWidth="1"/>
    <col min="11778" max="11778" width="12" style="1118" customWidth="1"/>
    <col min="11779" max="11779" width="13.42578125" style="1118" customWidth="1"/>
    <col min="11780" max="11780" width="9.5703125" style="1118" bestFit="1" customWidth="1"/>
    <col min="11781" max="11787" width="9.140625" style="1118" customWidth="1"/>
    <col min="11788" max="11991" width="9.140625" style="1118"/>
    <col min="11992" max="11992" width="16.7109375" style="1118" customWidth="1"/>
    <col min="11993" max="11993" width="52.5703125" style="1118" customWidth="1"/>
    <col min="11994" max="11994" width="11" style="1118" customWidth="1"/>
    <col min="11995" max="11995" width="13.42578125" style="1118" customWidth="1"/>
    <col min="11996" max="11996" width="11.28515625" style="1118" customWidth="1"/>
    <col min="11997" max="11997" width="10.28515625" style="1118" customWidth="1"/>
    <col min="11998" max="11998" width="13.85546875" style="1118" customWidth="1"/>
    <col min="11999" max="12000" width="7.85546875" style="1118" customWidth="1"/>
    <col min="12001" max="12001" width="10.85546875" style="1118" customWidth="1"/>
    <col min="12002" max="12002" width="13" style="1118" customWidth="1"/>
    <col min="12003" max="12003" width="11.42578125" style="1118" customWidth="1"/>
    <col min="12004" max="12004" width="10" style="1118" customWidth="1"/>
    <col min="12005" max="12005" width="7.85546875" style="1118" customWidth="1"/>
    <col min="12006" max="12006" width="10.140625" style="1118" customWidth="1"/>
    <col min="12007" max="12008" width="7.85546875" style="1118" customWidth="1"/>
    <col min="12009" max="12009" width="10.85546875" style="1118" customWidth="1"/>
    <col min="12010" max="12010" width="10.7109375" style="1118" customWidth="1"/>
    <col min="12011" max="12011" width="11" style="1118" customWidth="1"/>
    <col min="12012" max="12014" width="7.85546875" style="1118" customWidth="1"/>
    <col min="12015" max="12015" width="11.28515625" style="1118" customWidth="1"/>
    <col min="12016" max="12016" width="12.42578125" style="1118" customWidth="1"/>
    <col min="12017" max="12017" width="11" style="1118" customWidth="1"/>
    <col min="12018" max="12019" width="7.85546875" style="1118" customWidth="1"/>
    <col min="12020" max="12020" width="11" style="1118" customWidth="1"/>
    <col min="12021" max="12021" width="10.5703125" style="1118" customWidth="1"/>
    <col min="12022" max="12023" width="11" style="1118" customWidth="1"/>
    <col min="12024" max="12028" width="7.85546875" style="1118" bestFit="1" customWidth="1"/>
    <col min="12029" max="12029" width="8.42578125" style="1118" bestFit="1" customWidth="1"/>
    <col min="12030" max="12030" width="11.42578125" style="1118" customWidth="1"/>
    <col min="12031" max="12031" width="7.85546875" style="1118" bestFit="1" customWidth="1"/>
    <col min="12032" max="12032" width="9.5703125" style="1118" customWidth="1"/>
    <col min="12033" max="12033" width="7.85546875" style="1118" bestFit="1" customWidth="1"/>
    <col min="12034" max="12034" width="12" style="1118" customWidth="1"/>
    <col min="12035" max="12035" width="13.42578125" style="1118" customWidth="1"/>
    <col min="12036" max="12036" width="9.5703125" style="1118" bestFit="1" customWidth="1"/>
    <col min="12037" max="12043" width="9.140625" style="1118" customWidth="1"/>
    <col min="12044" max="12247" width="9.140625" style="1118"/>
    <col min="12248" max="12248" width="16.7109375" style="1118" customWidth="1"/>
    <col min="12249" max="12249" width="52.5703125" style="1118" customWidth="1"/>
    <col min="12250" max="12250" width="11" style="1118" customWidth="1"/>
    <col min="12251" max="12251" width="13.42578125" style="1118" customWidth="1"/>
    <col min="12252" max="12252" width="11.28515625" style="1118" customWidth="1"/>
    <col min="12253" max="12253" width="10.28515625" style="1118" customWidth="1"/>
    <col min="12254" max="12254" width="13.85546875" style="1118" customWidth="1"/>
    <col min="12255" max="12256" width="7.85546875" style="1118" customWidth="1"/>
    <col min="12257" max="12257" width="10.85546875" style="1118" customWidth="1"/>
    <col min="12258" max="12258" width="13" style="1118" customWidth="1"/>
    <col min="12259" max="12259" width="11.42578125" style="1118" customWidth="1"/>
    <col min="12260" max="12260" width="10" style="1118" customWidth="1"/>
    <col min="12261" max="12261" width="7.85546875" style="1118" customWidth="1"/>
    <col min="12262" max="12262" width="10.140625" style="1118" customWidth="1"/>
    <col min="12263" max="12264" width="7.85546875" style="1118" customWidth="1"/>
    <col min="12265" max="12265" width="10.85546875" style="1118" customWidth="1"/>
    <col min="12266" max="12266" width="10.7109375" style="1118" customWidth="1"/>
    <col min="12267" max="12267" width="11" style="1118" customWidth="1"/>
    <col min="12268" max="12270" width="7.85546875" style="1118" customWidth="1"/>
    <col min="12271" max="12271" width="11.28515625" style="1118" customWidth="1"/>
    <col min="12272" max="12272" width="12.42578125" style="1118" customWidth="1"/>
    <col min="12273" max="12273" width="11" style="1118" customWidth="1"/>
    <col min="12274" max="12275" width="7.85546875" style="1118" customWidth="1"/>
    <col min="12276" max="12276" width="11" style="1118" customWidth="1"/>
    <col min="12277" max="12277" width="10.5703125" style="1118" customWidth="1"/>
    <col min="12278" max="12279" width="11" style="1118" customWidth="1"/>
    <col min="12280" max="12284" width="7.85546875" style="1118" bestFit="1" customWidth="1"/>
    <col min="12285" max="12285" width="8.42578125" style="1118" bestFit="1" customWidth="1"/>
    <col min="12286" max="12286" width="11.42578125" style="1118" customWidth="1"/>
    <col min="12287" max="12287" width="7.85546875" style="1118" bestFit="1" customWidth="1"/>
    <col min="12288" max="12288" width="9.5703125" style="1118" customWidth="1"/>
    <col min="12289" max="12289" width="7.85546875" style="1118" bestFit="1" customWidth="1"/>
    <col min="12290" max="12290" width="12" style="1118" customWidth="1"/>
    <col min="12291" max="12291" width="13.42578125" style="1118" customWidth="1"/>
    <col min="12292" max="12292" width="9.5703125" style="1118" bestFit="1" customWidth="1"/>
    <col min="12293" max="12299" width="9.140625" style="1118" customWidth="1"/>
    <col min="12300" max="12503" width="9.140625" style="1118"/>
    <col min="12504" max="12504" width="16.7109375" style="1118" customWidth="1"/>
    <col min="12505" max="12505" width="52.5703125" style="1118" customWidth="1"/>
    <col min="12506" max="12506" width="11" style="1118" customWidth="1"/>
    <col min="12507" max="12507" width="13.42578125" style="1118" customWidth="1"/>
    <col min="12508" max="12508" width="11.28515625" style="1118" customWidth="1"/>
    <col min="12509" max="12509" width="10.28515625" style="1118" customWidth="1"/>
    <col min="12510" max="12510" width="13.85546875" style="1118" customWidth="1"/>
    <col min="12511" max="12512" width="7.85546875" style="1118" customWidth="1"/>
    <col min="12513" max="12513" width="10.85546875" style="1118" customWidth="1"/>
    <col min="12514" max="12514" width="13" style="1118" customWidth="1"/>
    <col min="12515" max="12515" width="11.42578125" style="1118" customWidth="1"/>
    <col min="12516" max="12516" width="10" style="1118" customWidth="1"/>
    <col min="12517" max="12517" width="7.85546875" style="1118" customWidth="1"/>
    <col min="12518" max="12518" width="10.140625" style="1118" customWidth="1"/>
    <col min="12519" max="12520" width="7.85546875" style="1118" customWidth="1"/>
    <col min="12521" max="12521" width="10.85546875" style="1118" customWidth="1"/>
    <col min="12522" max="12522" width="10.7109375" style="1118" customWidth="1"/>
    <col min="12523" max="12523" width="11" style="1118" customWidth="1"/>
    <col min="12524" max="12526" width="7.85546875" style="1118" customWidth="1"/>
    <col min="12527" max="12527" width="11.28515625" style="1118" customWidth="1"/>
    <col min="12528" max="12528" width="12.42578125" style="1118" customWidth="1"/>
    <col min="12529" max="12529" width="11" style="1118" customWidth="1"/>
    <col min="12530" max="12531" width="7.85546875" style="1118" customWidth="1"/>
    <col min="12532" max="12532" width="11" style="1118" customWidth="1"/>
    <col min="12533" max="12533" width="10.5703125" style="1118" customWidth="1"/>
    <col min="12534" max="12535" width="11" style="1118" customWidth="1"/>
    <col min="12536" max="12540" width="7.85546875" style="1118" bestFit="1" customWidth="1"/>
    <col min="12541" max="12541" width="8.42578125" style="1118" bestFit="1" customWidth="1"/>
    <col min="12542" max="12542" width="11.42578125" style="1118" customWidth="1"/>
    <col min="12543" max="12543" width="7.85546875" style="1118" bestFit="1" customWidth="1"/>
    <col min="12544" max="12544" width="9.5703125" style="1118" customWidth="1"/>
    <col min="12545" max="12545" width="7.85546875" style="1118" bestFit="1" customWidth="1"/>
    <col min="12546" max="12546" width="12" style="1118" customWidth="1"/>
    <col min="12547" max="12547" width="13.42578125" style="1118" customWidth="1"/>
    <col min="12548" max="12548" width="9.5703125" style="1118" bestFit="1" customWidth="1"/>
    <col min="12549" max="12555" width="9.140625" style="1118" customWidth="1"/>
    <col min="12556" max="12759" width="9.140625" style="1118"/>
    <col min="12760" max="12760" width="16.7109375" style="1118" customWidth="1"/>
    <col min="12761" max="12761" width="52.5703125" style="1118" customWidth="1"/>
    <col min="12762" max="12762" width="11" style="1118" customWidth="1"/>
    <col min="12763" max="12763" width="13.42578125" style="1118" customWidth="1"/>
    <col min="12764" max="12764" width="11.28515625" style="1118" customWidth="1"/>
    <col min="12765" max="12765" width="10.28515625" style="1118" customWidth="1"/>
    <col min="12766" max="12766" width="13.85546875" style="1118" customWidth="1"/>
    <col min="12767" max="12768" width="7.85546875" style="1118" customWidth="1"/>
    <col min="12769" max="12769" width="10.85546875" style="1118" customWidth="1"/>
    <col min="12770" max="12770" width="13" style="1118" customWidth="1"/>
    <col min="12771" max="12771" width="11.42578125" style="1118" customWidth="1"/>
    <col min="12772" max="12772" width="10" style="1118" customWidth="1"/>
    <col min="12773" max="12773" width="7.85546875" style="1118" customWidth="1"/>
    <col min="12774" max="12774" width="10.140625" style="1118" customWidth="1"/>
    <col min="12775" max="12776" width="7.85546875" style="1118" customWidth="1"/>
    <col min="12777" max="12777" width="10.85546875" style="1118" customWidth="1"/>
    <col min="12778" max="12778" width="10.7109375" style="1118" customWidth="1"/>
    <col min="12779" max="12779" width="11" style="1118" customWidth="1"/>
    <col min="12780" max="12782" width="7.85546875" style="1118" customWidth="1"/>
    <col min="12783" max="12783" width="11.28515625" style="1118" customWidth="1"/>
    <col min="12784" max="12784" width="12.42578125" style="1118" customWidth="1"/>
    <col min="12785" max="12785" width="11" style="1118" customWidth="1"/>
    <col min="12786" max="12787" width="7.85546875" style="1118" customWidth="1"/>
    <col min="12788" max="12788" width="11" style="1118" customWidth="1"/>
    <col min="12789" max="12789" width="10.5703125" style="1118" customWidth="1"/>
    <col min="12790" max="12791" width="11" style="1118" customWidth="1"/>
    <col min="12792" max="12796" width="7.85546875" style="1118" bestFit="1" customWidth="1"/>
    <col min="12797" max="12797" width="8.42578125" style="1118" bestFit="1" customWidth="1"/>
    <col min="12798" max="12798" width="11.42578125" style="1118" customWidth="1"/>
    <col min="12799" max="12799" width="7.85546875" style="1118" bestFit="1" customWidth="1"/>
    <col min="12800" max="12800" width="9.5703125" style="1118" customWidth="1"/>
    <col min="12801" max="12801" width="7.85546875" style="1118" bestFit="1" customWidth="1"/>
    <col min="12802" max="12802" width="12" style="1118" customWidth="1"/>
    <col min="12803" max="12803" width="13.42578125" style="1118" customWidth="1"/>
    <col min="12804" max="12804" width="9.5703125" style="1118" bestFit="1" customWidth="1"/>
    <col min="12805" max="12811" width="9.140625" style="1118" customWidth="1"/>
    <col min="12812" max="13015" width="9.140625" style="1118"/>
    <col min="13016" max="13016" width="16.7109375" style="1118" customWidth="1"/>
    <col min="13017" max="13017" width="52.5703125" style="1118" customWidth="1"/>
    <col min="13018" max="13018" width="11" style="1118" customWidth="1"/>
    <col min="13019" max="13019" width="13.42578125" style="1118" customWidth="1"/>
    <col min="13020" max="13020" width="11.28515625" style="1118" customWidth="1"/>
    <col min="13021" max="13021" width="10.28515625" style="1118" customWidth="1"/>
    <col min="13022" max="13022" width="13.85546875" style="1118" customWidth="1"/>
    <col min="13023" max="13024" width="7.85546875" style="1118" customWidth="1"/>
    <col min="13025" max="13025" width="10.85546875" style="1118" customWidth="1"/>
    <col min="13026" max="13026" width="13" style="1118" customWidth="1"/>
    <col min="13027" max="13027" width="11.42578125" style="1118" customWidth="1"/>
    <col min="13028" max="13028" width="10" style="1118" customWidth="1"/>
    <col min="13029" max="13029" width="7.85546875" style="1118" customWidth="1"/>
    <col min="13030" max="13030" width="10.140625" style="1118" customWidth="1"/>
    <col min="13031" max="13032" width="7.85546875" style="1118" customWidth="1"/>
    <col min="13033" max="13033" width="10.85546875" style="1118" customWidth="1"/>
    <col min="13034" max="13034" width="10.7109375" style="1118" customWidth="1"/>
    <col min="13035" max="13035" width="11" style="1118" customWidth="1"/>
    <col min="13036" max="13038" width="7.85546875" style="1118" customWidth="1"/>
    <col min="13039" max="13039" width="11.28515625" style="1118" customWidth="1"/>
    <col min="13040" max="13040" width="12.42578125" style="1118" customWidth="1"/>
    <col min="13041" max="13041" width="11" style="1118" customWidth="1"/>
    <col min="13042" max="13043" width="7.85546875" style="1118" customWidth="1"/>
    <col min="13044" max="13044" width="11" style="1118" customWidth="1"/>
    <col min="13045" max="13045" width="10.5703125" style="1118" customWidth="1"/>
    <col min="13046" max="13047" width="11" style="1118" customWidth="1"/>
    <col min="13048" max="13052" width="7.85546875" style="1118" bestFit="1" customWidth="1"/>
    <col min="13053" max="13053" width="8.42578125" style="1118" bestFit="1" customWidth="1"/>
    <col min="13054" max="13054" width="11.42578125" style="1118" customWidth="1"/>
    <col min="13055" max="13055" width="7.85546875" style="1118" bestFit="1" customWidth="1"/>
    <col min="13056" max="13056" width="9.5703125" style="1118" customWidth="1"/>
    <col min="13057" max="13057" width="7.85546875" style="1118" bestFit="1" customWidth="1"/>
    <col min="13058" max="13058" width="12" style="1118" customWidth="1"/>
    <col min="13059" max="13059" width="13.42578125" style="1118" customWidth="1"/>
    <col min="13060" max="13060" width="9.5703125" style="1118" bestFit="1" customWidth="1"/>
    <col min="13061" max="13067" width="9.140625" style="1118" customWidth="1"/>
    <col min="13068" max="13271" width="9.140625" style="1118"/>
    <col min="13272" max="13272" width="16.7109375" style="1118" customWidth="1"/>
    <col min="13273" max="13273" width="52.5703125" style="1118" customWidth="1"/>
    <col min="13274" max="13274" width="11" style="1118" customWidth="1"/>
    <col min="13275" max="13275" width="13.42578125" style="1118" customWidth="1"/>
    <col min="13276" max="13276" width="11.28515625" style="1118" customWidth="1"/>
    <col min="13277" max="13277" width="10.28515625" style="1118" customWidth="1"/>
    <col min="13278" max="13278" width="13.85546875" style="1118" customWidth="1"/>
    <col min="13279" max="13280" width="7.85546875" style="1118" customWidth="1"/>
    <col min="13281" max="13281" width="10.85546875" style="1118" customWidth="1"/>
    <col min="13282" max="13282" width="13" style="1118" customWidth="1"/>
    <col min="13283" max="13283" width="11.42578125" style="1118" customWidth="1"/>
    <col min="13284" max="13284" width="10" style="1118" customWidth="1"/>
    <col min="13285" max="13285" width="7.85546875" style="1118" customWidth="1"/>
    <col min="13286" max="13286" width="10.140625" style="1118" customWidth="1"/>
    <col min="13287" max="13288" width="7.85546875" style="1118" customWidth="1"/>
    <col min="13289" max="13289" width="10.85546875" style="1118" customWidth="1"/>
    <col min="13290" max="13290" width="10.7109375" style="1118" customWidth="1"/>
    <col min="13291" max="13291" width="11" style="1118" customWidth="1"/>
    <col min="13292" max="13294" width="7.85546875" style="1118" customWidth="1"/>
    <col min="13295" max="13295" width="11.28515625" style="1118" customWidth="1"/>
    <col min="13296" max="13296" width="12.42578125" style="1118" customWidth="1"/>
    <col min="13297" max="13297" width="11" style="1118" customWidth="1"/>
    <col min="13298" max="13299" width="7.85546875" style="1118" customWidth="1"/>
    <col min="13300" max="13300" width="11" style="1118" customWidth="1"/>
    <col min="13301" max="13301" width="10.5703125" style="1118" customWidth="1"/>
    <col min="13302" max="13303" width="11" style="1118" customWidth="1"/>
    <col min="13304" max="13308" width="7.85546875" style="1118" bestFit="1" customWidth="1"/>
    <col min="13309" max="13309" width="8.42578125" style="1118" bestFit="1" customWidth="1"/>
    <col min="13310" max="13310" width="11.42578125" style="1118" customWidth="1"/>
    <col min="13311" max="13311" width="7.85546875" style="1118" bestFit="1" customWidth="1"/>
    <col min="13312" max="13312" width="9.5703125" style="1118" customWidth="1"/>
    <col min="13313" max="13313" width="7.85546875" style="1118" bestFit="1" customWidth="1"/>
    <col min="13314" max="13314" width="12" style="1118" customWidth="1"/>
    <col min="13315" max="13315" width="13.42578125" style="1118" customWidth="1"/>
    <col min="13316" max="13316" width="9.5703125" style="1118" bestFit="1" customWidth="1"/>
    <col min="13317" max="13323" width="9.140625" style="1118" customWidth="1"/>
    <col min="13324" max="13527" width="9.140625" style="1118"/>
    <col min="13528" max="13528" width="16.7109375" style="1118" customWidth="1"/>
    <col min="13529" max="13529" width="52.5703125" style="1118" customWidth="1"/>
    <col min="13530" max="13530" width="11" style="1118" customWidth="1"/>
    <col min="13531" max="13531" width="13.42578125" style="1118" customWidth="1"/>
    <col min="13532" max="13532" width="11.28515625" style="1118" customWidth="1"/>
    <col min="13533" max="13533" width="10.28515625" style="1118" customWidth="1"/>
    <col min="13534" max="13534" width="13.85546875" style="1118" customWidth="1"/>
    <col min="13535" max="13536" width="7.85546875" style="1118" customWidth="1"/>
    <col min="13537" max="13537" width="10.85546875" style="1118" customWidth="1"/>
    <col min="13538" max="13538" width="13" style="1118" customWidth="1"/>
    <col min="13539" max="13539" width="11.42578125" style="1118" customWidth="1"/>
    <col min="13540" max="13540" width="10" style="1118" customWidth="1"/>
    <col min="13541" max="13541" width="7.85546875" style="1118" customWidth="1"/>
    <col min="13542" max="13542" width="10.140625" style="1118" customWidth="1"/>
    <col min="13543" max="13544" width="7.85546875" style="1118" customWidth="1"/>
    <col min="13545" max="13545" width="10.85546875" style="1118" customWidth="1"/>
    <col min="13546" max="13546" width="10.7109375" style="1118" customWidth="1"/>
    <col min="13547" max="13547" width="11" style="1118" customWidth="1"/>
    <col min="13548" max="13550" width="7.85546875" style="1118" customWidth="1"/>
    <col min="13551" max="13551" width="11.28515625" style="1118" customWidth="1"/>
    <col min="13552" max="13552" width="12.42578125" style="1118" customWidth="1"/>
    <col min="13553" max="13553" width="11" style="1118" customWidth="1"/>
    <col min="13554" max="13555" width="7.85546875" style="1118" customWidth="1"/>
    <col min="13556" max="13556" width="11" style="1118" customWidth="1"/>
    <col min="13557" max="13557" width="10.5703125" style="1118" customWidth="1"/>
    <col min="13558" max="13559" width="11" style="1118" customWidth="1"/>
    <col min="13560" max="13564" width="7.85546875" style="1118" bestFit="1" customWidth="1"/>
    <col min="13565" max="13565" width="8.42578125" style="1118" bestFit="1" customWidth="1"/>
    <col min="13566" max="13566" width="11.42578125" style="1118" customWidth="1"/>
    <col min="13567" max="13567" width="7.85546875" style="1118" bestFit="1" customWidth="1"/>
    <col min="13568" max="13568" width="9.5703125" style="1118" customWidth="1"/>
    <col min="13569" max="13569" width="7.85546875" style="1118" bestFit="1" customWidth="1"/>
    <col min="13570" max="13570" width="12" style="1118" customWidth="1"/>
    <col min="13571" max="13571" width="13.42578125" style="1118" customWidth="1"/>
    <col min="13572" max="13572" width="9.5703125" style="1118" bestFit="1" customWidth="1"/>
    <col min="13573" max="13579" width="9.140625" style="1118" customWidth="1"/>
    <col min="13580" max="13783" width="9.140625" style="1118"/>
    <col min="13784" max="13784" width="16.7109375" style="1118" customWidth="1"/>
    <col min="13785" max="13785" width="52.5703125" style="1118" customWidth="1"/>
    <col min="13786" max="13786" width="11" style="1118" customWidth="1"/>
    <col min="13787" max="13787" width="13.42578125" style="1118" customWidth="1"/>
    <col min="13788" max="13788" width="11.28515625" style="1118" customWidth="1"/>
    <col min="13789" max="13789" width="10.28515625" style="1118" customWidth="1"/>
    <col min="13790" max="13790" width="13.85546875" style="1118" customWidth="1"/>
    <col min="13791" max="13792" width="7.85546875" style="1118" customWidth="1"/>
    <col min="13793" max="13793" width="10.85546875" style="1118" customWidth="1"/>
    <col min="13794" max="13794" width="13" style="1118" customWidth="1"/>
    <col min="13795" max="13795" width="11.42578125" style="1118" customWidth="1"/>
    <col min="13796" max="13796" width="10" style="1118" customWidth="1"/>
    <col min="13797" max="13797" width="7.85546875" style="1118" customWidth="1"/>
    <col min="13798" max="13798" width="10.140625" style="1118" customWidth="1"/>
    <col min="13799" max="13800" width="7.85546875" style="1118" customWidth="1"/>
    <col min="13801" max="13801" width="10.85546875" style="1118" customWidth="1"/>
    <col min="13802" max="13802" width="10.7109375" style="1118" customWidth="1"/>
    <col min="13803" max="13803" width="11" style="1118" customWidth="1"/>
    <col min="13804" max="13806" width="7.85546875" style="1118" customWidth="1"/>
    <col min="13807" max="13807" width="11.28515625" style="1118" customWidth="1"/>
    <col min="13808" max="13808" width="12.42578125" style="1118" customWidth="1"/>
    <col min="13809" max="13809" width="11" style="1118" customWidth="1"/>
    <col min="13810" max="13811" width="7.85546875" style="1118" customWidth="1"/>
    <col min="13812" max="13812" width="11" style="1118" customWidth="1"/>
    <col min="13813" max="13813" width="10.5703125" style="1118" customWidth="1"/>
    <col min="13814" max="13815" width="11" style="1118" customWidth="1"/>
    <col min="13816" max="13820" width="7.85546875" style="1118" bestFit="1" customWidth="1"/>
    <col min="13821" max="13821" width="8.42578125" style="1118" bestFit="1" customWidth="1"/>
    <col min="13822" max="13822" width="11.42578125" style="1118" customWidth="1"/>
    <col min="13823" max="13823" width="7.85546875" style="1118" bestFit="1" customWidth="1"/>
    <col min="13824" max="13824" width="9.5703125" style="1118" customWidth="1"/>
    <col min="13825" max="13825" width="7.85546875" style="1118" bestFit="1" customWidth="1"/>
    <col min="13826" max="13826" width="12" style="1118" customWidth="1"/>
    <col min="13827" max="13827" width="13.42578125" style="1118" customWidth="1"/>
    <col min="13828" max="13828" width="9.5703125" style="1118" bestFit="1" customWidth="1"/>
    <col min="13829" max="13835" width="9.140625" style="1118" customWidth="1"/>
    <col min="13836" max="14039" width="9.140625" style="1118"/>
    <col min="14040" max="14040" width="16.7109375" style="1118" customWidth="1"/>
    <col min="14041" max="14041" width="52.5703125" style="1118" customWidth="1"/>
    <col min="14042" max="14042" width="11" style="1118" customWidth="1"/>
    <col min="14043" max="14043" width="13.42578125" style="1118" customWidth="1"/>
    <col min="14044" max="14044" width="11.28515625" style="1118" customWidth="1"/>
    <col min="14045" max="14045" width="10.28515625" style="1118" customWidth="1"/>
    <col min="14046" max="14046" width="13.85546875" style="1118" customWidth="1"/>
    <col min="14047" max="14048" width="7.85546875" style="1118" customWidth="1"/>
    <col min="14049" max="14049" width="10.85546875" style="1118" customWidth="1"/>
    <col min="14050" max="14050" width="13" style="1118" customWidth="1"/>
    <col min="14051" max="14051" width="11.42578125" style="1118" customWidth="1"/>
    <col min="14052" max="14052" width="10" style="1118" customWidth="1"/>
    <col min="14053" max="14053" width="7.85546875" style="1118" customWidth="1"/>
    <col min="14054" max="14054" width="10.140625" style="1118" customWidth="1"/>
    <col min="14055" max="14056" width="7.85546875" style="1118" customWidth="1"/>
    <col min="14057" max="14057" width="10.85546875" style="1118" customWidth="1"/>
    <col min="14058" max="14058" width="10.7109375" style="1118" customWidth="1"/>
    <col min="14059" max="14059" width="11" style="1118" customWidth="1"/>
    <col min="14060" max="14062" width="7.85546875" style="1118" customWidth="1"/>
    <col min="14063" max="14063" width="11.28515625" style="1118" customWidth="1"/>
    <col min="14064" max="14064" width="12.42578125" style="1118" customWidth="1"/>
    <col min="14065" max="14065" width="11" style="1118" customWidth="1"/>
    <col min="14066" max="14067" width="7.85546875" style="1118" customWidth="1"/>
    <col min="14068" max="14068" width="11" style="1118" customWidth="1"/>
    <col min="14069" max="14069" width="10.5703125" style="1118" customWidth="1"/>
    <col min="14070" max="14071" width="11" style="1118" customWidth="1"/>
    <col min="14072" max="14076" width="7.85546875" style="1118" bestFit="1" customWidth="1"/>
    <col min="14077" max="14077" width="8.42578125" style="1118" bestFit="1" customWidth="1"/>
    <col min="14078" max="14078" width="11.42578125" style="1118" customWidth="1"/>
    <col min="14079" max="14079" width="7.85546875" style="1118" bestFit="1" customWidth="1"/>
    <col min="14080" max="14080" width="9.5703125" style="1118" customWidth="1"/>
    <col min="14081" max="14081" width="7.85546875" style="1118" bestFit="1" customWidth="1"/>
    <col min="14082" max="14082" width="12" style="1118" customWidth="1"/>
    <col min="14083" max="14083" width="13.42578125" style="1118" customWidth="1"/>
    <col min="14084" max="14084" width="9.5703125" style="1118" bestFit="1" customWidth="1"/>
    <col min="14085" max="14091" width="9.140625" style="1118" customWidth="1"/>
    <col min="14092" max="14295" width="9.140625" style="1118"/>
    <col min="14296" max="14296" width="16.7109375" style="1118" customWidth="1"/>
    <col min="14297" max="14297" width="52.5703125" style="1118" customWidth="1"/>
    <col min="14298" max="14298" width="11" style="1118" customWidth="1"/>
    <col min="14299" max="14299" width="13.42578125" style="1118" customWidth="1"/>
    <col min="14300" max="14300" width="11.28515625" style="1118" customWidth="1"/>
    <col min="14301" max="14301" width="10.28515625" style="1118" customWidth="1"/>
    <col min="14302" max="14302" width="13.85546875" style="1118" customWidth="1"/>
    <col min="14303" max="14304" width="7.85546875" style="1118" customWidth="1"/>
    <col min="14305" max="14305" width="10.85546875" style="1118" customWidth="1"/>
    <col min="14306" max="14306" width="13" style="1118" customWidth="1"/>
    <col min="14307" max="14307" width="11.42578125" style="1118" customWidth="1"/>
    <col min="14308" max="14308" width="10" style="1118" customWidth="1"/>
    <col min="14309" max="14309" width="7.85546875" style="1118" customWidth="1"/>
    <col min="14310" max="14310" width="10.140625" style="1118" customWidth="1"/>
    <col min="14311" max="14312" width="7.85546875" style="1118" customWidth="1"/>
    <col min="14313" max="14313" width="10.85546875" style="1118" customWidth="1"/>
    <col min="14314" max="14314" width="10.7109375" style="1118" customWidth="1"/>
    <col min="14315" max="14315" width="11" style="1118" customWidth="1"/>
    <col min="14316" max="14318" width="7.85546875" style="1118" customWidth="1"/>
    <col min="14319" max="14319" width="11.28515625" style="1118" customWidth="1"/>
    <col min="14320" max="14320" width="12.42578125" style="1118" customWidth="1"/>
    <col min="14321" max="14321" width="11" style="1118" customWidth="1"/>
    <col min="14322" max="14323" width="7.85546875" style="1118" customWidth="1"/>
    <col min="14324" max="14324" width="11" style="1118" customWidth="1"/>
    <col min="14325" max="14325" width="10.5703125" style="1118" customWidth="1"/>
    <col min="14326" max="14327" width="11" style="1118" customWidth="1"/>
    <col min="14328" max="14332" width="7.85546875" style="1118" bestFit="1" customWidth="1"/>
    <col min="14333" max="14333" width="8.42578125" style="1118" bestFit="1" customWidth="1"/>
    <col min="14334" max="14334" width="11.42578125" style="1118" customWidth="1"/>
    <col min="14335" max="14335" width="7.85546875" style="1118" bestFit="1" customWidth="1"/>
    <col min="14336" max="14336" width="9.5703125" style="1118" customWidth="1"/>
    <col min="14337" max="14337" width="7.85546875" style="1118" bestFit="1" customWidth="1"/>
    <col min="14338" max="14338" width="12" style="1118" customWidth="1"/>
    <col min="14339" max="14339" width="13.42578125" style="1118" customWidth="1"/>
    <col min="14340" max="14340" width="9.5703125" style="1118" bestFit="1" customWidth="1"/>
    <col min="14341" max="14347" width="9.140625" style="1118" customWidth="1"/>
    <col min="14348" max="14551" width="9.140625" style="1118"/>
    <col min="14552" max="14552" width="16.7109375" style="1118" customWidth="1"/>
    <col min="14553" max="14553" width="52.5703125" style="1118" customWidth="1"/>
    <col min="14554" max="14554" width="11" style="1118" customWidth="1"/>
    <col min="14555" max="14555" width="13.42578125" style="1118" customWidth="1"/>
    <col min="14556" max="14556" width="11.28515625" style="1118" customWidth="1"/>
    <col min="14557" max="14557" width="10.28515625" style="1118" customWidth="1"/>
    <col min="14558" max="14558" width="13.85546875" style="1118" customWidth="1"/>
    <col min="14559" max="14560" width="7.85546875" style="1118" customWidth="1"/>
    <col min="14561" max="14561" width="10.85546875" style="1118" customWidth="1"/>
    <col min="14562" max="14562" width="13" style="1118" customWidth="1"/>
    <col min="14563" max="14563" width="11.42578125" style="1118" customWidth="1"/>
    <col min="14564" max="14564" width="10" style="1118" customWidth="1"/>
    <col min="14565" max="14565" width="7.85546875" style="1118" customWidth="1"/>
    <col min="14566" max="14566" width="10.140625" style="1118" customWidth="1"/>
    <col min="14567" max="14568" width="7.85546875" style="1118" customWidth="1"/>
    <col min="14569" max="14569" width="10.85546875" style="1118" customWidth="1"/>
    <col min="14570" max="14570" width="10.7109375" style="1118" customWidth="1"/>
    <col min="14571" max="14571" width="11" style="1118" customWidth="1"/>
    <col min="14572" max="14574" width="7.85546875" style="1118" customWidth="1"/>
    <col min="14575" max="14575" width="11.28515625" style="1118" customWidth="1"/>
    <col min="14576" max="14576" width="12.42578125" style="1118" customWidth="1"/>
    <col min="14577" max="14577" width="11" style="1118" customWidth="1"/>
    <col min="14578" max="14579" width="7.85546875" style="1118" customWidth="1"/>
    <col min="14580" max="14580" width="11" style="1118" customWidth="1"/>
    <col min="14581" max="14581" width="10.5703125" style="1118" customWidth="1"/>
    <col min="14582" max="14583" width="11" style="1118" customWidth="1"/>
    <col min="14584" max="14588" width="7.85546875" style="1118" bestFit="1" customWidth="1"/>
    <col min="14589" max="14589" width="8.42578125" style="1118" bestFit="1" customWidth="1"/>
    <col min="14590" max="14590" width="11.42578125" style="1118" customWidth="1"/>
    <col min="14591" max="14591" width="7.85546875" style="1118" bestFit="1" customWidth="1"/>
    <col min="14592" max="14592" width="9.5703125" style="1118" customWidth="1"/>
    <col min="14593" max="14593" width="7.85546875" style="1118" bestFit="1" customWidth="1"/>
    <col min="14594" max="14594" width="12" style="1118" customWidth="1"/>
    <col min="14595" max="14595" width="13.42578125" style="1118" customWidth="1"/>
    <col min="14596" max="14596" width="9.5703125" style="1118" bestFit="1" customWidth="1"/>
    <col min="14597" max="14603" width="9.140625" style="1118" customWidth="1"/>
    <col min="14604" max="14807" width="9.140625" style="1118"/>
    <col min="14808" max="14808" width="16.7109375" style="1118" customWidth="1"/>
    <col min="14809" max="14809" width="52.5703125" style="1118" customWidth="1"/>
    <col min="14810" max="14810" width="11" style="1118" customWidth="1"/>
    <col min="14811" max="14811" width="13.42578125" style="1118" customWidth="1"/>
    <col min="14812" max="14812" width="11.28515625" style="1118" customWidth="1"/>
    <col min="14813" max="14813" width="10.28515625" style="1118" customWidth="1"/>
    <col min="14814" max="14814" width="13.85546875" style="1118" customWidth="1"/>
    <col min="14815" max="14816" width="7.85546875" style="1118" customWidth="1"/>
    <col min="14817" max="14817" width="10.85546875" style="1118" customWidth="1"/>
    <col min="14818" max="14818" width="13" style="1118" customWidth="1"/>
    <col min="14819" max="14819" width="11.42578125" style="1118" customWidth="1"/>
    <col min="14820" max="14820" width="10" style="1118" customWidth="1"/>
    <col min="14821" max="14821" width="7.85546875" style="1118" customWidth="1"/>
    <col min="14822" max="14822" width="10.140625" style="1118" customWidth="1"/>
    <col min="14823" max="14824" width="7.85546875" style="1118" customWidth="1"/>
    <col min="14825" max="14825" width="10.85546875" style="1118" customWidth="1"/>
    <col min="14826" max="14826" width="10.7109375" style="1118" customWidth="1"/>
    <col min="14827" max="14827" width="11" style="1118" customWidth="1"/>
    <col min="14828" max="14830" width="7.85546875" style="1118" customWidth="1"/>
    <col min="14831" max="14831" width="11.28515625" style="1118" customWidth="1"/>
    <col min="14832" max="14832" width="12.42578125" style="1118" customWidth="1"/>
    <col min="14833" max="14833" width="11" style="1118" customWidth="1"/>
    <col min="14834" max="14835" width="7.85546875" style="1118" customWidth="1"/>
    <col min="14836" max="14836" width="11" style="1118" customWidth="1"/>
    <col min="14837" max="14837" width="10.5703125" style="1118" customWidth="1"/>
    <col min="14838" max="14839" width="11" style="1118" customWidth="1"/>
    <col min="14840" max="14844" width="7.85546875" style="1118" bestFit="1" customWidth="1"/>
    <col min="14845" max="14845" width="8.42578125" style="1118" bestFit="1" customWidth="1"/>
    <col min="14846" max="14846" width="11.42578125" style="1118" customWidth="1"/>
    <col min="14847" max="14847" width="7.85546875" style="1118" bestFit="1" customWidth="1"/>
    <col min="14848" max="14848" width="9.5703125" style="1118" customWidth="1"/>
    <col min="14849" max="14849" width="7.85546875" style="1118" bestFit="1" customWidth="1"/>
    <col min="14850" max="14850" width="12" style="1118" customWidth="1"/>
    <col min="14851" max="14851" width="13.42578125" style="1118" customWidth="1"/>
    <col min="14852" max="14852" width="9.5703125" style="1118" bestFit="1" customWidth="1"/>
    <col min="14853" max="14859" width="9.140625" style="1118" customWidth="1"/>
    <col min="14860" max="15063" width="9.140625" style="1118"/>
    <col min="15064" max="15064" width="16.7109375" style="1118" customWidth="1"/>
    <col min="15065" max="15065" width="52.5703125" style="1118" customWidth="1"/>
    <col min="15066" max="15066" width="11" style="1118" customWidth="1"/>
    <col min="15067" max="15067" width="13.42578125" style="1118" customWidth="1"/>
    <col min="15068" max="15068" width="11.28515625" style="1118" customWidth="1"/>
    <col min="15069" max="15069" width="10.28515625" style="1118" customWidth="1"/>
    <col min="15070" max="15070" width="13.85546875" style="1118" customWidth="1"/>
    <col min="15071" max="15072" width="7.85546875" style="1118" customWidth="1"/>
    <col min="15073" max="15073" width="10.85546875" style="1118" customWidth="1"/>
    <col min="15074" max="15074" width="13" style="1118" customWidth="1"/>
    <col min="15075" max="15075" width="11.42578125" style="1118" customWidth="1"/>
    <col min="15076" max="15076" width="10" style="1118" customWidth="1"/>
    <col min="15077" max="15077" width="7.85546875" style="1118" customWidth="1"/>
    <col min="15078" max="15078" width="10.140625" style="1118" customWidth="1"/>
    <col min="15079" max="15080" width="7.85546875" style="1118" customWidth="1"/>
    <col min="15081" max="15081" width="10.85546875" style="1118" customWidth="1"/>
    <col min="15082" max="15082" width="10.7109375" style="1118" customWidth="1"/>
    <col min="15083" max="15083" width="11" style="1118" customWidth="1"/>
    <col min="15084" max="15086" width="7.85546875" style="1118" customWidth="1"/>
    <col min="15087" max="15087" width="11.28515625" style="1118" customWidth="1"/>
    <col min="15088" max="15088" width="12.42578125" style="1118" customWidth="1"/>
    <col min="15089" max="15089" width="11" style="1118" customWidth="1"/>
    <col min="15090" max="15091" width="7.85546875" style="1118" customWidth="1"/>
    <col min="15092" max="15092" width="11" style="1118" customWidth="1"/>
    <col min="15093" max="15093" width="10.5703125" style="1118" customWidth="1"/>
    <col min="15094" max="15095" width="11" style="1118" customWidth="1"/>
    <col min="15096" max="15100" width="7.85546875" style="1118" bestFit="1" customWidth="1"/>
    <col min="15101" max="15101" width="8.42578125" style="1118" bestFit="1" customWidth="1"/>
    <col min="15102" max="15102" width="11.42578125" style="1118" customWidth="1"/>
    <col min="15103" max="15103" width="7.85546875" style="1118" bestFit="1" customWidth="1"/>
    <col min="15104" max="15104" width="9.5703125" style="1118" customWidth="1"/>
    <col min="15105" max="15105" width="7.85546875" style="1118" bestFit="1" customWidth="1"/>
    <col min="15106" max="15106" width="12" style="1118" customWidth="1"/>
    <col min="15107" max="15107" width="13.42578125" style="1118" customWidth="1"/>
    <col min="15108" max="15108" width="9.5703125" style="1118" bestFit="1" customWidth="1"/>
    <col min="15109" max="15115" width="9.140625" style="1118" customWidth="1"/>
    <col min="15116" max="15319" width="9.140625" style="1118"/>
    <col min="15320" max="15320" width="16.7109375" style="1118" customWidth="1"/>
    <col min="15321" max="15321" width="52.5703125" style="1118" customWidth="1"/>
    <col min="15322" max="15322" width="11" style="1118" customWidth="1"/>
    <col min="15323" max="15323" width="13.42578125" style="1118" customWidth="1"/>
    <col min="15324" max="15324" width="11.28515625" style="1118" customWidth="1"/>
    <col min="15325" max="15325" width="10.28515625" style="1118" customWidth="1"/>
    <col min="15326" max="15326" width="13.85546875" style="1118" customWidth="1"/>
    <col min="15327" max="15328" width="7.85546875" style="1118" customWidth="1"/>
    <col min="15329" max="15329" width="10.85546875" style="1118" customWidth="1"/>
    <col min="15330" max="15330" width="13" style="1118" customWidth="1"/>
    <col min="15331" max="15331" width="11.42578125" style="1118" customWidth="1"/>
    <col min="15332" max="15332" width="10" style="1118" customWidth="1"/>
    <col min="15333" max="15333" width="7.85546875" style="1118" customWidth="1"/>
    <col min="15334" max="15334" width="10.140625" style="1118" customWidth="1"/>
    <col min="15335" max="15336" width="7.85546875" style="1118" customWidth="1"/>
    <col min="15337" max="15337" width="10.85546875" style="1118" customWidth="1"/>
    <col min="15338" max="15338" width="10.7109375" style="1118" customWidth="1"/>
    <col min="15339" max="15339" width="11" style="1118" customWidth="1"/>
    <col min="15340" max="15342" width="7.85546875" style="1118" customWidth="1"/>
    <col min="15343" max="15343" width="11.28515625" style="1118" customWidth="1"/>
    <col min="15344" max="15344" width="12.42578125" style="1118" customWidth="1"/>
    <col min="15345" max="15345" width="11" style="1118" customWidth="1"/>
    <col min="15346" max="15347" width="7.85546875" style="1118" customWidth="1"/>
    <col min="15348" max="15348" width="11" style="1118" customWidth="1"/>
    <col min="15349" max="15349" width="10.5703125" style="1118" customWidth="1"/>
    <col min="15350" max="15351" width="11" style="1118" customWidth="1"/>
    <col min="15352" max="15356" width="7.85546875" style="1118" bestFit="1" customWidth="1"/>
    <col min="15357" max="15357" width="8.42578125" style="1118" bestFit="1" customWidth="1"/>
    <col min="15358" max="15358" width="11.42578125" style="1118" customWidth="1"/>
    <col min="15359" max="15359" width="7.85546875" style="1118" bestFit="1" customWidth="1"/>
    <col min="15360" max="15360" width="9.5703125" style="1118" customWidth="1"/>
    <col min="15361" max="15361" width="7.85546875" style="1118" bestFit="1" customWidth="1"/>
    <col min="15362" max="15362" width="12" style="1118" customWidth="1"/>
    <col min="15363" max="15363" width="13.42578125" style="1118" customWidth="1"/>
    <col min="15364" max="15364" width="9.5703125" style="1118" bestFit="1" customWidth="1"/>
    <col min="15365" max="15371" width="9.140625" style="1118" customWidth="1"/>
    <col min="15372" max="15575" width="9.140625" style="1118"/>
    <col min="15576" max="15576" width="16.7109375" style="1118" customWidth="1"/>
    <col min="15577" max="15577" width="52.5703125" style="1118" customWidth="1"/>
    <col min="15578" max="15578" width="11" style="1118" customWidth="1"/>
    <col min="15579" max="15579" width="13.42578125" style="1118" customWidth="1"/>
    <col min="15580" max="15580" width="11.28515625" style="1118" customWidth="1"/>
    <col min="15581" max="15581" width="10.28515625" style="1118" customWidth="1"/>
    <col min="15582" max="15582" width="13.85546875" style="1118" customWidth="1"/>
    <col min="15583" max="15584" width="7.85546875" style="1118" customWidth="1"/>
    <col min="15585" max="15585" width="10.85546875" style="1118" customWidth="1"/>
    <col min="15586" max="15586" width="13" style="1118" customWidth="1"/>
    <col min="15587" max="15587" width="11.42578125" style="1118" customWidth="1"/>
    <col min="15588" max="15588" width="10" style="1118" customWidth="1"/>
    <col min="15589" max="15589" width="7.85546875" style="1118" customWidth="1"/>
    <col min="15590" max="15590" width="10.140625" style="1118" customWidth="1"/>
    <col min="15591" max="15592" width="7.85546875" style="1118" customWidth="1"/>
    <col min="15593" max="15593" width="10.85546875" style="1118" customWidth="1"/>
    <col min="15594" max="15594" width="10.7109375" style="1118" customWidth="1"/>
    <col min="15595" max="15595" width="11" style="1118" customWidth="1"/>
    <col min="15596" max="15598" width="7.85546875" style="1118" customWidth="1"/>
    <col min="15599" max="15599" width="11.28515625" style="1118" customWidth="1"/>
    <col min="15600" max="15600" width="12.42578125" style="1118" customWidth="1"/>
    <col min="15601" max="15601" width="11" style="1118" customWidth="1"/>
    <col min="15602" max="15603" width="7.85546875" style="1118" customWidth="1"/>
    <col min="15604" max="15604" width="11" style="1118" customWidth="1"/>
    <col min="15605" max="15605" width="10.5703125" style="1118" customWidth="1"/>
    <col min="15606" max="15607" width="11" style="1118" customWidth="1"/>
    <col min="15608" max="15612" width="7.85546875" style="1118" bestFit="1" customWidth="1"/>
    <col min="15613" max="15613" width="8.42578125" style="1118" bestFit="1" customWidth="1"/>
    <col min="15614" max="15614" width="11.42578125" style="1118" customWidth="1"/>
    <col min="15615" max="15615" width="7.85546875" style="1118" bestFit="1" customWidth="1"/>
    <col min="15616" max="15616" width="9.5703125" style="1118" customWidth="1"/>
    <col min="15617" max="15617" width="7.85546875" style="1118" bestFit="1" customWidth="1"/>
    <col min="15618" max="15618" width="12" style="1118" customWidth="1"/>
    <col min="15619" max="15619" width="13.42578125" style="1118" customWidth="1"/>
    <col min="15620" max="15620" width="9.5703125" style="1118" bestFit="1" customWidth="1"/>
    <col min="15621" max="15627" width="9.140625" style="1118" customWidth="1"/>
    <col min="15628" max="15831" width="9.140625" style="1118"/>
    <col min="15832" max="15832" width="16.7109375" style="1118" customWidth="1"/>
    <col min="15833" max="15833" width="52.5703125" style="1118" customWidth="1"/>
    <col min="15834" max="15834" width="11" style="1118" customWidth="1"/>
    <col min="15835" max="15835" width="13.42578125" style="1118" customWidth="1"/>
    <col min="15836" max="15836" width="11.28515625" style="1118" customWidth="1"/>
    <col min="15837" max="15837" width="10.28515625" style="1118" customWidth="1"/>
    <col min="15838" max="15838" width="13.85546875" style="1118" customWidth="1"/>
    <col min="15839" max="15840" width="7.85546875" style="1118" customWidth="1"/>
    <col min="15841" max="15841" width="10.85546875" style="1118" customWidth="1"/>
    <col min="15842" max="15842" width="13" style="1118" customWidth="1"/>
    <col min="15843" max="15843" width="11.42578125" style="1118" customWidth="1"/>
    <col min="15844" max="15844" width="10" style="1118" customWidth="1"/>
    <col min="15845" max="15845" width="7.85546875" style="1118" customWidth="1"/>
    <col min="15846" max="15846" width="10.140625" style="1118" customWidth="1"/>
    <col min="15847" max="15848" width="7.85546875" style="1118" customWidth="1"/>
    <col min="15849" max="15849" width="10.85546875" style="1118" customWidth="1"/>
    <col min="15850" max="15850" width="10.7109375" style="1118" customWidth="1"/>
    <col min="15851" max="15851" width="11" style="1118" customWidth="1"/>
    <col min="15852" max="15854" width="7.85546875" style="1118" customWidth="1"/>
    <col min="15855" max="15855" width="11.28515625" style="1118" customWidth="1"/>
    <col min="15856" max="15856" width="12.42578125" style="1118" customWidth="1"/>
    <col min="15857" max="15857" width="11" style="1118" customWidth="1"/>
    <col min="15858" max="15859" width="7.85546875" style="1118" customWidth="1"/>
    <col min="15860" max="15860" width="11" style="1118" customWidth="1"/>
    <col min="15861" max="15861" width="10.5703125" style="1118" customWidth="1"/>
    <col min="15862" max="15863" width="11" style="1118" customWidth="1"/>
    <col min="15864" max="15868" width="7.85546875" style="1118" bestFit="1" customWidth="1"/>
    <col min="15869" max="15869" width="8.42578125" style="1118" bestFit="1" customWidth="1"/>
    <col min="15870" max="15870" width="11.42578125" style="1118" customWidth="1"/>
    <col min="15871" max="15871" width="7.85546875" style="1118" bestFit="1" customWidth="1"/>
    <col min="15872" max="15872" width="9.5703125" style="1118" customWidth="1"/>
    <col min="15873" max="15873" width="7.85546875" style="1118" bestFit="1" customWidth="1"/>
    <col min="15874" max="15874" width="12" style="1118" customWidth="1"/>
    <col min="15875" max="15875" width="13.42578125" style="1118" customWidth="1"/>
    <col min="15876" max="15876" width="9.5703125" style="1118" bestFit="1" customWidth="1"/>
    <col min="15877" max="15883" width="9.140625" style="1118" customWidth="1"/>
    <col min="15884" max="16087" width="9.140625" style="1118"/>
    <col min="16088" max="16088" width="16.7109375" style="1118" customWidth="1"/>
    <col min="16089" max="16089" width="52.5703125" style="1118" customWidth="1"/>
    <col min="16090" max="16090" width="11" style="1118" customWidth="1"/>
    <col min="16091" max="16091" width="13.42578125" style="1118" customWidth="1"/>
    <col min="16092" max="16092" width="11.28515625" style="1118" customWidth="1"/>
    <col min="16093" max="16093" width="10.28515625" style="1118" customWidth="1"/>
    <col min="16094" max="16094" width="13.85546875" style="1118" customWidth="1"/>
    <col min="16095" max="16096" width="7.85546875" style="1118" customWidth="1"/>
    <col min="16097" max="16097" width="10.85546875" style="1118" customWidth="1"/>
    <col min="16098" max="16098" width="13" style="1118" customWidth="1"/>
    <col min="16099" max="16099" width="11.42578125" style="1118" customWidth="1"/>
    <col min="16100" max="16100" width="10" style="1118" customWidth="1"/>
    <col min="16101" max="16101" width="7.85546875" style="1118" customWidth="1"/>
    <col min="16102" max="16102" width="10.140625" style="1118" customWidth="1"/>
    <col min="16103" max="16104" width="7.85546875" style="1118" customWidth="1"/>
    <col min="16105" max="16105" width="10.85546875" style="1118" customWidth="1"/>
    <col min="16106" max="16106" width="10.7109375" style="1118" customWidth="1"/>
    <col min="16107" max="16107" width="11" style="1118" customWidth="1"/>
    <col min="16108" max="16110" width="7.85546875" style="1118" customWidth="1"/>
    <col min="16111" max="16111" width="11.28515625" style="1118" customWidth="1"/>
    <col min="16112" max="16112" width="12.42578125" style="1118" customWidth="1"/>
    <col min="16113" max="16113" width="11" style="1118" customWidth="1"/>
    <col min="16114" max="16115" width="7.85546875" style="1118" customWidth="1"/>
    <col min="16116" max="16116" width="11" style="1118" customWidth="1"/>
    <col min="16117" max="16117" width="10.5703125" style="1118" customWidth="1"/>
    <col min="16118" max="16119" width="11" style="1118" customWidth="1"/>
    <col min="16120" max="16124" width="7.85546875" style="1118" bestFit="1" customWidth="1"/>
    <col min="16125" max="16125" width="8.42578125" style="1118" bestFit="1" customWidth="1"/>
    <col min="16126" max="16126" width="11.42578125" style="1118" customWidth="1"/>
    <col min="16127" max="16127" width="7.85546875" style="1118" bestFit="1" customWidth="1"/>
    <col min="16128" max="16128" width="9.5703125" style="1118" customWidth="1"/>
    <col min="16129" max="16129" width="7.85546875" style="1118" bestFit="1" customWidth="1"/>
    <col min="16130" max="16130" width="12" style="1118" customWidth="1"/>
    <col min="16131" max="16131" width="13.42578125" style="1118" customWidth="1"/>
    <col min="16132" max="16132" width="9.5703125" style="1118" bestFit="1" customWidth="1"/>
    <col min="16133" max="16139" width="9.140625" style="1118" customWidth="1"/>
    <col min="16140" max="16384" width="9.140625" style="1118"/>
  </cols>
  <sheetData>
    <row r="1" spans="1:7" s="1101" customFormat="1" ht="16.5" customHeight="1" thickBot="1" x14ac:dyDescent="0.3">
      <c r="A1" s="1854" t="s">
        <v>1229</v>
      </c>
      <c r="B1" s="1854"/>
      <c r="C1" s="1854"/>
      <c r="D1" s="1854"/>
      <c r="E1" s="1099"/>
      <c r="F1" s="1100"/>
    </row>
    <row r="2" spans="1:7" s="1106" customFormat="1" ht="21" customHeight="1" x14ac:dyDescent="0.25">
      <c r="A2" s="1102" t="s">
        <v>649</v>
      </c>
      <c r="B2" s="1103" t="s">
        <v>650</v>
      </c>
      <c r="C2" s="1847" t="s">
        <v>651</v>
      </c>
      <c r="D2" s="1848"/>
      <c r="E2" s="1104"/>
      <c r="F2" s="1105"/>
    </row>
    <row r="3" spans="1:7" s="1106" customFormat="1" ht="16.5" thickBot="1" x14ac:dyDescent="0.3">
      <c r="A3" s="1107" t="s">
        <v>652</v>
      </c>
      <c r="B3" s="1108" t="s">
        <v>1213</v>
      </c>
      <c r="C3" s="1849"/>
      <c r="D3" s="1850"/>
      <c r="E3" s="1104"/>
      <c r="F3" s="1105"/>
    </row>
    <row r="4" spans="1:7" s="1113" customFormat="1" ht="15.95" customHeight="1" thickBot="1" x14ac:dyDescent="0.3">
      <c r="A4" s="1109"/>
      <c r="B4" s="1110"/>
      <c r="C4" s="1812" t="s">
        <v>654</v>
      </c>
      <c r="D4" s="1813"/>
      <c r="E4" s="1111"/>
      <c r="F4" s="1112"/>
    </row>
    <row r="5" spans="1:7" ht="36.75" thickBot="1" x14ac:dyDescent="0.3">
      <c r="A5" s="1239" t="s">
        <v>655</v>
      </c>
      <c r="B5" s="1114" t="s">
        <v>656</v>
      </c>
      <c r="C5" s="1115" t="s">
        <v>927</v>
      </c>
      <c r="D5" s="1116" t="s">
        <v>928</v>
      </c>
    </row>
    <row r="6" spans="1:7" s="1125" customFormat="1" ht="12.95" customHeight="1" thickBot="1" x14ac:dyDescent="0.3">
      <c r="A6" s="1119">
        <v>1</v>
      </c>
      <c r="B6" s="1120">
        <v>2</v>
      </c>
      <c r="C6" s="1121">
        <v>3</v>
      </c>
      <c r="D6" s="1122">
        <v>4</v>
      </c>
      <c r="E6" s="1123"/>
      <c r="F6" s="1124"/>
    </row>
    <row r="7" spans="1:7" s="1127" customFormat="1" ht="15.95" customHeight="1" thickBot="1" x14ac:dyDescent="0.3">
      <c r="A7" s="1851" t="s">
        <v>657</v>
      </c>
      <c r="B7" s="1852"/>
      <c r="C7" s="1852"/>
      <c r="D7" s="1853"/>
      <c r="E7" s="1123">
        <v>18010</v>
      </c>
      <c r="F7" s="1124">
        <v>18030</v>
      </c>
      <c r="G7" s="1127" t="s">
        <v>694</v>
      </c>
    </row>
    <row r="8" spans="1:7" s="1125" customFormat="1" ht="12" customHeight="1" thickBot="1" x14ac:dyDescent="0.3">
      <c r="A8" s="1128" t="s">
        <v>696</v>
      </c>
      <c r="B8" s="1129" t="s">
        <v>697</v>
      </c>
      <c r="C8" s="1130">
        <f>+C9+C10+C11+C12+C13+C14</f>
        <v>44799000</v>
      </c>
      <c r="D8" s="1131">
        <f>+D9+D10+D11+D12+D13+D14</f>
        <v>0</v>
      </c>
      <c r="E8" s="1132"/>
      <c r="F8" s="1132"/>
    </row>
    <row r="9" spans="1:7" s="1138" customFormat="1" ht="12" customHeight="1" x14ac:dyDescent="0.2">
      <c r="A9" s="1133" t="s">
        <v>698</v>
      </c>
      <c r="B9" s="1134" t="s">
        <v>699</v>
      </c>
      <c r="C9" s="1135">
        <f t="shared" ref="C9:C14" si="0">SUM(E9:F9)</f>
        <v>44799000</v>
      </c>
      <c r="D9" s="1136"/>
      <c r="E9" s="1117">
        <v>44799000</v>
      </c>
      <c r="F9" s="1137"/>
    </row>
    <row r="10" spans="1:7" s="1142" customFormat="1" ht="12" customHeight="1" x14ac:dyDescent="0.2">
      <c r="A10" s="1139" t="s">
        <v>700</v>
      </c>
      <c r="B10" s="1140" t="s">
        <v>701</v>
      </c>
      <c r="C10" s="1135">
        <f t="shared" si="0"/>
        <v>0</v>
      </c>
      <c r="D10" s="1141"/>
      <c r="E10" s="1117"/>
      <c r="F10" s="1117"/>
    </row>
    <row r="11" spans="1:7" s="1142" customFormat="1" ht="12" customHeight="1" x14ac:dyDescent="0.2">
      <c r="A11" s="1139" t="s">
        <v>702</v>
      </c>
      <c r="B11" s="1140" t="s">
        <v>703</v>
      </c>
      <c r="C11" s="1135">
        <f t="shared" si="0"/>
        <v>0</v>
      </c>
      <c r="D11" s="1141"/>
      <c r="E11" s="1117"/>
      <c r="F11" s="1117"/>
    </row>
    <row r="12" spans="1:7" s="1142" customFormat="1" ht="12" customHeight="1" x14ac:dyDescent="0.2">
      <c r="A12" s="1139" t="s">
        <v>704</v>
      </c>
      <c r="B12" s="1140" t="s">
        <v>705</v>
      </c>
      <c r="C12" s="1135">
        <f t="shared" si="0"/>
        <v>0</v>
      </c>
      <c r="D12" s="1141"/>
      <c r="E12" s="1117"/>
      <c r="F12" s="1117"/>
    </row>
    <row r="13" spans="1:7" s="1142" customFormat="1" ht="12" customHeight="1" x14ac:dyDescent="0.2">
      <c r="A13" s="1139" t="s">
        <v>706</v>
      </c>
      <c r="B13" s="1140" t="s">
        <v>707</v>
      </c>
      <c r="C13" s="1135">
        <f t="shared" si="0"/>
        <v>0</v>
      </c>
      <c r="D13" s="1141"/>
      <c r="E13" s="1117"/>
      <c r="F13" s="1117"/>
    </row>
    <row r="14" spans="1:7" s="1138" customFormat="1" ht="12" customHeight="1" thickBot="1" x14ac:dyDescent="0.25">
      <c r="A14" s="1143" t="s">
        <v>708</v>
      </c>
      <c r="B14" s="1144" t="s">
        <v>709</v>
      </c>
      <c r="C14" s="1135">
        <f t="shared" si="0"/>
        <v>0</v>
      </c>
      <c r="D14" s="1141"/>
      <c r="E14" s="1117"/>
      <c r="F14" s="1137"/>
    </row>
    <row r="15" spans="1:7" s="1138" customFormat="1" ht="21.75" customHeight="1" thickBot="1" x14ac:dyDescent="0.3">
      <c r="A15" s="1128" t="s">
        <v>710</v>
      </c>
      <c r="B15" s="1145" t="s">
        <v>711</v>
      </c>
      <c r="C15" s="1130">
        <f>+C16+C17+C18+C19+C20</f>
        <v>0</v>
      </c>
      <c r="D15" s="1131">
        <f>+D16+D17+D18+D19+D20</f>
        <v>0</v>
      </c>
      <c r="E15" s="1117"/>
      <c r="F15" s="1137"/>
    </row>
    <row r="16" spans="1:7" s="1138" customFormat="1" ht="12" customHeight="1" x14ac:dyDescent="0.2">
      <c r="A16" s="1133" t="s">
        <v>712</v>
      </c>
      <c r="B16" s="1134" t="s">
        <v>713</v>
      </c>
      <c r="C16" s="1146">
        <f t="shared" ref="C16:C21" si="1">SUM(E16:F16)</f>
        <v>0</v>
      </c>
      <c r="D16" s="1147"/>
      <c r="E16" s="1117"/>
      <c r="F16" s="1137"/>
    </row>
    <row r="17" spans="1:6" s="1138" customFormat="1" ht="12" customHeight="1" x14ac:dyDescent="0.2">
      <c r="A17" s="1139" t="s">
        <v>714</v>
      </c>
      <c r="B17" s="1140" t="s">
        <v>715</v>
      </c>
      <c r="C17" s="1146">
        <f t="shared" si="1"/>
        <v>0</v>
      </c>
      <c r="D17" s="1148"/>
      <c r="E17" s="1117"/>
      <c r="F17" s="1137"/>
    </row>
    <row r="18" spans="1:6" s="1138" customFormat="1" ht="12" customHeight="1" x14ac:dyDescent="0.2">
      <c r="A18" s="1139" t="s">
        <v>716</v>
      </c>
      <c r="B18" s="1140" t="s">
        <v>717</v>
      </c>
      <c r="C18" s="1146">
        <f t="shared" si="1"/>
        <v>0</v>
      </c>
      <c r="D18" s="1148"/>
      <c r="E18" s="1117"/>
      <c r="F18" s="1137"/>
    </row>
    <row r="19" spans="1:6" s="1138" customFormat="1" ht="12" customHeight="1" x14ac:dyDescent="0.2">
      <c r="A19" s="1139" t="s">
        <v>718</v>
      </c>
      <c r="B19" s="1140" t="s">
        <v>719</v>
      </c>
      <c r="C19" s="1146">
        <f t="shared" si="1"/>
        <v>0</v>
      </c>
      <c r="D19" s="1148"/>
      <c r="E19" s="1117"/>
      <c r="F19" s="1137"/>
    </row>
    <row r="20" spans="1:6" s="1138" customFormat="1" ht="12" customHeight="1" x14ac:dyDescent="0.2">
      <c r="A20" s="1139" t="s">
        <v>720</v>
      </c>
      <c r="B20" s="1140" t="s">
        <v>721</v>
      </c>
      <c r="C20" s="1146">
        <f t="shared" si="1"/>
        <v>0</v>
      </c>
      <c r="D20" s="1141"/>
      <c r="E20" s="1117"/>
      <c r="F20" s="1137"/>
    </row>
    <row r="21" spans="1:6" s="1142" customFormat="1" ht="12" customHeight="1" thickBot="1" x14ac:dyDescent="0.25">
      <c r="A21" s="1143" t="s">
        <v>722</v>
      </c>
      <c r="B21" s="1144" t="s">
        <v>723</v>
      </c>
      <c r="C21" s="1146">
        <f t="shared" si="1"/>
        <v>0</v>
      </c>
      <c r="D21" s="1149"/>
      <c r="E21" s="1117"/>
      <c r="F21" s="1117"/>
    </row>
    <row r="22" spans="1:6" s="1142" customFormat="1" ht="23.25" customHeight="1" thickBot="1" x14ac:dyDescent="0.3">
      <c r="A22" s="1128" t="s">
        <v>724</v>
      </c>
      <c r="B22" s="1129" t="s">
        <v>725</v>
      </c>
      <c r="C22" s="1130">
        <f>+C23+C24+C25+C26+C27</f>
        <v>0</v>
      </c>
      <c r="D22" s="1131">
        <f>+D23+D24+D25+D26+D27</f>
        <v>0</v>
      </c>
      <c r="E22" s="1117"/>
      <c r="F22" s="1117"/>
    </row>
    <row r="23" spans="1:6" s="1142" customFormat="1" ht="12" customHeight="1" x14ac:dyDescent="0.2">
      <c r="A23" s="1133" t="s">
        <v>726</v>
      </c>
      <c r="B23" s="1134" t="s">
        <v>727</v>
      </c>
      <c r="C23" s="1146">
        <f t="shared" ref="C23:C28" si="2">SUM(E23:F23)</f>
        <v>0</v>
      </c>
      <c r="D23" s="1147"/>
      <c r="E23" s="1117"/>
      <c r="F23" s="1117"/>
    </row>
    <row r="24" spans="1:6" s="1138" customFormat="1" ht="12" customHeight="1" x14ac:dyDescent="0.2">
      <c r="A24" s="1139" t="s">
        <v>728</v>
      </c>
      <c r="B24" s="1140" t="s">
        <v>729</v>
      </c>
      <c r="C24" s="1146">
        <f t="shared" si="2"/>
        <v>0</v>
      </c>
      <c r="D24" s="1148"/>
      <c r="E24" s="1117"/>
      <c r="F24" s="1137"/>
    </row>
    <row r="25" spans="1:6" s="1142" customFormat="1" ht="12" customHeight="1" x14ac:dyDescent="0.2">
      <c r="A25" s="1139" t="s">
        <v>730</v>
      </c>
      <c r="B25" s="1140" t="s">
        <v>731</v>
      </c>
      <c r="C25" s="1146">
        <f t="shared" si="2"/>
        <v>0</v>
      </c>
      <c r="D25" s="1148"/>
      <c r="E25" s="1117"/>
      <c r="F25" s="1117"/>
    </row>
    <row r="26" spans="1:6" s="1142" customFormat="1" ht="12" customHeight="1" x14ac:dyDescent="0.2">
      <c r="A26" s="1139" t="s">
        <v>732</v>
      </c>
      <c r="B26" s="1140" t="s">
        <v>733</v>
      </c>
      <c r="C26" s="1146">
        <f t="shared" si="2"/>
        <v>0</v>
      </c>
      <c r="D26" s="1148"/>
      <c r="E26" s="1117"/>
      <c r="F26" s="1117"/>
    </row>
    <row r="27" spans="1:6" s="1142" customFormat="1" ht="12" customHeight="1" x14ac:dyDescent="0.2">
      <c r="A27" s="1139" t="s">
        <v>734</v>
      </c>
      <c r="B27" s="1140" t="s">
        <v>735</v>
      </c>
      <c r="C27" s="1146">
        <f t="shared" si="2"/>
        <v>0</v>
      </c>
      <c r="D27" s="1141"/>
      <c r="E27" s="1117"/>
      <c r="F27" s="1117"/>
    </row>
    <row r="28" spans="1:6" s="1142" customFormat="1" ht="12" customHeight="1" thickBot="1" x14ac:dyDescent="0.25">
      <c r="A28" s="1143" t="s">
        <v>736</v>
      </c>
      <c r="B28" s="1144" t="s">
        <v>737</v>
      </c>
      <c r="C28" s="1146">
        <f t="shared" si="2"/>
        <v>0</v>
      </c>
      <c r="D28" s="1149"/>
      <c r="E28" s="1117"/>
      <c r="F28" s="1117"/>
    </row>
    <row r="29" spans="1:6" s="1142" customFormat="1" ht="12" customHeight="1" thickBot="1" x14ac:dyDescent="0.3">
      <c r="A29" s="1128" t="s">
        <v>738</v>
      </c>
      <c r="B29" s="1129" t="s">
        <v>739</v>
      </c>
      <c r="C29" s="1150">
        <f>+C30+C36</f>
        <v>9768806</v>
      </c>
      <c r="D29" s="1151">
        <f>+D30+D34+D35+D36</f>
        <v>0</v>
      </c>
      <c r="E29" s="1117"/>
      <c r="F29" s="1117"/>
    </row>
    <row r="30" spans="1:6" s="1142" customFormat="1" ht="12" customHeight="1" x14ac:dyDescent="0.2">
      <c r="A30" s="1133" t="s">
        <v>740</v>
      </c>
      <c r="B30" s="1134" t="s">
        <v>741</v>
      </c>
      <c r="C30" s="1152">
        <f>C32+C33+C34+C35+C31</f>
        <v>9768806</v>
      </c>
      <c r="D30" s="1153">
        <f>D32+D33</f>
        <v>0</v>
      </c>
      <c r="E30" s="1117"/>
      <c r="F30" s="1117"/>
    </row>
    <row r="31" spans="1:6" s="1142" customFormat="1" ht="12" customHeight="1" x14ac:dyDescent="0.2">
      <c r="A31" s="1139" t="s">
        <v>742</v>
      </c>
      <c r="B31" s="1154" t="s">
        <v>743</v>
      </c>
      <c r="C31" s="1155">
        <f>SUM(E31:F31)</f>
        <v>0</v>
      </c>
      <c r="D31" s="1153"/>
      <c r="E31" s="1117"/>
      <c r="F31" s="1117"/>
    </row>
    <row r="32" spans="1:6" s="1142" customFormat="1" ht="12" customHeight="1" x14ac:dyDescent="0.2">
      <c r="A32" s="1139" t="s">
        <v>744</v>
      </c>
      <c r="B32" s="1140" t="s">
        <v>745</v>
      </c>
      <c r="C32" s="1155">
        <f>SUM(E32:F32)</f>
        <v>0</v>
      </c>
      <c r="D32" s="1141"/>
      <c r="E32" s="1117"/>
      <c r="F32" s="1117"/>
    </row>
    <row r="33" spans="1:7" s="1142" customFormat="1" ht="12" customHeight="1" x14ac:dyDescent="0.2">
      <c r="A33" s="1139" t="s">
        <v>746</v>
      </c>
      <c r="B33" s="1154" t="s">
        <v>747</v>
      </c>
      <c r="C33" s="1155">
        <f>G33</f>
        <v>9768806</v>
      </c>
      <c r="D33" s="1141"/>
      <c r="E33" s="1117"/>
      <c r="F33" s="1117"/>
      <c r="G33" s="1699">
        <v>9768806</v>
      </c>
    </row>
    <row r="34" spans="1:7" s="1142" customFormat="1" ht="12" customHeight="1" x14ac:dyDescent="0.2">
      <c r="A34" s="1139" t="s">
        <v>748</v>
      </c>
      <c r="B34" s="1154" t="s">
        <v>749</v>
      </c>
      <c r="C34" s="1155">
        <f>SUM(E34:F34)</f>
        <v>0</v>
      </c>
      <c r="D34" s="1141"/>
      <c r="E34" s="1117"/>
      <c r="F34" s="1117"/>
    </row>
    <row r="35" spans="1:7" s="1142" customFormat="1" ht="12" customHeight="1" x14ac:dyDescent="0.2">
      <c r="A35" s="1139" t="s">
        <v>750</v>
      </c>
      <c r="B35" s="1154" t="s">
        <v>751</v>
      </c>
      <c r="C35" s="1155">
        <f>SUM(E35:F35)</f>
        <v>0</v>
      </c>
      <c r="D35" s="1141"/>
      <c r="E35" s="1117"/>
      <c r="F35" s="1117"/>
    </row>
    <row r="36" spans="1:7" s="1142" customFormat="1" ht="12" customHeight="1" thickBot="1" x14ac:dyDescent="0.25">
      <c r="A36" s="1143" t="s">
        <v>752</v>
      </c>
      <c r="B36" s="1144" t="s">
        <v>248</v>
      </c>
      <c r="C36" s="1155">
        <f>SUM(E36:F36)</f>
        <v>0</v>
      </c>
      <c r="D36" s="1156"/>
      <c r="E36" s="1117"/>
      <c r="F36" s="1117"/>
    </row>
    <row r="37" spans="1:7" s="1142" customFormat="1" ht="12" customHeight="1" thickBot="1" x14ac:dyDescent="0.3">
      <c r="A37" s="1128" t="s">
        <v>753</v>
      </c>
      <c r="B37" s="1129" t="s">
        <v>754</v>
      </c>
      <c r="C37" s="1130">
        <f>SUM(C38:C47)</f>
        <v>0</v>
      </c>
      <c r="D37" s="1131">
        <f>SUM(D38:D47)</f>
        <v>0</v>
      </c>
      <c r="E37" s="1117"/>
      <c r="F37" s="1117"/>
    </row>
    <row r="38" spans="1:7" s="1142" customFormat="1" ht="12" customHeight="1" x14ac:dyDescent="0.2">
      <c r="A38" s="1133" t="s">
        <v>755</v>
      </c>
      <c r="B38" s="1134" t="s">
        <v>756</v>
      </c>
      <c r="C38" s="1157">
        <f t="shared" ref="C38:C47" si="3">SUM(E38:F38)</f>
        <v>0</v>
      </c>
      <c r="D38" s="1148"/>
      <c r="E38" s="1117"/>
      <c r="F38" s="1117"/>
    </row>
    <row r="39" spans="1:7" s="1142" customFormat="1" ht="12" customHeight="1" x14ac:dyDescent="0.2">
      <c r="A39" s="1139" t="s">
        <v>757</v>
      </c>
      <c r="B39" s="1140" t="s">
        <v>758</v>
      </c>
      <c r="C39" s="1157">
        <f t="shared" si="3"/>
        <v>0</v>
      </c>
      <c r="D39" s="1148"/>
      <c r="E39" s="1117"/>
      <c r="F39" s="1117"/>
    </row>
    <row r="40" spans="1:7" s="1142" customFormat="1" ht="12" customHeight="1" x14ac:dyDescent="0.2">
      <c r="A40" s="1139" t="s">
        <v>759</v>
      </c>
      <c r="B40" s="1140" t="s">
        <v>760</v>
      </c>
      <c r="C40" s="1157">
        <f t="shared" si="3"/>
        <v>0</v>
      </c>
      <c r="D40" s="1148"/>
      <c r="E40" s="1117"/>
      <c r="F40" s="1117"/>
    </row>
    <row r="41" spans="1:7" s="1142" customFormat="1" ht="12" customHeight="1" x14ac:dyDescent="0.2">
      <c r="A41" s="1139" t="s">
        <v>761</v>
      </c>
      <c r="B41" s="1140" t="s">
        <v>762</v>
      </c>
      <c r="C41" s="1157">
        <f t="shared" si="3"/>
        <v>0</v>
      </c>
      <c r="D41" s="1148"/>
      <c r="E41" s="1117"/>
      <c r="F41" s="1117"/>
    </row>
    <row r="42" spans="1:7" s="1142" customFormat="1" ht="12" customHeight="1" x14ac:dyDescent="0.2">
      <c r="A42" s="1139" t="s">
        <v>763</v>
      </c>
      <c r="B42" s="1140" t="s">
        <v>764</v>
      </c>
      <c r="C42" s="1157">
        <f t="shared" si="3"/>
        <v>0</v>
      </c>
      <c r="D42" s="1148"/>
      <c r="E42" s="1117"/>
      <c r="F42" s="1117"/>
    </row>
    <row r="43" spans="1:7" s="1142" customFormat="1" ht="12" customHeight="1" x14ac:dyDescent="0.2">
      <c r="A43" s="1139" t="s">
        <v>765</v>
      </c>
      <c r="B43" s="1140" t="s">
        <v>766</v>
      </c>
      <c r="C43" s="1157">
        <f t="shared" si="3"/>
        <v>0</v>
      </c>
      <c r="D43" s="1148"/>
      <c r="E43" s="1117"/>
      <c r="F43" s="1117"/>
    </row>
    <row r="44" spans="1:7" s="1142" customFormat="1" ht="12" customHeight="1" x14ac:dyDescent="0.2">
      <c r="A44" s="1139" t="s">
        <v>767</v>
      </c>
      <c r="B44" s="1140" t="s">
        <v>768</v>
      </c>
      <c r="C44" s="1157">
        <f t="shared" si="3"/>
        <v>0</v>
      </c>
      <c r="D44" s="1148"/>
      <c r="E44" s="1117"/>
      <c r="F44" s="1117"/>
    </row>
    <row r="45" spans="1:7" s="1142" customFormat="1" ht="12" customHeight="1" x14ac:dyDescent="0.2">
      <c r="A45" s="1139" t="s">
        <v>769</v>
      </c>
      <c r="B45" s="1140" t="s">
        <v>770</v>
      </c>
      <c r="C45" s="1157">
        <f t="shared" si="3"/>
        <v>0</v>
      </c>
      <c r="D45" s="1148"/>
      <c r="E45" s="1117"/>
      <c r="F45" s="1117"/>
    </row>
    <row r="46" spans="1:7" s="1142" customFormat="1" ht="12" customHeight="1" x14ac:dyDescent="0.2">
      <c r="A46" s="1139" t="s">
        <v>771</v>
      </c>
      <c r="B46" s="1140" t="s">
        <v>772</v>
      </c>
      <c r="C46" s="1157">
        <f t="shared" si="3"/>
        <v>0</v>
      </c>
      <c r="D46" s="1158"/>
      <c r="E46" s="1117"/>
      <c r="F46" s="1117"/>
    </row>
    <row r="47" spans="1:7" s="1142" customFormat="1" ht="12" customHeight="1" thickBot="1" x14ac:dyDescent="0.25">
      <c r="A47" s="1143" t="s">
        <v>773</v>
      </c>
      <c r="B47" s="1144" t="s">
        <v>774</v>
      </c>
      <c r="C47" s="1157">
        <f t="shared" si="3"/>
        <v>0</v>
      </c>
      <c r="D47" s="1159"/>
      <c r="E47" s="1117"/>
      <c r="F47" s="1117"/>
    </row>
    <row r="48" spans="1:7" s="1142" customFormat="1" ht="12" customHeight="1" thickBot="1" x14ac:dyDescent="0.3">
      <c r="A48" s="1128" t="s">
        <v>775</v>
      </c>
      <c r="B48" s="1129" t="s">
        <v>776</v>
      </c>
      <c r="C48" s="1130">
        <f>SUM(C49:C53)</f>
        <v>0</v>
      </c>
      <c r="D48" s="1131">
        <f>SUM(D49:D53)</f>
        <v>0</v>
      </c>
      <c r="E48" s="1117"/>
      <c r="F48" s="1117"/>
    </row>
    <row r="49" spans="1:6" s="1142" customFormat="1" ht="12" customHeight="1" x14ac:dyDescent="0.2">
      <c r="A49" s="1133" t="s">
        <v>777</v>
      </c>
      <c r="B49" s="1134" t="s">
        <v>778</v>
      </c>
      <c r="C49" s="1160">
        <f>SUM(E49:F49)</f>
        <v>0</v>
      </c>
      <c r="D49" s="1161"/>
      <c r="E49" s="1117"/>
      <c r="F49" s="1117"/>
    </row>
    <row r="50" spans="1:6" s="1142" customFormat="1" ht="12" customHeight="1" x14ac:dyDescent="0.2">
      <c r="A50" s="1139" t="s">
        <v>779</v>
      </c>
      <c r="B50" s="1140" t="s">
        <v>525</v>
      </c>
      <c r="C50" s="1160">
        <f>SUM(E50:F50)</f>
        <v>0</v>
      </c>
      <c r="D50" s="1158"/>
      <c r="E50" s="1117"/>
      <c r="F50" s="1117"/>
    </row>
    <row r="51" spans="1:6" s="1142" customFormat="1" ht="12" customHeight="1" x14ac:dyDescent="0.2">
      <c r="A51" s="1139" t="s">
        <v>780</v>
      </c>
      <c r="B51" s="1140" t="s">
        <v>781</v>
      </c>
      <c r="C51" s="1160">
        <f>SUM(E51:F51)</f>
        <v>0</v>
      </c>
      <c r="D51" s="1158"/>
      <c r="E51" s="1117"/>
      <c r="F51" s="1117"/>
    </row>
    <row r="52" spans="1:6" s="1142" customFormat="1" ht="12" customHeight="1" x14ac:dyDescent="0.2">
      <c r="A52" s="1139" t="s">
        <v>782</v>
      </c>
      <c r="B52" s="1140" t="s">
        <v>783</v>
      </c>
      <c r="C52" s="1160">
        <f>SUM(E52:F52)</f>
        <v>0</v>
      </c>
      <c r="D52" s="1158"/>
      <c r="E52" s="1117"/>
      <c r="F52" s="1117"/>
    </row>
    <row r="53" spans="1:6" s="1142" customFormat="1" ht="12" customHeight="1" thickBot="1" x14ac:dyDescent="0.25">
      <c r="A53" s="1143" t="s">
        <v>784</v>
      </c>
      <c r="B53" s="1144" t="s">
        <v>785</v>
      </c>
      <c r="C53" s="1160">
        <f>SUM(E53:F53)</f>
        <v>0</v>
      </c>
      <c r="D53" s="1159"/>
      <c r="E53" s="1117"/>
      <c r="F53" s="1117"/>
    </row>
    <row r="54" spans="1:6" s="1142" customFormat="1" ht="12" customHeight="1" thickBot="1" x14ac:dyDescent="0.3">
      <c r="A54" s="1128" t="s">
        <v>786</v>
      </c>
      <c r="B54" s="1129" t="s">
        <v>787</v>
      </c>
      <c r="C54" s="1130">
        <f>SUM(C55:C57)</f>
        <v>0</v>
      </c>
      <c r="D54" s="1131">
        <f>SUM(D55:D57)</f>
        <v>0</v>
      </c>
      <c r="E54" s="1117"/>
      <c r="F54" s="1117"/>
    </row>
    <row r="55" spans="1:6" s="1142" customFormat="1" ht="12" customHeight="1" x14ac:dyDescent="0.2">
      <c r="A55" s="1133" t="s">
        <v>788</v>
      </c>
      <c r="B55" s="1134" t="s">
        <v>789</v>
      </c>
      <c r="C55" s="1146">
        <f>SUM(E55:F55)</f>
        <v>0</v>
      </c>
      <c r="D55" s="1147"/>
      <c r="E55" s="1117"/>
      <c r="F55" s="1117"/>
    </row>
    <row r="56" spans="1:6" s="1142" customFormat="1" ht="12" customHeight="1" x14ac:dyDescent="0.2">
      <c r="A56" s="1139" t="s">
        <v>790</v>
      </c>
      <c r="B56" s="1140" t="s">
        <v>791</v>
      </c>
      <c r="C56" s="1146">
        <f>SUM(E56:F56)</f>
        <v>0</v>
      </c>
      <c r="D56" s="1148"/>
      <c r="E56" s="1117"/>
      <c r="F56" s="1117"/>
    </row>
    <row r="57" spans="1:6" s="1142" customFormat="1" ht="12" customHeight="1" x14ac:dyDescent="0.2">
      <c r="A57" s="1139" t="s">
        <v>792</v>
      </c>
      <c r="B57" s="1140" t="s">
        <v>793</v>
      </c>
      <c r="C57" s="1146">
        <f>SUM(E57:F57)</f>
        <v>0</v>
      </c>
      <c r="D57" s="1141"/>
      <c r="E57" s="1117"/>
      <c r="F57" s="1117"/>
    </row>
    <row r="58" spans="1:6" s="1142" customFormat="1" ht="12" customHeight="1" thickBot="1" x14ac:dyDescent="0.25">
      <c r="A58" s="1143" t="s">
        <v>794</v>
      </c>
      <c r="B58" s="1144" t="s">
        <v>795</v>
      </c>
      <c r="C58" s="1146">
        <f>SUM(E58:F58)</f>
        <v>0</v>
      </c>
      <c r="D58" s="1156"/>
      <c r="E58" s="1117"/>
      <c r="F58" s="1117"/>
    </row>
    <row r="59" spans="1:6" s="1142" customFormat="1" ht="12" customHeight="1" thickBot="1" x14ac:dyDescent="0.3">
      <c r="A59" s="1128" t="s">
        <v>796</v>
      </c>
      <c r="B59" s="1145" t="s">
        <v>797</v>
      </c>
      <c r="C59" s="1130">
        <f>SUM(C60:C62)</f>
        <v>0</v>
      </c>
      <c r="D59" s="1162">
        <f>SUM(D60:D62)</f>
        <v>0</v>
      </c>
      <c r="E59" s="1117"/>
      <c r="F59" s="1117"/>
    </row>
    <row r="60" spans="1:6" s="1142" customFormat="1" ht="12" customHeight="1" x14ac:dyDescent="0.2">
      <c r="A60" s="1133" t="s">
        <v>798</v>
      </c>
      <c r="B60" s="1134" t="s">
        <v>799</v>
      </c>
      <c r="C60" s="1163">
        <f>SUM(E60:F60)</f>
        <v>0</v>
      </c>
      <c r="D60" s="1141"/>
      <c r="E60" s="1117"/>
      <c r="F60" s="1117"/>
    </row>
    <row r="61" spans="1:6" s="1142" customFormat="1" ht="12" customHeight="1" x14ac:dyDescent="0.2">
      <c r="A61" s="1139" t="s">
        <v>800</v>
      </c>
      <c r="B61" s="1140" t="s">
        <v>801</v>
      </c>
      <c r="C61" s="1163">
        <f>SUM(E61:F61)</f>
        <v>0</v>
      </c>
      <c r="D61" s="1148"/>
      <c r="E61" s="1117"/>
      <c r="F61" s="1117"/>
    </row>
    <row r="62" spans="1:6" s="1142" customFormat="1" ht="12" customHeight="1" x14ac:dyDescent="0.2">
      <c r="A62" s="1139" t="s">
        <v>802</v>
      </c>
      <c r="B62" s="1140" t="s">
        <v>803</v>
      </c>
      <c r="C62" s="1163">
        <f>SUM(E62:F62)</f>
        <v>0</v>
      </c>
      <c r="D62" s="1148"/>
      <c r="E62" s="1117"/>
      <c r="F62" s="1117"/>
    </row>
    <row r="63" spans="1:6" s="1142" customFormat="1" ht="12" customHeight="1" thickBot="1" x14ac:dyDescent="0.25">
      <c r="A63" s="1143" t="s">
        <v>804</v>
      </c>
      <c r="B63" s="1144" t="s">
        <v>805</v>
      </c>
      <c r="C63" s="1163">
        <f>SUM(E63:F63)</f>
        <v>0</v>
      </c>
      <c r="D63" s="1158"/>
      <c r="E63" s="1117"/>
      <c r="F63" s="1117"/>
    </row>
    <row r="64" spans="1:6" s="1142" customFormat="1" ht="12" customHeight="1" thickBot="1" x14ac:dyDescent="0.3">
      <c r="A64" s="1128" t="s">
        <v>806</v>
      </c>
      <c r="B64" s="1129" t="s">
        <v>807</v>
      </c>
      <c r="C64" s="1150">
        <f>+C8+C15+C22+C29+C37+C48+C54+C59</f>
        <v>54567806</v>
      </c>
      <c r="D64" s="1151">
        <f>+D8+D15+D22+D29+D37+D48+D54+D59</f>
        <v>0</v>
      </c>
      <c r="E64" s="1117"/>
      <c r="F64" s="1117"/>
    </row>
    <row r="65" spans="1:6" s="1142" customFormat="1" ht="12" customHeight="1" thickBot="1" x14ac:dyDescent="0.2">
      <c r="A65" s="1164" t="s">
        <v>808</v>
      </c>
      <c r="B65" s="1145" t="s">
        <v>809</v>
      </c>
      <c r="C65" s="1130">
        <f>SUM(C66:C68)</f>
        <v>0</v>
      </c>
      <c r="D65" s="1131">
        <f>SUM(D66:D68)</f>
        <v>0</v>
      </c>
      <c r="E65" s="1117"/>
      <c r="F65" s="1117"/>
    </row>
    <row r="66" spans="1:6" s="1142" customFormat="1" ht="12" customHeight="1" x14ac:dyDescent="0.2">
      <c r="A66" s="1133" t="s">
        <v>810</v>
      </c>
      <c r="B66" s="1134" t="s">
        <v>811</v>
      </c>
      <c r="C66" s="1163">
        <f>SUM(E66:F66)</f>
        <v>0</v>
      </c>
      <c r="D66" s="1158"/>
      <c r="E66" s="1117"/>
      <c r="F66" s="1117"/>
    </row>
    <row r="67" spans="1:6" s="1142" customFormat="1" ht="12" customHeight="1" x14ac:dyDescent="0.2">
      <c r="A67" s="1139" t="s">
        <v>812</v>
      </c>
      <c r="B67" s="1140" t="s">
        <v>813</v>
      </c>
      <c r="C67" s="1163">
        <f>SUM(E67:F67)</f>
        <v>0</v>
      </c>
      <c r="D67" s="1158"/>
      <c r="E67" s="1117"/>
      <c r="F67" s="1117"/>
    </row>
    <row r="68" spans="1:6" s="1142" customFormat="1" ht="12" customHeight="1" thickBot="1" x14ac:dyDescent="0.25">
      <c r="A68" s="1143" t="s">
        <v>814</v>
      </c>
      <c r="B68" s="1165" t="s">
        <v>815</v>
      </c>
      <c r="C68" s="1163">
        <f>SUM(E68:F68)</f>
        <v>0</v>
      </c>
      <c r="D68" s="1158"/>
      <c r="E68" s="1117"/>
      <c r="F68" s="1117"/>
    </row>
    <row r="69" spans="1:6" s="1142" customFormat="1" ht="12" customHeight="1" thickBot="1" x14ac:dyDescent="0.2">
      <c r="A69" s="1164" t="s">
        <v>816</v>
      </c>
      <c r="B69" s="1145" t="s">
        <v>817</v>
      </c>
      <c r="C69" s="1130">
        <f>SUM(C70:C73)</f>
        <v>0</v>
      </c>
      <c r="D69" s="1131">
        <f>SUM(D70:D73)</f>
        <v>0</v>
      </c>
      <c r="E69" s="1117"/>
      <c r="F69" s="1117"/>
    </row>
    <row r="70" spans="1:6" s="1142" customFormat="1" ht="12" customHeight="1" x14ac:dyDescent="0.2">
      <c r="A70" s="1133" t="s">
        <v>818</v>
      </c>
      <c r="B70" s="1134" t="s">
        <v>819</v>
      </c>
      <c r="C70" s="1163">
        <f>SUM(E70:F70)</f>
        <v>0</v>
      </c>
      <c r="D70" s="1158"/>
      <c r="E70" s="1117"/>
      <c r="F70" s="1117"/>
    </row>
    <row r="71" spans="1:6" s="1142" customFormat="1" ht="12" customHeight="1" x14ac:dyDescent="0.2">
      <c r="A71" s="1139" t="s">
        <v>820</v>
      </c>
      <c r="B71" s="1140" t="s">
        <v>821</v>
      </c>
      <c r="C71" s="1163">
        <f>SUM(E71:F71)</f>
        <v>0</v>
      </c>
      <c r="D71" s="1158"/>
      <c r="E71" s="1117"/>
      <c r="F71" s="1117"/>
    </row>
    <row r="72" spans="1:6" s="1142" customFormat="1" ht="12" customHeight="1" x14ac:dyDescent="0.2">
      <c r="A72" s="1139" t="s">
        <v>822</v>
      </c>
      <c r="B72" s="1140" t="s">
        <v>823</v>
      </c>
      <c r="C72" s="1163">
        <f>SUM(E72:F72)</f>
        <v>0</v>
      </c>
      <c r="D72" s="1158"/>
      <c r="E72" s="1117"/>
      <c r="F72" s="1117"/>
    </row>
    <row r="73" spans="1:6" s="1142" customFormat="1" ht="12" customHeight="1" thickBot="1" x14ac:dyDescent="0.25">
      <c r="A73" s="1166" t="s">
        <v>824</v>
      </c>
      <c r="B73" s="1167" t="s">
        <v>825</v>
      </c>
      <c r="C73" s="1163">
        <f>SUM(E73:F73)</f>
        <v>0</v>
      </c>
      <c r="D73" s="1168"/>
      <c r="E73" s="1117"/>
      <c r="F73" s="1117"/>
    </row>
    <row r="74" spans="1:6" s="1142" customFormat="1" ht="12" customHeight="1" thickBot="1" x14ac:dyDescent="0.2">
      <c r="A74" s="1164" t="s">
        <v>826</v>
      </c>
      <c r="B74" s="1145" t="s">
        <v>827</v>
      </c>
      <c r="C74" s="1130">
        <f>SUM(C75:C76)</f>
        <v>0</v>
      </c>
      <c r="D74" s="1131">
        <f>SUM(D75:D76)</f>
        <v>0</v>
      </c>
      <c r="E74" s="1117"/>
      <c r="F74" s="1117"/>
    </row>
    <row r="75" spans="1:6" s="1142" customFormat="1" ht="12" customHeight="1" x14ac:dyDescent="0.2">
      <c r="A75" s="1133" t="s">
        <v>828</v>
      </c>
      <c r="B75" s="1134" t="s">
        <v>829</v>
      </c>
      <c r="C75" s="1163">
        <f>SUM(E75:F75)</f>
        <v>0</v>
      </c>
      <c r="D75" s="1158"/>
      <c r="E75" s="1117"/>
      <c r="F75" s="1117"/>
    </row>
    <row r="76" spans="1:6" s="1142" customFormat="1" ht="12" customHeight="1" thickBot="1" x14ac:dyDescent="0.25">
      <c r="A76" s="1143" t="s">
        <v>830</v>
      </c>
      <c r="B76" s="1144" t="s">
        <v>831</v>
      </c>
      <c r="C76" s="1163">
        <f>SUM(E76:F76)</f>
        <v>0</v>
      </c>
      <c r="D76" s="1158"/>
      <c r="E76" s="1117"/>
      <c r="F76" s="1117"/>
    </row>
    <row r="77" spans="1:6" s="1138" customFormat="1" ht="12" customHeight="1" thickBot="1" x14ac:dyDescent="0.2">
      <c r="A77" s="1164" t="s">
        <v>832</v>
      </c>
      <c r="B77" s="1145" t="s">
        <v>833</v>
      </c>
      <c r="C77" s="1130">
        <f>SUM(C78:C80)</f>
        <v>0</v>
      </c>
      <c r="D77" s="1131">
        <f>SUM(D78:D80)</f>
        <v>0</v>
      </c>
      <c r="E77" s="1117"/>
      <c r="F77" s="1137"/>
    </row>
    <row r="78" spans="1:6" s="1142" customFormat="1" ht="12" customHeight="1" x14ac:dyDescent="0.2">
      <c r="A78" s="1133" t="s">
        <v>834</v>
      </c>
      <c r="B78" s="1134" t="s">
        <v>835</v>
      </c>
      <c r="C78" s="1163">
        <f>SUM(E78:F78)</f>
        <v>0</v>
      </c>
      <c r="D78" s="1158"/>
      <c r="E78" s="1117"/>
      <c r="F78" s="1117"/>
    </row>
    <row r="79" spans="1:6" s="1142" customFormat="1" ht="12" customHeight="1" x14ac:dyDescent="0.2">
      <c r="A79" s="1139" t="s">
        <v>836</v>
      </c>
      <c r="B79" s="1140" t="s">
        <v>837</v>
      </c>
      <c r="C79" s="1163">
        <f>SUM(E79:F79)</f>
        <v>0</v>
      </c>
      <c r="D79" s="1158"/>
      <c r="E79" s="1117"/>
      <c r="F79" s="1117"/>
    </row>
    <row r="80" spans="1:6" s="1142" customFormat="1" ht="12" customHeight="1" thickBot="1" x14ac:dyDescent="0.25">
      <c r="A80" s="1143" t="s">
        <v>838</v>
      </c>
      <c r="B80" s="1144" t="s">
        <v>839</v>
      </c>
      <c r="C80" s="1163">
        <f>SUM(E80:F80)</f>
        <v>0</v>
      </c>
      <c r="D80" s="1158"/>
      <c r="E80" s="1117"/>
      <c r="F80" s="1117"/>
    </row>
    <row r="81" spans="1:12" s="1142" customFormat="1" ht="12" customHeight="1" thickBot="1" x14ac:dyDescent="0.2">
      <c r="A81" s="1164" t="s">
        <v>840</v>
      </c>
      <c r="B81" s="1145" t="s">
        <v>841</v>
      </c>
      <c r="C81" s="1130">
        <f>SUM(C82:C85)</f>
        <v>0</v>
      </c>
      <c r="D81" s="1131">
        <f>SUM(D82:D85)</f>
        <v>0</v>
      </c>
      <c r="E81" s="1117"/>
      <c r="F81" s="1117"/>
    </row>
    <row r="82" spans="1:12" s="1142" customFormat="1" ht="12" customHeight="1" x14ac:dyDescent="0.2">
      <c r="A82" s="1169" t="s">
        <v>842</v>
      </c>
      <c r="B82" s="1134" t="s">
        <v>843</v>
      </c>
      <c r="C82" s="1163">
        <f>SUM(E82:F82)</f>
        <v>0</v>
      </c>
      <c r="D82" s="1158"/>
      <c r="E82" s="1117"/>
      <c r="F82" s="1117"/>
    </row>
    <row r="83" spans="1:12" s="1142" customFormat="1" ht="12" customHeight="1" x14ac:dyDescent="0.2">
      <c r="A83" s="1170" t="s">
        <v>844</v>
      </c>
      <c r="B83" s="1140" t="s">
        <v>845</v>
      </c>
      <c r="C83" s="1163">
        <f>SUM(E83:F83)</f>
        <v>0</v>
      </c>
      <c r="D83" s="1158"/>
      <c r="E83" s="1117"/>
      <c r="F83" s="1117"/>
    </row>
    <row r="84" spans="1:12" s="1142" customFormat="1" ht="12" customHeight="1" x14ac:dyDescent="0.2">
      <c r="A84" s="1170" t="s">
        <v>846</v>
      </c>
      <c r="B84" s="1140" t="s">
        <v>847</v>
      </c>
      <c r="C84" s="1163">
        <f>SUM(E84:F84)</f>
        <v>0</v>
      </c>
      <c r="D84" s="1158"/>
      <c r="E84" s="1117"/>
      <c r="F84" s="1117"/>
    </row>
    <row r="85" spans="1:12" s="1138" customFormat="1" ht="12" customHeight="1" thickBot="1" x14ac:dyDescent="0.25">
      <c r="A85" s="1171" t="s">
        <v>848</v>
      </c>
      <c r="B85" s="1144" t="s">
        <v>849</v>
      </c>
      <c r="C85" s="1163">
        <f>SUM(E85:F85)</f>
        <v>0</v>
      </c>
      <c r="D85" s="1158"/>
      <c r="E85" s="1117"/>
      <c r="F85" s="1137"/>
    </row>
    <row r="86" spans="1:12" s="1138" customFormat="1" ht="12" customHeight="1" thickBot="1" x14ac:dyDescent="0.2">
      <c r="A86" s="1164" t="s">
        <v>850</v>
      </c>
      <c r="B86" s="1145" t="s">
        <v>851</v>
      </c>
      <c r="C86" s="1172"/>
      <c r="D86" s="1173"/>
      <c r="E86" s="1117"/>
      <c r="F86" s="1137"/>
    </row>
    <row r="87" spans="1:12" s="1138" customFormat="1" ht="12" customHeight="1" thickBot="1" x14ac:dyDescent="0.2">
      <c r="A87" s="1164" t="s">
        <v>852</v>
      </c>
      <c r="B87" s="1174" t="s">
        <v>853</v>
      </c>
      <c r="C87" s="1150">
        <f>+C65+C69+C74+C77+C81+C86</f>
        <v>0</v>
      </c>
      <c r="D87" s="1151">
        <f>+D65+D69+D74+D77+D81+D86</f>
        <v>0</v>
      </c>
      <c r="E87" s="1117"/>
      <c r="F87" s="1137"/>
    </row>
    <row r="88" spans="1:12" s="1138" customFormat="1" ht="12" customHeight="1" thickBot="1" x14ac:dyDescent="0.2">
      <c r="A88" s="1175" t="s">
        <v>854</v>
      </c>
      <c r="B88" s="1176" t="s">
        <v>855</v>
      </c>
      <c r="C88" s="1150">
        <f>+C64+C87</f>
        <v>54567806</v>
      </c>
      <c r="D88" s="1151"/>
      <c r="E88" s="1177">
        <f t="shared" ref="E88:F88" si="4">SUM(E8:E87)</f>
        <v>44799000</v>
      </c>
      <c r="F88" s="1177">
        <f t="shared" si="4"/>
        <v>0</v>
      </c>
      <c r="G88" s="1177"/>
      <c r="H88" s="1177"/>
      <c r="I88" s="1177"/>
      <c r="J88" s="1177"/>
      <c r="K88" s="1177"/>
      <c r="L88" s="1177"/>
    </row>
    <row r="89" spans="1:12" s="1142" customFormat="1" ht="15" customHeight="1" x14ac:dyDescent="0.25">
      <c r="A89" s="1178"/>
      <c r="B89" s="1179"/>
      <c r="C89" s="1180"/>
      <c r="D89" s="1180"/>
      <c r="E89" s="1181"/>
      <c r="F89" s="1182"/>
    </row>
    <row r="90" spans="1:12" ht="13.5" thickBot="1" x14ac:dyDescent="0.3">
      <c r="A90" s="1178"/>
      <c r="B90" s="1183"/>
      <c r="C90" s="1184"/>
      <c r="D90" s="1184"/>
    </row>
    <row r="91" spans="1:12" s="1125" customFormat="1" ht="16.5" customHeight="1" thickBot="1" x14ac:dyDescent="0.3">
      <c r="A91" s="1814" t="s">
        <v>856</v>
      </c>
      <c r="B91" s="1815"/>
      <c r="C91" s="1815"/>
      <c r="D91" s="1816"/>
      <c r="E91" s="1123"/>
      <c r="F91" s="1124"/>
    </row>
    <row r="92" spans="1:12" s="1189" customFormat="1" ht="12" customHeight="1" thickBot="1" x14ac:dyDescent="0.3">
      <c r="A92" s="1185" t="s">
        <v>696</v>
      </c>
      <c r="B92" s="1186" t="s">
        <v>857</v>
      </c>
      <c r="C92" s="1187">
        <f>SUM(C93:C97)</f>
        <v>0</v>
      </c>
      <c r="D92" s="1188">
        <f>SUM(D93:D97)</f>
        <v>0</v>
      </c>
      <c r="E92" s="1117"/>
      <c r="F92" s="1137"/>
    </row>
    <row r="93" spans="1:12" ht="12" customHeight="1" x14ac:dyDescent="0.25">
      <c r="A93" s="1190" t="s">
        <v>698</v>
      </c>
      <c r="B93" s="1191" t="s">
        <v>858</v>
      </c>
      <c r="C93" s="1192">
        <f>SUM(E93:F93)</f>
        <v>0</v>
      </c>
      <c r="D93" s="1193"/>
    </row>
    <row r="94" spans="1:12" ht="12" customHeight="1" x14ac:dyDescent="0.25">
      <c r="A94" s="1139" t="s">
        <v>700</v>
      </c>
      <c r="B94" s="1194" t="s">
        <v>25</v>
      </c>
      <c r="C94" s="1195">
        <f>SUM(E94:F94)</f>
        <v>0</v>
      </c>
      <c r="D94" s="1148"/>
    </row>
    <row r="95" spans="1:12" ht="12" customHeight="1" x14ac:dyDescent="0.25">
      <c r="A95" s="1139" t="s">
        <v>702</v>
      </c>
      <c r="B95" s="1194" t="s">
        <v>859</v>
      </c>
      <c r="C95" s="1196">
        <f>SUM(E95:F95)</f>
        <v>0</v>
      </c>
      <c r="D95" s="1149"/>
    </row>
    <row r="96" spans="1:12" ht="12" customHeight="1" x14ac:dyDescent="0.25">
      <c r="A96" s="1139" t="s">
        <v>704</v>
      </c>
      <c r="B96" s="1197" t="s">
        <v>216</v>
      </c>
      <c r="C96" s="1196">
        <f>SUM(E96:F96)</f>
        <v>0</v>
      </c>
      <c r="D96" s="1149"/>
    </row>
    <row r="97" spans="1:4" ht="12" customHeight="1" x14ac:dyDescent="0.25">
      <c r="A97" s="1139" t="s">
        <v>860</v>
      </c>
      <c r="B97" s="1198" t="s">
        <v>55</v>
      </c>
      <c r="C97" s="1199">
        <f>SUM(C98:C107)</f>
        <v>0</v>
      </c>
      <c r="D97" s="1149">
        <f>SUM(D98:D107)</f>
        <v>0</v>
      </c>
    </row>
    <row r="98" spans="1:4" ht="12" customHeight="1" x14ac:dyDescent="0.25">
      <c r="A98" s="1139" t="s">
        <v>708</v>
      </c>
      <c r="B98" s="1194" t="s">
        <v>861</v>
      </c>
      <c r="C98" s="1200">
        <f t="shared" ref="C98:C107" si="5">SUM(E98:F98)</f>
        <v>0</v>
      </c>
      <c r="D98" s="1149"/>
    </row>
    <row r="99" spans="1:4" ht="12" customHeight="1" x14ac:dyDescent="0.2">
      <c r="A99" s="1139" t="s">
        <v>862</v>
      </c>
      <c r="B99" s="1201" t="s">
        <v>863</v>
      </c>
      <c r="C99" s="1200">
        <f t="shared" si="5"/>
        <v>0</v>
      </c>
      <c r="D99" s="1149"/>
    </row>
    <row r="100" spans="1:4" ht="12" customHeight="1" x14ac:dyDescent="0.25">
      <c r="A100" s="1139" t="s">
        <v>864</v>
      </c>
      <c r="B100" s="1202" t="s">
        <v>865</v>
      </c>
      <c r="C100" s="1200">
        <f t="shared" si="5"/>
        <v>0</v>
      </c>
      <c r="D100" s="1149"/>
    </row>
    <row r="101" spans="1:4" ht="20.25" customHeight="1" x14ac:dyDescent="0.25">
      <c r="A101" s="1139" t="s">
        <v>866</v>
      </c>
      <c r="B101" s="1202" t="s">
        <v>867</v>
      </c>
      <c r="C101" s="1200">
        <f t="shared" si="5"/>
        <v>0</v>
      </c>
      <c r="D101" s="1149"/>
    </row>
    <row r="102" spans="1:4" ht="12" customHeight="1" x14ac:dyDescent="0.2">
      <c r="A102" s="1139" t="s">
        <v>868</v>
      </c>
      <c r="B102" s="1201" t="s">
        <v>869</v>
      </c>
      <c r="C102" s="1200">
        <f t="shared" si="5"/>
        <v>0</v>
      </c>
      <c r="D102" s="1149"/>
    </row>
    <row r="103" spans="1:4" ht="12" customHeight="1" x14ac:dyDescent="0.2">
      <c r="A103" s="1139" t="s">
        <v>870</v>
      </c>
      <c r="B103" s="1201" t="s">
        <v>871</v>
      </c>
      <c r="C103" s="1200">
        <f t="shared" si="5"/>
        <v>0</v>
      </c>
      <c r="D103" s="1149"/>
    </row>
    <row r="104" spans="1:4" ht="12" customHeight="1" x14ac:dyDescent="0.25">
      <c r="A104" s="1139" t="s">
        <v>872</v>
      </c>
      <c r="B104" s="1202" t="s">
        <v>873</v>
      </c>
      <c r="C104" s="1200">
        <f t="shared" si="5"/>
        <v>0</v>
      </c>
      <c r="D104" s="1149"/>
    </row>
    <row r="105" spans="1:4" ht="12" customHeight="1" x14ac:dyDescent="0.25">
      <c r="A105" s="1203" t="s">
        <v>874</v>
      </c>
      <c r="B105" s="1204" t="s">
        <v>875</v>
      </c>
      <c r="C105" s="1200">
        <f t="shared" si="5"/>
        <v>0</v>
      </c>
      <c r="D105" s="1149"/>
    </row>
    <row r="106" spans="1:4" ht="12" customHeight="1" x14ac:dyDescent="0.25">
      <c r="A106" s="1139" t="s">
        <v>876</v>
      </c>
      <c r="B106" s="1204" t="s">
        <v>877</v>
      </c>
      <c r="C106" s="1200">
        <f t="shared" si="5"/>
        <v>0</v>
      </c>
      <c r="D106" s="1149"/>
    </row>
    <row r="107" spans="1:4" ht="12" customHeight="1" thickBot="1" x14ac:dyDescent="0.3">
      <c r="A107" s="1166" t="s">
        <v>878</v>
      </c>
      <c r="B107" s="1205" t="s">
        <v>879</v>
      </c>
      <c r="C107" s="1200">
        <f t="shared" si="5"/>
        <v>0</v>
      </c>
      <c r="D107" s="1206"/>
    </row>
    <row r="108" spans="1:4" ht="12" customHeight="1" thickBot="1" x14ac:dyDescent="0.3">
      <c r="A108" s="1128" t="s">
        <v>710</v>
      </c>
      <c r="B108" s="1207" t="s">
        <v>880</v>
      </c>
      <c r="C108" s="1130">
        <f>+C109+C111+C113</f>
        <v>0</v>
      </c>
      <c r="D108" s="1131">
        <f>+D109+D111+D113</f>
        <v>0</v>
      </c>
    </row>
    <row r="109" spans="1:4" ht="12" customHeight="1" x14ac:dyDescent="0.25">
      <c r="A109" s="1133" t="s">
        <v>712</v>
      </c>
      <c r="B109" s="1194" t="s">
        <v>63</v>
      </c>
      <c r="C109" s="1146">
        <f>SUM(E109:F109)</f>
        <v>0</v>
      </c>
      <c r="D109" s="1147"/>
    </row>
    <row r="110" spans="1:4" ht="12" customHeight="1" x14ac:dyDescent="0.25">
      <c r="A110" s="1133" t="s">
        <v>714</v>
      </c>
      <c r="B110" s="1208" t="s">
        <v>881</v>
      </c>
      <c r="C110" s="1146">
        <f>SUM(E110:F110)</f>
        <v>0</v>
      </c>
      <c r="D110" s="1147"/>
    </row>
    <row r="111" spans="1:4" ht="12" customHeight="1" x14ac:dyDescent="0.25">
      <c r="A111" s="1133" t="s">
        <v>716</v>
      </c>
      <c r="B111" s="1208" t="s">
        <v>153</v>
      </c>
      <c r="C111" s="1146">
        <f>SUM(E111:F111)</f>
        <v>0</v>
      </c>
      <c r="D111" s="1148"/>
    </row>
    <row r="112" spans="1:4" ht="12" customHeight="1" x14ac:dyDescent="0.25">
      <c r="A112" s="1133" t="s">
        <v>718</v>
      </c>
      <c r="B112" s="1208" t="s">
        <v>882</v>
      </c>
      <c r="C112" s="1146">
        <f>SUM(E112:F112)</f>
        <v>0</v>
      </c>
      <c r="D112" s="1148"/>
    </row>
    <row r="113" spans="1:6" ht="12" customHeight="1" x14ac:dyDescent="0.25">
      <c r="A113" s="1133" t="s">
        <v>720</v>
      </c>
      <c r="B113" s="1209" t="s">
        <v>883</v>
      </c>
      <c r="C113" s="1210">
        <f>SUM(C114:C121)</f>
        <v>0</v>
      </c>
      <c r="D113" s="1148">
        <f>SUM(D114:D121)</f>
        <v>0</v>
      </c>
    </row>
    <row r="114" spans="1:6" ht="12" customHeight="1" x14ac:dyDescent="0.25">
      <c r="A114" s="1133" t="s">
        <v>722</v>
      </c>
      <c r="B114" s="1211" t="s">
        <v>884</v>
      </c>
      <c r="C114" s="1210">
        <f t="shared" ref="C114:C121" si="6">SUM(E114:F114)</f>
        <v>0</v>
      </c>
      <c r="D114" s="1148"/>
    </row>
    <row r="115" spans="1:6" ht="12" customHeight="1" x14ac:dyDescent="0.25">
      <c r="A115" s="1133" t="s">
        <v>885</v>
      </c>
      <c r="B115" s="1212" t="s">
        <v>886</v>
      </c>
      <c r="C115" s="1210">
        <f t="shared" si="6"/>
        <v>0</v>
      </c>
      <c r="D115" s="1148"/>
    </row>
    <row r="116" spans="1:6" ht="12" customHeight="1" x14ac:dyDescent="0.25">
      <c r="A116" s="1133" t="s">
        <v>887</v>
      </c>
      <c r="B116" s="1202" t="s">
        <v>867</v>
      </c>
      <c r="C116" s="1210">
        <f t="shared" si="6"/>
        <v>0</v>
      </c>
      <c r="D116" s="1148"/>
    </row>
    <row r="117" spans="1:6" ht="12" customHeight="1" x14ac:dyDescent="0.25">
      <c r="A117" s="1133" t="s">
        <v>888</v>
      </c>
      <c r="B117" s="1202" t="s">
        <v>889</v>
      </c>
      <c r="C117" s="1210">
        <f t="shared" si="6"/>
        <v>0</v>
      </c>
      <c r="D117" s="1148"/>
    </row>
    <row r="118" spans="1:6" ht="12" customHeight="1" x14ac:dyDescent="0.25">
      <c r="A118" s="1133" t="s">
        <v>890</v>
      </c>
      <c r="B118" s="1202" t="s">
        <v>891</v>
      </c>
      <c r="C118" s="1210">
        <f t="shared" si="6"/>
        <v>0</v>
      </c>
      <c r="D118" s="1148"/>
    </row>
    <row r="119" spans="1:6" ht="12" customHeight="1" x14ac:dyDescent="0.25">
      <c r="A119" s="1133" t="s">
        <v>892</v>
      </c>
      <c r="B119" s="1202" t="s">
        <v>873</v>
      </c>
      <c r="C119" s="1210">
        <f t="shared" si="6"/>
        <v>0</v>
      </c>
      <c r="D119" s="1148"/>
    </row>
    <row r="120" spans="1:6" ht="12" customHeight="1" x14ac:dyDescent="0.25">
      <c r="A120" s="1133" t="s">
        <v>893</v>
      </c>
      <c r="B120" s="1202" t="s">
        <v>894</v>
      </c>
      <c r="C120" s="1210">
        <f t="shared" si="6"/>
        <v>0</v>
      </c>
      <c r="D120" s="1148"/>
    </row>
    <row r="121" spans="1:6" ht="12" customHeight="1" thickBot="1" x14ac:dyDescent="0.3">
      <c r="A121" s="1203" t="s">
        <v>895</v>
      </c>
      <c r="B121" s="1202" t="s">
        <v>896</v>
      </c>
      <c r="C121" s="1210">
        <f t="shared" si="6"/>
        <v>0</v>
      </c>
      <c r="D121" s="1149"/>
    </row>
    <row r="122" spans="1:6" ht="12" customHeight="1" thickBot="1" x14ac:dyDescent="0.3">
      <c r="A122" s="1128" t="s">
        <v>724</v>
      </c>
      <c r="B122" s="1213" t="s">
        <v>897</v>
      </c>
      <c r="C122" s="1130">
        <f>+C123+C124</f>
        <v>0</v>
      </c>
      <c r="D122" s="1131">
        <f>+D123+D124</f>
        <v>0</v>
      </c>
    </row>
    <row r="123" spans="1:6" ht="12" customHeight="1" x14ac:dyDescent="0.25">
      <c r="A123" s="1133" t="s">
        <v>726</v>
      </c>
      <c r="B123" s="1214" t="s">
        <v>898</v>
      </c>
      <c r="C123" s="1146">
        <f>SUM(E123:F123)</f>
        <v>0</v>
      </c>
      <c r="D123" s="1147"/>
    </row>
    <row r="124" spans="1:6" ht="12" customHeight="1" thickBot="1" x14ac:dyDescent="0.3">
      <c r="A124" s="1143" t="s">
        <v>728</v>
      </c>
      <c r="B124" s="1208" t="s">
        <v>899</v>
      </c>
      <c r="C124" s="1146">
        <f>SUM(E124:F124)</f>
        <v>0</v>
      </c>
      <c r="D124" s="1149"/>
    </row>
    <row r="125" spans="1:6" ht="12" customHeight="1" thickBot="1" x14ac:dyDescent="0.3">
      <c r="A125" s="1128" t="s">
        <v>900</v>
      </c>
      <c r="B125" s="1213" t="s">
        <v>901</v>
      </c>
      <c r="C125" s="1130">
        <f>+C92+C108+C122</f>
        <v>0</v>
      </c>
      <c r="D125" s="1131">
        <f>+D92+D108+D122</f>
        <v>0</v>
      </c>
    </row>
    <row r="126" spans="1:6" ht="12" customHeight="1" thickBot="1" x14ac:dyDescent="0.3">
      <c r="A126" s="1128" t="s">
        <v>753</v>
      </c>
      <c r="B126" s="1213" t="s">
        <v>902</v>
      </c>
      <c r="C126" s="1130">
        <f>+C127+C128+C129</f>
        <v>0</v>
      </c>
      <c r="D126" s="1131">
        <f>+D127+D128+D129</f>
        <v>0</v>
      </c>
    </row>
    <row r="127" spans="1:6" s="1189" customFormat="1" ht="12" customHeight="1" x14ac:dyDescent="0.25">
      <c r="A127" s="1133" t="s">
        <v>755</v>
      </c>
      <c r="B127" s="1214" t="s">
        <v>903</v>
      </c>
      <c r="C127" s="1210">
        <f>SUM(E127:F127)</f>
        <v>0</v>
      </c>
      <c r="D127" s="1148"/>
      <c r="E127" s="1117"/>
      <c r="F127" s="1137"/>
    </row>
    <row r="128" spans="1:6" ht="12" customHeight="1" x14ac:dyDescent="0.25">
      <c r="A128" s="1133" t="s">
        <v>757</v>
      </c>
      <c r="B128" s="1214" t="s">
        <v>904</v>
      </c>
      <c r="C128" s="1210">
        <f>SUM(E128:F128)</f>
        <v>0</v>
      </c>
      <c r="D128" s="1148"/>
    </row>
    <row r="129" spans="1:6" ht="12" customHeight="1" thickBot="1" x14ac:dyDescent="0.3">
      <c r="A129" s="1203" t="s">
        <v>759</v>
      </c>
      <c r="B129" s="1215" t="s">
        <v>905</v>
      </c>
      <c r="C129" s="1210">
        <f>SUM(E129:F129)</f>
        <v>0</v>
      </c>
      <c r="D129" s="1148"/>
    </row>
    <row r="130" spans="1:6" ht="12" customHeight="1" thickBot="1" x14ac:dyDescent="0.3">
      <c r="A130" s="1128" t="s">
        <v>775</v>
      </c>
      <c r="B130" s="1213" t="s">
        <v>906</v>
      </c>
      <c r="C130" s="1130">
        <f>+C131+C132+C133+C134</f>
        <v>0</v>
      </c>
      <c r="D130" s="1131">
        <f>+D131+D132+D133+D134</f>
        <v>0</v>
      </c>
    </row>
    <row r="131" spans="1:6" ht="12" customHeight="1" x14ac:dyDescent="0.25">
      <c r="A131" s="1133" t="s">
        <v>777</v>
      </c>
      <c r="B131" s="1214" t="s">
        <v>907</v>
      </c>
      <c r="C131" s="1210">
        <f>SUM(E131:F131)</f>
        <v>0</v>
      </c>
      <c r="D131" s="1148"/>
    </row>
    <row r="132" spans="1:6" ht="12" customHeight="1" x14ac:dyDescent="0.25">
      <c r="A132" s="1133" t="s">
        <v>779</v>
      </c>
      <c r="B132" s="1214" t="s">
        <v>908</v>
      </c>
      <c r="C132" s="1210">
        <f>SUM(E132:F132)</f>
        <v>0</v>
      </c>
      <c r="D132" s="1148"/>
    </row>
    <row r="133" spans="1:6" ht="12" customHeight="1" x14ac:dyDescent="0.25">
      <c r="A133" s="1133" t="s">
        <v>780</v>
      </c>
      <c r="B133" s="1214" t="s">
        <v>909</v>
      </c>
      <c r="C133" s="1210">
        <f>SUM(E133:F133)</f>
        <v>0</v>
      </c>
      <c r="D133" s="1148"/>
    </row>
    <row r="134" spans="1:6" s="1189" customFormat="1" ht="12" customHeight="1" thickBot="1" x14ac:dyDescent="0.3">
      <c r="A134" s="1203" t="s">
        <v>782</v>
      </c>
      <c r="B134" s="1215" t="s">
        <v>910</v>
      </c>
      <c r="C134" s="1210">
        <f>SUM(E134:F134)</f>
        <v>0</v>
      </c>
      <c r="D134" s="1148"/>
      <c r="E134" s="1117"/>
      <c r="F134" s="1137"/>
    </row>
    <row r="135" spans="1:6" ht="12" customHeight="1" thickBot="1" x14ac:dyDescent="0.3">
      <c r="A135" s="1128" t="s">
        <v>911</v>
      </c>
      <c r="B135" s="1213" t="s">
        <v>912</v>
      </c>
      <c r="C135" s="1150">
        <f>+C136+C137+C138+C139</f>
        <v>54567806</v>
      </c>
      <c r="D135" s="1151">
        <f>+D136+D137+D138+D139</f>
        <v>0</v>
      </c>
    </row>
    <row r="136" spans="1:6" x14ac:dyDescent="0.25">
      <c r="A136" s="1133" t="s">
        <v>788</v>
      </c>
      <c r="B136" s="1214" t="s">
        <v>913</v>
      </c>
      <c r="C136" s="1210">
        <f>SUM(E136:F136)</f>
        <v>54567806</v>
      </c>
      <c r="D136" s="1148"/>
      <c r="F136" s="1117">
        <v>54567806</v>
      </c>
    </row>
    <row r="137" spans="1:6" ht="12" customHeight="1" x14ac:dyDescent="0.25">
      <c r="A137" s="1133" t="s">
        <v>790</v>
      </c>
      <c r="B137" s="1214" t="s">
        <v>914</v>
      </c>
      <c r="C137" s="1210">
        <f>SUM(E137:F137)</f>
        <v>0</v>
      </c>
      <c r="D137" s="1148"/>
    </row>
    <row r="138" spans="1:6" s="1189" customFormat="1" ht="12" customHeight="1" x14ac:dyDescent="0.25">
      <c r="A138" s="1133" t="s">
        <v>792</v>
      </c>
      <c r="B138" s="1214" t="s">
        <v>915</v>
      </c>
      <c r="C138" s="1210">
        <f>SUM(E138:F138)</f>
        <v>0</v>
      </c>
      <c r="D138" s="1148"/>
      <c r="E138" s="1117"/>
      <c r="F138" s="1137"/>
    </row>
    <row r="139" spans="1:6" s="1189" customFormat="1" ht="12" customHeight="1" thickBot="1" x14ac:dyDescent="0.3">
      <c r="A139" s="1203" t="s">
        <v>794</v>
      </c>
      <c r="B139" s="1215" t="s">
        <v>916</v>
      </c>
      <c r="C139" s="1210">
        <f>SUM(E139:F139)</f>
        <v>0</v>
      </c>
      <c r="D139" s="1148"/>
      <c r="E139" s="1117"/>
      <c r="F139" s="1137"/>
    </row>
    <row r="140" spans="1:6" s="1189" customFormat="1" ht="12" customHeight="1" thickBot="1" x14ac:dyDescent="0.3">
      <c r="A140" s="1128" t="s">
        <v>796</v>
      </c>
      <c r="B140" s="1213" t="s">
        <v>917</v>
      </c>
      <c r="C140" s="1216">
        <f>+C141+C142+C143+C144</f>
        <v>0</v>
      </c>
      <c r="D140" s="1217">
        <f>+D141+D142+D143+D144</f>
        <v>0</v>
      </c>
      <c r="E140" s="1117"/>
      <c r="F140" s="1137"/>
    </row>
    <row r="141" spans="1:6" s="1189" customFormat="1" ht="12" customHeight="1" x14ac:dyDescent="0.25">
      <c r="A141" s="1133" t="s">
        <v>798</v>
      </c>
      <c r="B141" s="1214" t="s">
        <v>918</v>
      </c>
      <c r="C141" s="1210">
        <f>SUM(E141:F141)</f>
        <v>0</v>
      </c>
      <c r="D141" s="1148"/>
      <c r="E141" s="1117"/>
      <c r="F141" s="1137"/>
    </row>
    <row r="142" spans="1:6" s="1189" customFormat="1" ht="12" customHeight="1" x14ac:dyDescent="0.25">
      <c r="A142" s="1133" t="s">
        <v>800</v>
      </c>
      <c r="B142" s="1214" t="s">
        <v>919</v>
      </c>
      <c r="C142" s="1210">
        <f>SUM(E142:F142)</f>
        <v>0</v>
      </c>
      <c r="D142" s="1148"/>
      <c r="E142" s="1117"/>
      <c r="F142" s="1137"/>
    </row>
    <row r="143" spans="1:6" s="1189" customFormat="1" ht="12" customHeight="1" x14ac:dyDescent="0.25">
      <c r="A143" s="1133" t="s">
        <v>802</v>
      </c>
      <c r="B143" s="1214" t="s">
        <v>920</v>
      </c>
      <c r="C143" s="1210">
        <f>SUM(E143:F143)</f>
        <v>0</v>
      </c>
      <c r="D143" s="1148"/>
      <c r="E143" s="1117"/>
      <c r="F143" s="1137"/>
    </row>
    <row r="144" spans="1:6" ht="12.75" customHeight="1" thickBot="1" x14ac:dyDescent="0.3">
      <c r="A144" s="1133" t="s">
        <v>804</v>
      </c>
      <c r="B144" s="1214" t="s">
        <v>921</v>
      </c>
      <c r="C144" s="1210">
        <f>SUM(E144:F144)</f>
        <v>0</v>
      </c>
      <c r="D144" s="1148"/>
    </row>
    <row r="145" spans="1:12" ht="12" customHeight="1" thickBot="1" x14ac:dyDescent="0.3">
      <c r="A145" s="1128" t="s">
        <v>806</v>
      </c>
      <c r="B145" s="1213" t="s">
        <v>922</v>
      </c>
      <c r="C145" s="1218">
        <f>+C126+C130+C135+C140</f>
        <v>54567806</v>
      </c>
      <c r="D145" s="1219">
        <f>+D126+D130+D135+D140</f>
        <v>0</v>
      </c>
    </row>
    <row r="146" spans="1:12" s="1223" customFormat="1" ht="15" customHeight="1" thickBot="1" x14ac:dyDescent="0.3">
      <c r="A146" s="1220" t="s">
        <v>923</v>
      </c>
      <c r="B146" s="1221" t="s">
        <v>924</v>
      </c>
      <c r="C146" s="1218">
        <f>+C125+C145</f>
        <v>54567806</v>
      </c>
      <c r="D146" s="1219"/>
      <c r="E146" s="1222">
        <f t="shared" ref="E146:F146" si="7">SUM(E93:E145)</f>
        <v>0</v>
      </c>
      <c r="F146" s="1222">
        <f t="shared" si="7"/>
        <v>54567806</v>
      </c>
      <c r="G146" s="1222"/>
      <c r="H146" s="1222"/>
      <c r="I146" s="1222"/>
      <c r="J146" s="1222"/>
      <c r="K146" s="1222"/>
      <c r="L146" s="1222"/>
    </row>
    <row r="147" spans="1:12" ht="13.5" thickBot="1" x14ac:dyDescent="0.3"/>
    <row r="148" spans="1:12" ht="15" customHeight="1" thickBot="1" x14ac:dyDescent="0.3">
      <c r="A148" s="1227" t="s">
        <v>925</v>
      </c>
      <c r="B148" s="1228"/>
      <c r="C148" s="1229"/>
      <c r="D148" s="1230"/>
    </row>
    <row r="149" spans="1:12" ht="14.25" customHeight="1" thickBot="1" x14ac:dyDescent="0.3">
      <c r="A149" s="1227" t="s">
        <v>926</v>
      </c>
      <c r="B149" s="1228"/>
      <c r="C149" s="1229"/>
      <c r="D149" s="1230"/>
    </row>
    <row r="150" spans="1:12" x14ac:dyDescent="0.2">
      <c r="A150" s="1231"/>
    </row>
    <row r="153" spans="1:12" x14ac:dyDescent="0.25">
      <c r="C153" s="1232">
        <f>C88-C146</f>
        <v>0</v>
      </c>
    </row>
  </sheetData>
  <sheetProtection selectLockedCells="1" selectUnlockedCells="1"/>
  <mergeCells count="5">
    <mergeCell ref="A1:D1"/>
    <mergeCell ref="C2:D3"/>
    <mergeCell ref="C4:D4"/>
    <mergeCell ref="A7:D7"/>
    <mergeCell ref="A91:D9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2" manualBreakCount="2">
    <brk id="69" max="3" man="1"/>
    <brk id="8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P153"/>
  <sheetViews>
    <sheetView view="pageBreakPreview" zoomScaleNormal="100" zoomScaleSheetLayoutView="100" workbookViewId="0">
      <selection activeCell="C2" sqref="C2:D3"/>
    </sheetView>
  </sheetViews>
  <sheetFormatPr defaultRowHeight="12.75" x14ac:dyDescent="0.25"/>
  <cols>
    <col min="1" max="1" width="16.7109375" style="1224" customWidth="1"/>
    <col min="2" max="2" width="52.5703125" style="1225" customWidth="1"/>
    <col min="3" max="3" width="11" style="1226" customWidth="1"/>
    <col min="4" max="4" width="13.42578125" style="1226" customWidth="1"/>
    <col min="5" max="5" width="13.85546875" style="1117" hidden="1" customWidth="1"/>
    <col min="6" max="6" width="11" style="1117" hidden="1" customWidth="1"/>
    <col min="7" max="7" width="7.85546875" style="1117" hidden="1" customWidth="1"/>
    <col min="8" max="10" width="11" style="1117" hidden="1" customWidth="1"/>
    <col min="11" max="11" width="9.140625" style="1118" hidden="1" customWidth="1"/>
    <col min="12" max="28" width="9.140625" style="1118" customWidth="1"/>
    <col min="29" max="219" width="9.140625" style="1118"/>
    <col min="220" max="220" width="16.7109375" style="1118" customWidth="1"/>
    <col min="221" max="221" width="52.5703125" style="1118" customWidth="1"/>
    <col min="222" max="222" width="11" style="1118" customWidth="1"/>
    <col min="223" max="223" width="13.42578125" style="1118" customWidth="1"/>
    <col min="224" max="224" width="11.28515625" style="1118" customWidth="1"/>
    <col min="225" max="225" width="10.28515625" style="1118" customWidth="1"/>
    <col min="226" max="226" width="13.85546875" style="1118" customWidth="1"/>
    <col min="227" max="228" width="7.85546875" style="1118" customWidth="1"/>
    <col min="229" max="229" width="10.85546875" style="1118" customWidth="1"/>
    <col min="230" max="230" width="13" style="1118" customWidth="1"/>
    <col min="231" max="231" width="11.42578125" style="1118" customWidth="1"/>
    <col min="232" max="232" width="10" style="1118" customWidth="1"/>
    <col min="233" max="233" width="7.85546875" style="1118" customWidth="1"/>
    <col min="234" max="234" width="10.140625" style="1118" customWidth="1"/>
    <col min="235" max="236" width="7.85546875" style="1118" customWidth="1"/>
    <col min="237" max="237" width="10.85546875" style="1118" customWidth="1"/>
    <col min="238" max="238" width="10.7109375" style="1118" customWidth="1"/>
    <col min="239" max="239" width="11" style="1118" customWidth="1"/>
    <col min="240" max="242" width="7.85546875" style="1118" customWidth="1"/>
    <col min="243" max="243" width="11.28515625" style="1118" customWidth="1"/>
    <col min="244" max="244" width="12.42578125" style="1118" customWidth="1"/>
    <col min="245" max="245" width="11" style="1118" customWidth="1"/>
    <col min="246" max="247" width="7.85546875" style="1118" customWidth="1"/>
    <col min="248" max="248" width="11" style="1118" customWidth="1"/>
    <col min="249" max="249" width="10.5703125" style="1118" customWidth="1"/>
    <col min="250" max="251" width="11" style="1118" customWidth="1"/>
    <col min="252" max="256" width="7.85546875" style="1118" bestFit="1" customWidth="1"/>
    <col min="257" max="257" width="8.42578125" style="1118" bestFit="1" customWidth="1"/>
    <col min="258" max="258" width="11.42578125" style="1118" customWidth="1"/>
    <col min="259" max="259" width="7.85546875" style="1118" bestFit="1" customWidth="1"/>
    <col min="260" max="260" width="9.5703125" style="1118" customWidth="1"/>
    <col min="261" max="261" width="7.85546875" style="1118" bestFit="1" customWidth="1"/>
    <col min="262" max="262" width="12" style="1118" customWidth="1"/>
    <col min="263" max="263" width="13.42578125" style="1118" customWidth="1"/>
    <col min="264" max="264" width="9.5703125" style="1118" bestFit="1" customWidth="1"/>
    <col min="265" max="271" width="9.140625" style="1118" customWidth="1"/>
    <col min="272" max="475" width="9.140625" style="1118"/>
    <col min="476" max="476" width="16.7109375" style="1118" customWidth="1"/>
    <col min="477" max="477" width="52.5703125" style="1118" customWidth="1"/>
    <col min="478" max="478" width="11" style="1118" customWidth="1"/>
    <col min="479" max="479" width="13.42578125" style="1118" customWidth="1"/>
    <col min="480" max="480" width="11.28515625" style="1118" customWidth="1"/>
    <col min="481" max="481" width="10.28515625" style="1118" customWidth="1"/>
    <col min="482" max="482" width="13.85546875" style="1118" customWidth="1"/>
    <col min="483" max="484" width="7.85546875" style="1118" customWidth="1"/>
    <col min="485" max="485" width="10.85546875" style="1118" customWidth="1"/>
    <col min="486" max="486" width="13" style="1118" customWidth="1"/>
    <col min="487" max="487" width="11.42578125" style="1118" customWidth="1"/>
    <col min="488" max="488" width="10" style="1118" customWidth="1"/>
    <col min="489" max="489" width="7.85546875" style="1118" customWidth="1"/>
    <col min="490" max="490" width="10.140625" style="1118" customWidth="1"/>
    <col min="491" max="492" width="7.85546875" style="1118" customWidth="1"/>
    <col min="493" max="493" width="10.85546875" style="1118" customWidth="1"/>
    <col min="494" max="494" width="10.7109375" style="1118" customWidth="1"/>
    <col min="495" max="495" width="11" style="1118" customWidth="1"/>
    <col min="496" max="498" width="7.85546875" style="1118" customWidth="1"/>
    <col min="499" max="499" width="11.28515625" style="1118" customWidth="1"/>
    <col min="500" max="500" width="12.42578125" style="1118" customWidth="1"/>
    <col min="501" max="501" width="11" style="1118" customWidth="1"/>
    <col min="502" max="503" width="7.85546875" style="1118" customWidth="1"/>
    <col min="504" max="504" width="11" style="1118" customWidth="1"/>
    <col min="505" max="505" width="10.5703125" style="1118" customWidth="1"/>
    <col min="506" max="507" width="11" style="1118" customWidth="1"/>
    <col min="508" max="512" width="7.85546875" style="1118" bestFit="1" customWidth="1"/>
    <col min="513" max="513" width="8.42578125" style="1118" bestFit="1" customWidth="1"/>
    <col min="514" max="514" width="11.42578125" style="1118" customWidth="1"/>
    <col min="515" max="515" width="7.85546875" style="1118" bestFit="1" customWidth="1"/>
    <col min="516" max="516" width="9.5703125" style="1118" customWidth="1"/>
    <col min="517" max="517" width="7.85546875" style="1118" bestFit="1" customWidth="1"/>
    <col min="518" max="518" width="12" style="1118" customWidth="1"/>
    <col min="519" max="519" width="13.42578125" style="1118" customWidth="1"/>
    <col min="520" max="520" width="9.5703125" style="1118" bestFit="1" customWidth="1"/>
    <col min="521" max="527" width="9.140625" style="1118" customWidth="1"/>
    <col min="528" max="731" width="9.140625" style="1118"/>
    <col min="732" max="732" width="16.7109375" style="1118" customWidth="1"/>
    <col min="733" max="733" width="52.5703125" style="1118" customWidth="1"/>
    <col min="734" max="734" width="11" style="1118" customWidth="1"/>
    <col min="735" max="735" width="13.42578125" style="1118" customWidth="1"/>
    <col min="736" max="736" width="11.28515625" style="1118" customWidth="1"/>
    <col min="737" max="737" width="10.28515625" style="1118" customWidth="1"/>
    <col min="738" max="738" width="13.85546875" style="1118" customWidth="1"/>
    <col min="739" max="740" width="7.85546875" style="1118" customWidth="1"/>
    <col min="741" max="741" width="10.85546875" style="1118" customWidth="1"/>
    <col min="742" max="742" width="13" style="1118" customWidth="1"/>
    <col min="743" max="743" width="11.42578125" style="1118" customWidth="1"/>
    <col min="744" max="744" width="10" style="1118" customWidth="1"/>
    <col min="745" max="745" width="7.85546875" style="1118" customWidth="1"/>
    <col min="746" max="746" width="10.140625" style="1118" customWidth="1"/>
    <col min="747" max="748" width="7.85546875" style="1118" customWidth="1"/>
    <col min="749" max="749" width="10.85546875" style="1118" customWidth="1"/>
    <col min="750" max="750" width="10.7109375" style="1118" customWidth="1"/>
    <col min="751" max="751" width="11" style="1118" customWidth="1"/>
    <col min="752" max="754" width="7.85546875" style="1118" customWidth="1"/>
    <col min="755" max="755" width="11.28515625" style="1118" customWidth="1"/>
    <col min="756" max="756" width="12.42578125" style="1118" customWidth="1"/>
    <col min="757" max="757" width="11" style="1118" customWidth="1"/>
    <col min="758" max="759" width="7.85546875" style="1118" customWidth="1"/>
    <col min="760" max="760" width="11" style="1118" customWidth="1"/>
    <col min="761" max="761" width="10.5703125" style="1118" customWidth="1"/>
    <col min="762" max="763" width="11" style="1118" customWidth="1"/>
    <col min="764" max="768" width="7.85546875" style="1118" bestFit="1" customWidth="1"/>
    <col min="769" max="769" width="8.42578125" style="1118" bestFit="1" customWidth="1"/>
    <col min="770" max="770" width="11.42578125" style="1118" customWidth="1"/>
    <col min="771" max="771" width="7.85546875" style="1118" bestFit="1" customWidth="1"/>
    <col min="772" max="772" width="9.5703125" style="1118" customWidth="1"/>
    <col min="773" max="773" width="7.85546875" style="1118" bestFit="1" customWidth="1"/>
    <col min="774" max="774" width="12" style="1118" customWidth="1"/>
    <col min="775" max="775" width="13.42578125" style="1118" customWidth="1"/>
    <col min="776" max="776" width="9.5703125" style="1118" bestFit="1" customWidth="1"/>
    <col min="777" max="783" width="9.140625" style="1118" customWidth="1"/>
    <col min="784" max="987" width="9.140625" style="1118"/>
    <col min="988" max="988" width="16.7109375" style="1118" customWidth="1"/>
    <col min="989" max="989" width="52.5703125" style="1118" customWidth="1"/>
    <col min="990" max="990" width="11" style="1118" customWidth="1"/>
    <col min="991" max="991" width="13.42578125" style="1118" customWidth="1"/>
    <col min="992" max="992" width="11.28515625" style="1118" customWidth="1"/>
    <col min="993" max="993" width="10.28515625" style="1118" customWidth="1"/>
    <col min="994" max="994" width="13.85546875" style="1118" customWidth="1"/>
    <col min="995" max="996" width="7.85546875" style="1118" customWidth="1"/>
    <col min="997" max="997" width="10.85546875" style="1118" customWidth="1"/>
    <col min="998" max="998" width="13" style="1118" customWidth="1"/>
    <col min="999" max="999" width="11.42578125" style="1118" customWidth="1"/>
    <col min="1000" max="1000" width="10" style="1118" customWidth="1"/>
    <col min="1001" max="1001" width="7.85546875" style="1118" customWidth="1"/>
    <col min="1002" max="1002" width="10.140625" style="1118" customWidth="1"/>
    <col min="1003" max="1004" width="7.85546875" style="1118" customWidth="1"/>
    <col min="1005" max="1005" width="10.85546875" style="1118" customWidth="1"/>
    <col min="1006" max="1006" width="10.7109375" style="1118" customWidth="1"/>
    <col min="1007" max="1007" width="11" style="1118" customWidth="1"/>
    <col min="1008" max="1010" width="7.85546875" style="1118" customWidth="1"/>
    <col min="1011" max="1011" width="11.28515625" style="1118" customWidth="1"/>
    <col min="1012" max="1012" width="12.42578125" style="1118" customWidth="1"/>
    <col min="1013" max="1013" width="11" style="1118" customWidth="1"/>
    <col min="1014" max="1015" width="7.85546875" style="1118" customWidth="1"/>
    <col min="1016" max="1016" width="11" style="1118" customWidth="1"/>
    <col min="1017" max="1017" width="10.5703125" style="1118" customWidth="1"/>
    <col min="1018" max="1019" width="11" style="1118" customWidth="1"/>
    <col min="1020" max="1024" width="7.85546875" style="1118" bestFit="1" customWidth="1"/>
    <col min="1025" max="1025" width="8.42578125" style="1118" bestFit="1" customWidth="1"/>
    <col min="1026" max="1026" width="11.42578125" style="1118" customWidth="1"/>
    <col min="1027" max="1027" width="7.85546875" style="1118" bestFit="1" customWidth="1"/>
    <col min="1028" max="1028" width="9.5703125" style="1118" customWidth="1"/>
    <col min="1029" max="1029" width="7.85546875" style="1118" bestFit="1" customWidth="1"/>
    <col min="1030" max="1030" width="12" style="1118" customWidth="1"/>
    <col min="1031" max="1031" width="13.42578125" style="1118" customWidth="1"/>
    <col min="1032" max="1032" width="9.5703125" style="1118" bestFit="1" customWidth="1"/>
    <col min="1033" max="1039" width="9.140625" style="1118" customWidth="1"/>
    <col min="1040" max="1243" width="9.140625" style="1118"/>
    <col min="1244" max="1244" width="16.7109375" style="1118" customWidth="1"/>
    <col min="1245" max="1245" width="52.5703125" style="1118" customWidth="1"/>
    <col min="1246" max="1246" width="11" style="1118" customWidth="1"/>
    <col min="1247" max="1247" width="13.42578125" style="1118" customWidth="1"/>
    <col min="1248" max="1248" width="11.28515625" style="1118" customWidth="1"/>
    <col min="1249" max="1249" width="10.28515625" style="1118" customWidth="1"/>
    <col min="1250" max="1250" width="13.85546875" style="1118" customWidth="1"/>
    <col min="1251" max="1252" width="7.85546875" style="1118" customWidth="1"/>
    <col min="1253" max="1253" width="10.85546875" style="1118" customWidth="1"/>
    <col min="1254" max="1254" width="13" style="1118" customWidth="1"/>
    <col min="1255" max="1255" width="11.42578125" style="1118" customWidth="1"/>
    <col min="1256" max="1256" width="10" style="1118" customWidth="1"/>
    <col min="1257" max="1257" width="7.85546875" style="1118" customWidth="1"/>
    <col min="1258" max="1258" width="10.140625" style="1118" customWidth="1"/>
    <col min="1259" max="1260" width="7.85546875" style="1118" customWidth="1"/>
    <col min="1261" max="1261" width="10.85546875" style="1118" customWidth="1"/>
    <col min="1262" max="1262" width="10.7109375" style="1118" customWidth="1"/>
    <col min="1263" max="1263" width="11" style="1118" customWidth="1"/>
    <col min="1264" max="1266" width="7.85546875" style="1118" customWidth="1"/>
    <col min="1267" max="1267" width="11.28515625" style="1118" customWidth="1"/>
    <col min="1268" max="1268" width="12.42578125" style="1118" customWidth="1"/>
    <col min="1269" max="1269" width="11" style="1118" customWidth="1"/>
    <col min="1270" max="1271" width="7.85546875" style="1118" customWidth="1"/>
    <col min="1272" max="1272" width="11" style="1118" customWidth="1"/>
    <col min="1273" max="1273" width="10.5703125" style="1118" customWidth="1"/>
    <col min="1274" max="1275" width="11" style="1118" customWidth="1"/>
    <col min="1276" max="1280" width="7.85546875" style="1118" bestFit="1" customWidth="1"/>
    <col min="1281" max="1281" width="8.42578125" style="1118" bestFit="1" customWidth="1"/>
    <col min="1282" max="1282" width="11.42578125" style="1118" customWidth="1"/>
    <col min="1283" max="1283" width="7.85546875" style="1118" bestFit="1" customWidth="1"/>
    <col min="1284" max="1284" width="9.5703125" style="1118" customWidth="1"/>
    <col min="1285" max="1285" width="7.85546875" style="1118" bestFit="1" customWidth="1"/>
    <col min="1286" max="1286" width="12" style="1118" customWidth="1"/>
    <col min="1287" max="1287" width="13.42578125" style="1118" customWidth="1"/>
    <col min="1288" max="1288" width="9.5703125" style="1118" bestFit="1" customWidth="1"/>
    <col min="1289" max="1295" width="9.140625" style="1118" customWidth="1"/>
    <col min="1296" max="1499" width="9.140625" style="1118"/>
    <col min="1500" max="1500" width="16.7109375" style="1118" customWidth="1"/>
    <col min="1501" max="1501" width="52.5703125" style="1118" customWidth="1"/>
    <col min="1502" max="1502" width="11" style="1118" customWidth="1"/>
    <col min="1503" max="1503" width="13.42578125" style="1118" customWidth="1"/>
    <col min="1504" max="1504" width="11.28515625" style="1118" customWidth="1"/>
    <col min="1505" max="1505" width="10.28515625" style="1118" customWidth="1"/>
    <col min="1506" max="1506" width="13.85546875" style="1118" customWidth="1"/>
    <col min="1507" max="1508" width="7.85546875" style="1118" customWidth="1"/>
    <col min="1509" max="1509" width="10.85546875" style="1118" customWidth="1"/>
    <col min="1510" max="1510" width="13" style="1118" customWidth="1"/>
    <col min="1511" max="1511" width="11.42578125" style="1118" customWidth="1"/>
    <col min="1512" max="1512" width="10" style="1118" customWidth="1"/>
    <col min="1513" max="1513" width="7.85546875" style="1118" customWidth="1"/>
    <col min="1514" max="1514" width="10.140625" style="1118" customWidth="1"/>
    <col min="1515" max="1516" width="7.85546875" style="1118" customWidth="1"/>
    <col min="1517" max="1517" width="10.85546875" style="1118" customWidth="1"/>
    <col min="1518" max="1518" width="10.7109375" style="1118" customWidth="1"/>
    <col min="1519" max="1519" width="11" style="1118" customWidth="1"/>
    <col min="1520" max="1522" width="7.85546875" style="1118" customWidth="1"/>
    <col min="1523" max="1523" width="11.28515625" style="1118" customWidth="1"/>
    <col min="1524" max="1524" width="12.42578125" style="1118" customWidth="1"/>
    <col min="1525" max="1525" width="11" style="1118" customWidth="1"/>
    <col min="1526" max="1527" width="7.85546875" style="1118" customWidth="1"/>
    <col min="1528" max="1528" width="11" style="1118" customWidth="1"/>
    <col min="1529" max="1529" width="10.5703125" style="1118" customWidth="1"/>
    <col min="1530" max="1531" width="11" style="1118" customWidth="1"/>
    <col min="1532" max="1536" width="7.85546875" style="1118" bestFit="1" customWidth="1"/>
    <col min="1537" max="1537" width="8.42578125" style="1118" bestFit="1" customWidth="1"/>
    <col min="1538" max="1538" width="11.42578125" style="1118" customWidth="1"/>
    <col min="1539" max="1539" width="7.85546875" style="1118" bestFit="1" customWidth="1"/>
    <col min="1540" max="1540" width="9.5703125" style="1118" customWidth="1"/>
    <col min="1541" max="1541" width="7.85546875" style="1118" bestFit="1" customWidth="1"/>
    <col min="1542" max="1542" width="12" style="1118" customWidth="1"/>
    <col min="1543" max="1543" width="13.42578125" style="1118" customWidth="1"/>
    <col min="1544" max="1544" width="9.5703125" style="1118" bestFit="1" customWidth="1"/>
    <col min="1545" max="1551" width="9.140625" style="1118" customWidth="1"/>
    <col min="1552" max="1755" width="9.140625" style="1118"/>
    <col min="1756" max="1756" width="16.7109375" style="1118" customWidth="1"/>
    <col min="1757" max="1757" width="52.5703125" style="1118" customWidth="1"/>
    <col min="1758" max="1758" width="11" style="1118" customWidth="1"/>
    <col min="1759" max="1759" width="13.42578125" style="1118" customWidth="1"/>
    <col min="1760" max="1760" width="11.28515625" style="1118" customWidth="1"/>
    <col min="1761" max="1761" width="10.28515625" style="1118" customWidth="1"/>
    <col min="1762" max="1762" width="13.85546875" style="1118" customWidth="1"/>
    <col min="1763" max="1764" width="7.85546875" style="1118" customWidth="1"/>
    <col min="1765" max="1765" width="10.85546875" style="1118" customWidth="1"/>
    <col min="1766" max="1766" width="13" style="1118" customWidth="1"/>
    <col min="1767" max="1767" width="11.42578125" style="1118" customWidth="1"/>
    <col min="1768" max="1768" width="10" style="1118" customWidth="1"/>
    <col min="1769" max="1769" width="7.85546875" style="1118" customWidth="1"/>
    <col min="1770" max="1770" width="10.140625" style="1118" customWidth="1"/>
    <col min="1771" max="1772" width="7.85546875" style="1118" customWidth="1"/>
    <col min="1773" max="1773" width="10.85546875" style="1118" customWidth="1"/>
    <col min="1774" max="1774" width="10.7109375" style="1118" customWidth="1"/>
    <col min="1775" max="1775" width="11" style="1118" customWidth="1"/>
    <col min="1776" max="1778" width="7.85546875" style="1118" customWidth="1"/>
    <col min="1779" max="1779" width="11.28515625" style="1118" customWidth="1"/>
    <col min="1780" max="1780" width="12.42578125" style="1118" customWidth="1"/>
    <col min="1781" max="1781" width="11" style="1118" customWidth="1"/>
    <col min="1782" max="1783" width="7.85546875" style="1118" customWidth="1"/>
    <col min="1784" max="1784" width="11" style="1118" customWidth="1"/>
    <col min="1785" max="1785" width="10.5703125" style="1118" customWidth="1"/>
    <col min="1786" max="1787" width="11" style="1118" customWidth="1"/>
    <col min="1788" max="1792" width="7.85546875" style="1118" bestFit="1" customWidth="1"/>
    <col min="1793" max="1793" width="8.42578125" style="1118" bestFit="1" customWidth="1"/>
    <col min="1794" max="1794" width="11.42578125" style="1118" customWidth="1"/>
    <col min="1795" max="1795" width="7.85546875" style="1118" bestFit="1" customWidth="1"/>
    <col min="1796" max="1796" width="9.5703125" style="1118" customWidth="1"/>
    <col min="1797" max="1797" width="7.85546875" style="1118" bestFit="1" customWidth="1"/>
    <col min="1798" max="1798" width="12" style="1118" customWidth="1"/>
    <col min="1799" max="1799" width="13.42578125" style="1118" customWidth="1"/>
    <col min="1800" max="1800" width="9.5703125" style="1118" bestFit="1" customWidth="1"/>
    <col min="1801" max="1807" width="9.140625" style="1118" customWidth="1"/>
    <col min="1808" max="2011" width="9.140625" style="1118"/>
    <col min="2012" max="2012" width="16.7109375" style="1118" customWidth="1"/>
    <col min="2013" max="2013" width="52.5703125" style="1118" customWidth="1"/>
    <col min="2014" max="2014" width="11" style="1118" customWidth="1"/>
    <col min="2015" max="2015" width="13.42578125" style="1118" customWidth="1"/>
    <col min="2016" max="2016" width="11.28515625" style="1118" customWidth="1"/>
    <col min="2017" max="2017" width="10.28515625" style="1118" customWidth="1"/>
    <col min="2018" max="2018" width="13.85546875" style="1118" customWidth="1"/>
    <col min="2019" max="2020" width="7.85546875" style="1118" customWidth="1"/>
    <col min="2021" max="2021" width="10.85546875" style="1118" customWidth="1"/>
    <col min="2022" max="2022" width="13" style="1118" customWidth="1"/>
    <col min="2023" max="2023" width="11.42578125" style="1118" customWidth="1"/>
    <col min="2024" max="2024" width="10" style="1118" customWidth="1"/>
    <col min="2025" max="2025" width="7.85546875" style="1118" customWidth="1"/>
    <col min="2026" max="2026" width="10.140625" style="1118" customWidth="1"/>
    <col min="2027" max="2028" width="7.85546875" style="1118" customWidth="1"/>
    <col min="2029" max="2029" width="10.85546875" style="1118" customWidth="1"/>
    <col min="2030" max="2030" width="10.7109375" style="1118" customWidth="1"/>
    <col min="2031" max="2031" width="11" style="1118" customWidth="1"/>
    <col min="2032" max="2034" width="7.85546875" style="1118" customWidth="1"/>
    <col min="2035" max="2035" width="11.28515625" style="1118" customWidth="1"/>
    <col min="2036" max="2036" width="12.42578125" style="1118" customWidth="1"/>
    <col min="2037" max="2037" width="11" style="1118" customWidth="1"/>
    <col min="2038" max="2039" width="7.85546875" style="1118" customWidth="1"/>
    <col min="2040" max="2040" width="11" style="1118" customWidth="1"/>
    <col min="2041" max="2041" width="10.5703125" style="1118" customWidth="1"/>
    <col min="2042" max="2043" width="11" style="1118" customWidth="1"/>
    <col min="2044" max="2048" width="7.85546875" style="1118" bestFit="1" customWidth="1"/>
    <col min="2049" max="2049" width="8.42578125" style="1118" bestFit="1" customWidth="1"/>
    <col min="2050" max="2050" width="11.42578125" style="1118" customWidth="1"/>
    <col min="2051" max="2051" width="7.85546875" style="1118" bestFit="1" customWidth="1"/>
    <col min="2052" max="2052" width="9.5703125" style="1118" customWidth="1"/>
    <col min="2053" max="2053" width="7.85546875" style="1118" bestFit="1" customWidth="1"/>
    <col min="2054" max="2054" width="12" style="1118" customWidth="1"/>
    <col min="2055" max="2055" width="13.42578125" style="1118" customWidth="1"/>
    <col min="2056" max="2056" width="9.5703125" style="1118" bestFit="1" customWidth="1"/>
    <col min="2057" max="2063" width="9.140625" style="1118" customWidth="1"/>
    <col min="2064" max="2267" width="9.140625" style="1118"/>
    <col min="2268" max="2268" width="16.7109375" style="1118" customWidth="1"/>
    <col min="2269" max="2269" width="52.5703125" style="1118" customWidth="1"/>
    <col min="2270" max="2270" width="11" style="1118" customWidth="1"/>
    <col min="2271" max="2271" width="13.42578125" style="1118" customWidth="1"/>
    <col min="2272" max="2272" width="11.28515625" style="1118" customWidth="1"/>
    <col min="2273" max="2273" width="10.28515625" style="1118" customWidth="1"/>
    <col min="2274" max="2274" width="13.85546875" style="1118" customWidth="1"/>
    <col min="2275" max="2276" width="7.85546875" style="1118" customWidth="1"/>
    <col min="2277" max="2277" width="10.85546875" style="1118" customWidth="1"/>
    <col min="2278" max="2278" width="13" style="1118" customWidth="1"/>
    <col min="2279" max="2279" width="11.42578125" style="1118" customWidth="1"/>
    <col min="2280" max="2280" width="10" style="1118" customWidth="1"/>
    <col min="2281" max="2281" width="7.85546875" style="1118" customWidth="1"/>
    <col min="2282" max="2282" width="10.140625" style="1118" customWidth="1"/>
    <col min="2283" max="2284" width="7.85546875" style="1118" customWidth="1"/>
    <col min="2285" max="2285" width="10.85546875" style="1118" customWidth="1"/>
    <col min="2286" max="2286" width="10.7109375" style="1118" customWidth="1"/>
    <col min="2287" max="2287" width="11" style="1118" customWidth="1"/>
    <col min="2288" max="2290" width="7.85546875" style="1118" customWidth="1"/>
    <col min="2291" max="2291" width="11.28515625" style="1118" customWidth="1"/>
    <col min="2292" max="2292" width="12.42578125" style="1118" customWidth="1"/>
    <col min="2293" max="2293" width="11" style="1118" customWidth="1"/>
    <col min="2294" max="2295" width="7.85546875" style="1118" customWidth="1"/>
    <col min="2296" max="2296" width="11" style="1118" customWidth="1"/>
    <col min="2297" max="2297" width="10.5703125" style="1118" customWidth="1"/>
    <col min="2298" max="2299" width="11" style="1118" customWidth="1"/>
    <col min="2300" max="2304" width="7.85546875" style="1118" bestFit="1" customWidth="1"/>
    <col min="2305" max="2305" width="8.42578125" style="1118" bestFit="1" customWidth="1"/>
    <col min="2306" max="2306" width="11.42578125" style="1118" customWidth="1"/>
    <col min="2307" max="2307" width="7.85546875" style="1118" bestFit="1" customWidth="1"/>
    <col min="2308" max="2308" width="9.5703125" style="1118" customWidth="1"/>
    <col min="2309" max="2309" width="7.85546875" style="1118" bestFit="1" customWidth="1"/>
    <col min="2310" max="2310" width="12" style="1118" customWidth="1"/>
    <col min="2311" max="2311" width="13.42578125" style="1118" customWidth="1"/>
    <col min="2312" max="2312" width="9.5703125" style="1118" bestFit="1" customWidth="1"/>
    <col min="2313" max="2319" width="9.140625" style="1118" customWidth="1"/>
    <col min="2320" max="2523" width="9.140625" style="1118"/>
    <col min="2524" max="2524" width="16.7109375" style="1118" customWidth="1"/>
    <col min="2525" max="2525" width="52.5703125" style="1118" customWidth="1"/>
    <col min="2526" max="2526" width="11" style="1118" customWidth="1"/>
    <col min="2527" max="2527" width="13.42578125" style="1118" customWidth="1"/>
    <col min="2528" max="2528" width="11.28515625" style="1118" customWidth="1"/>
    <col min="2529" max="2529" width="10.28515625" style="1118" customWidth="1"/>
    <col min="2530" max="2530" width="13.85546875" style="1118" customWidth="1"/>
    <col min="2531" max="2532" width="7.85546875" style="1118" customWidth="1"/>
    <col min="2533" max="2533" width="10.85546875" style="1118" customWidth="1"/>
    <col min="2534" max="2534" width="13" style="1118" customWidth="1"/>
    <col min="2535" max="2535" width="11.42578125" style="1118" customWidth="1"/>
    <col min="2536" max="2536" width="10" style="1118" customWidth="1"/>
    <col min="2537" max="2537" width="7.85546875" style="1118" customWidth="1"/>
    <col min="2538" max="2538" width="10.140625" style="1118" customWidth="1"/>
    <col min="2539" max="2540" width="7.85546875" style="1118" customWidth="1"/>
    <col min="2541" max="2541" width="10.85546875" style="1118" customWidth="1"/>
    <col min="2542" max="2542" width="10.7109375" style="1118" customWidth="1"/>
    <col min="2543" max="2543" width="11" style="1118" customWidth="1"/>
    <col min="2544" max="2546" width="7.85546875" style="1118" customWidth="1"/>
    <col min="2547" max="2547" width="11.28515625" style="1118" customWidth="1"/>
    <col min="2548" max="2548" width="12.42578125" style="1118" customWidth="1"/>
    <col min="2549" max="2549" width="11" style="1118" customWidth="1"/>
    <col min="2550" max="2551" width="7.85546875" style="1118" customWidth="1"/>
    <col min="2552" max="2552" width="11" style="1118" customWidth="1"/>
    <col min="2553" max="2553" width="10.5703125" style="1118" customWidth="1"/>
    <col min="2554" max="2555" width="11" style="1118" customWidth="1"/>
    <col min="2556" max="2560" width="7.85546875" style="1118" bestFit="1" customWidth="1"/>
    <col min="2561" max="2561" width="8.42578125" style="1118" bestFit="1" customWidth="1"/>
    <col min="2562" max="2562" width="11.42578125" style="1118" customWidth="1"/>
    <col min="2563" max="2563" width="7.85546875" style="1118" bestFit="1" customWidth="1"/>
    <col min="2564" max="2564" width="9.5703125" style="1118" customWidth="1"/>
    <col min="2565" max="2565" width="7.85546875" style="1118" bestFit="1" customWidth="1"/>
    <col min="2566" max="2566" width="12" style="1118" customWidth="1"/>
    <col min="2567" max="2567" width="13.42578125" style="1118" customWidth="1"/>
    <col min="2568" max="2568" width="9.5703125" style="1118" bestFit="1" customWidth="1"/>
    <col min="2569" max="2575" width="9.140625" style="1118" customWidth="1"/>
    <col min="2576" max="2779" width="9.140625" style="1118"/>
    <col min="2780" max="2780" width="16.7109375" style="1118" customWidth="1"/>
    <col min="2781" max="2781" width="52.5703125" style="1118" customWidth="1"/>
    <col min="2782" max="2782" width="11" style="1118" customWidth="1"/>
    <col min="2783" max="2783" width="13.42578125" style="1118" customWidth="1"/>
    <col min="2784" max="2784" width="11.28515625" style="1118" customWidth="1"/>
    <col min="2785" max="2785" width="10.28515625" style="1118" customWidth="1"/>
    <col min="2786" max="2786" width="13.85546875" style="1118" customWidth="1"/>
    <col min="2787" max="2788" width="7.85546875" style="1118" customWidth="1"/>
    <col min="2789" max="2789" width="10.85546875" style="1118" customWidth="1"/>
    <col min="2790" max="2790" width="13" style="1118" customWidth="1"/>
    <col min="2791" max="2791" width="11.42578125" style="1118" customWidth="1"/>
    <col min="2792" max="2792" width="10" style="1118" customWidth="1"/>
    <col min="2793" max="2793" width="7.85546875" style="1118" customWidth="1"/>
    <col min="2794" max="2794" width="10.140625" style="1118" customWidth="1"/>
    <col min="2795" max="2796" width="7.85546875" style="1118" customWidth="1"/>
    <col min="2797" max="2797" width="10.85546875" style="1118" customWidth="1"/>
    <col min="2798" max="2798" width="10.7109375" style="1118" customWidth="1"/>
    <col min="2799" max="2799" width="11" style="1118" customWidth="1"/>
    <col min="2800" max="2802" width="7.85546875" style="1118" customWidth="1"/>
    <col min="2803" max="2803" width="11.28515625" style="1118" customWidth="1"/>
    <col min="2804" max="2804" width="12.42578125" style="1118" customWidth="1"/>
    <col min="2805" max="2805" width="11" style="1118" customWidth="1"/>
    <col min="2806" max="2807" width="7.85546875" style="1118" customWidth="1"/>
    <col min="2808" max="2808" width="11" style="1118" customWidth="1"/>
    <col min="2809" max="2809" width="10.5703125" style="1118" customWidth="1"/>
    <col min="2810" max="2811" width="11" style="1118" customWidth="1"/>
    <col min="2812" max="2816" width="7.85546875" style="1118" bestFit="1" customWidth="1"/>
    <col min="2817" max="2817" width="8.42578125" style="1118" bestFit="1" customWidth="1"/>
    <col min="2818" max="2818" width="11.42578125" style="1118" customWidth="1"/>
    <col min="2819" max="2819" width="7.85546875" style="1118" bestFit="1" customWidth="1"/>
    <col min="2820" max="2820" width="9.5703125" style="1118" customWidth="1"/>
    <col min="2821" max="2821" width="7.85546875" style="1118" bestFit="1" customWidth="1"/>
    <col min="2822" max="2822" width="12" style="1118" customWidth="1"/>
    <col min="2823" max="2823" width="13.42578125" style="1118" customWidth="1"/>
    <col min="2824" max="2824" width="9.5703125" style="1118" bestFit="1" customWidth="1"/>
    <col min="2825" max="2831" width="9.140625" style="1118" customWidth="1"/>
    <col min="2832" max="3035" width="9.140625" style="1118"/>
    <col min="3036" max="3036" width="16.7109375" style="1118" customWidth="1"/>
    <col min="3037" max="3037" width="52.5703125" style="1118" customWidth="1"/>
    <col min="3038" max="3038" width="11" style="1118" customWidth="1"/>
    <col min="3039" max="3039" width="13.42578125" style="1118" customWidth="1"/>
    <col min="3040" max="3040" width="11.28515625" style="1118" customWidth="1"/>
    <col min="3041" max="3041" width="10.28515625" style="1118" customWidth="1"/>
    <col min="3042" max="3042" width="13.85546875" style="1118" customWidth="1"/>
    <col min="3043" max="3044" width="7.85546875" style="1118" customWidth="1"/>
    <col min="3045" max="3045" width="10.85546875" style="1118" customWidth="1"/>
    <col min="3046" max="3046" width="13" style="1118" customWidth="1"/>
    <col min="3047" max="3047" width="11.42578125" style="1118" customWidth="1"/>
    <col min="3048" max="3048" width="10" style="1118" customWidth="1"/>
    <col min="3049" max="3049" width="7.85546875" style="1118" customWidth="1"/>
    <col min="3050" max="3050" width="10.140625" style="1118" customWidth="1"/>
    <col min="3051" max="3052" width="7.85546875" style="1118" customWidth="1"/>
    <col min="3053" max="3053" width="10.85546875" style="1118" customWidth="1"/>
    <col min="3054" max="3054" width="10.7109375" style="1118" customWidth="1"/>
    <col min="3055" max="3055" width="11" style="1118" customWidth="1"/>
    <col min="3056" max="3058" width="7.85546875" style="1118" customWidth="1"/>
    <col min="3059" max="3059" width="11.28515625" style="1118" customWidth="1"/>
    <col min="3060" max="3060" width="12.42578125" style="1118" customWidth="1"/>
    <col min="3061" max="3061" width="11" style="1118" customWidth="1"/>
    <col min="3062" max="3063" width="7.85546875" style="1118" customWidth="1"/>
    <col min="3064" max="3064" width="11" style="1118" customWidth="1"/>
    <col min="3065" max="3065" width="10.5703125" style="1118" customWidth="1"/>
    <col min="3066" max="3067" width="11" style="1118" customWidth="1"/>
    <col min="3068" max="3072" width="7.85546875" style="1118" bestFit="1" customWidth="1"/>
    <col min="3073" max="3073" width="8.42578125" style="1118" bestFit="1" customWidth="1"/>
    <col min="3074" max="3074" width="11.42578125" style="1118" customWidth="1"/>
    <col min="3075" max="3075" width="7.85546875" style="1118" bestFit="1" customWidth="1"/>
    <col min="3076" max="3076" width="9.5703125" style="1118" customWidth="1"/>
    <col min="3077" max="3077" width="7.85546875" style="1118" bestFit="1" customWidth="1"/>
    <col min="3078" max="3078" width="12" style="1118" customWidth="1"/>
    <col min="3079" max="3079" width="13.42578125" style="1118" customWidth="1"/>
    <col min="3080" max="3080" width="9.5703125" style="1118" bestFit="1" customWidth="1"/>
    <col min="3081" max="3087" width="9.140625" style="1118" customWidth="1"/>
    <col min="3088" max="3291" width="9.140625" style="1118"/>
    <col min="3292" max="3292" width="16.7109375" style="1118" customWidth="1"/>
    <col min="3293" max="3293" width="52.5703125" style="1118" customWidth="1"/>
    <col min="3294" max="3294" width="11" style="1118" customWidth="1"/>
    <col min="3295" max="3295" width="13.42578125" style="1118" customWidth="1"/>
    <col min="3296" max="3296" width="11.28515625" style="1118" customWidth="1"/>
    <col min="3297" max="3297" width="10.28515625" style="1118" customWidth="1"/>
    <col min="3298" max="3298" width="13.85546875" style="1118" customWidth="1"/>
    <col min="3299" max="3300" width="7.85546875" style="1118" customWidth="1"/>
    <col min="3301" max="3301" width="10.85546875" style="1118" customWidth="1"/>
    <col min="3302" max="3302" width="13" style="1118" customWidth="1"/>
    <col min="3303" max="3303" width="11.42578125" style="1118" customWidth="1"/>
    <col min="3304" max="3304" width="10" style="1118" customWidth="1"/>
    <col min="3305" max="3305" width="7.85546875" style="1118" customWidth="1"/>
    <col min="3306" max="3306" width="10.140625" style="1118" customWidth="1"/>
    <col min="3307" max="3308" width="7.85546875" style="1118" customWidth="1"/>
    <col min="3309" max="3309" width="10.85546875" style="1118" customWidth="1"/>
    <col min="3310" max="3310" width="10.7109375" style="1118" customWidth="1"/>
    <col min="3311" max="3311" width="11" style="1118" customWidth="1"/>
    <col min="3312" max="3314" width="7.85546875" style="1118" customWidth="1"/>
    <col min="3315" max="3315" width="11.28515625" style="1118" customWidth="1"/>
    <col min="3316" max="3316" width="12.42578125" style="1118" customWidth="1"/>
    <col min="3317" max="3317" width="11" style="1118" customWidth="1"/>
    <col min="3318" max="3319" width="7.85546875" style="1118" customWidth="1"/>
    <col min="3320" max="3320" width="11" style="1118" customWidth="1"/>
    <col min="3321" max="3321" width="10.5703125" style="1118" customWidth="1"/>
    <col min="3322" max="3323" width="11" style="1118" customWidth="1"/>
    <col min="3324" max="3328" width="7.85546875" style="1118" bestFit="1" customWidth="1"/>
    <col min="3329" max="3329" width="8.42578125" style="1118" bestFit="1" customWidth="1"/>
    <col min="3330" max="3330" width="11.42578125" style="1118" customWidth="1"/>
    <col min="3331" max="3331" width="7.85546875" style="1118" bestFit="1" customWidth="1"/>
    <col min="3332" max="3332" width="9.5703125" style="1118" customWidth="1"/>
    <col min="3333" max="3333" width="7.85546875" style="1118" bestFit="1" customWidth="1"/>
    <col min="3334" max="3334" width="12" style="1118" customWidth="1"/>
    <col min="3335" max="3335" width="13.42578125" style="1118" customWidth="1"/>
    <col min="3336" max="3336" width="9.5703125" style="1118" bestFit="1" customWidth="1"/>
    <col min="3337" max="3343" width="9.140625" style="1118" customWidth="1"/>
    <col min="3344" max="3547" width="9.140625" style="1118"/>
    <col min="3548" max="3548" width="16.7109375" style="1118" customWidth="1"/>
    <col min="3549" max="3549" width="52.5703125" style="1118" customWidth="1"/>
    <col min="3550" max="3550" width="11" style="1118" customWidth="1"/>
    <col min="3551" max="3551" width="13.42578125" style="1118" customWidth="1"/>
    <col min="3552" max="3552" width="11.28515625" style="1118" customWidth="1"/>
    <col min="3553" max="3553" width="10.28515625" style="1118" customWidth="1"/>
    <col min="3554" max="3554" width="13.85546875" style="1118" customWidth="1"/>
    <col min="3555" max="3556" width="7.85546875" style="1118" customWidth="1"/>
    <col min="3557" max="3557" width="10.85546875" style="1118" customWidth="1"/>
    <col min="3558" max="3558" width="13" style="1118" customWidth="1"/>
    <col min="3559" max="3559" width="11.42578125" style="1118" customWidth="1"/>
    <col min="3560" max="3560" width="10" style="1118" customWidth="1"/>
    <col min="3561" max="3561" width="7.85546875" style="1118" customWidth="1"/>
    <col min="3562" max="3562" width="10.140625" style="1118" customWidth="1"/>
    <col min="3563" max="3564" width="7.85546875" style="1118" customWidth="1"/>
    <col min="3565" max="3565" width="10.85546875" style="1118" customWidth="1"/>
    <col min="3566" max="3566" width="10.7109375" style="1118" customWidth="1"/>
    <col min="3567" max="3567" width="11" style="1118" customWidth="1"/>
    <col min="3568" max="3570" width="7.85546875" style="1118" customWidth="1"/>
    <col min="3571" max="3571" width="11.28515625" style="1118" customWidth="1"/>
    <col min="3572" max="3572" width="12.42578125" style="1118" customWidth="1"/>
    <col min="3573" max="3573" width="11" style="1118" customWidth="1"/>
    <col min="3574" max="3575" width="7.85546875" style="1118" customWidth="1"/>
    <col min="3576" max="3576" width="11" style="1118" customWidth="1"/>
    <col min="3577" max="3577" width="10.5703125" style="1118" customWidth="1"/>
    <col min="3578" max="3579" width="11" style="1118" customWidth="1"/>
    <col min="3580" max="3584" width="7.85546875" style="1118" bestFit="1" customWidth="1"/>
    <col min="3585" max="3585" width="8.42578125" style="1118" bestFit="1" customWidth="1"/>
    <col min="3586" max="3586" width="11.42578125" style="1118" customWidth="1"/>
    <col min="3587" max="3587" width="7.85546875" style="1118" bestFit="1" customWidth="1"/>
    <col min="3588" max="3588" width="9.5703125" style="1118" customWidth="1"/>
    <col min="3589" max="3589" width="7.85546875" style="1118" bestFit="1" customWidth="1"/>
    <col min="3590" max="3590" width="12" style="1118" customWidth="1"/>
    <col min="3591" max="3591" width="13.42578125" style="1118" customWidth="1"/>
    <col min="3592" max="3592" width="9.5703125" style="1118" bestFit="1" customWidth="1"/>
    <col min="3593" max="3599" width="9.140625" style="1118" customWidth="1"/>
    <col min="3600" max="3803" width="9.140625" style="1118"/>
    <col min="3804" max="3804" width="16.7109375" style="1118" customWidth="1"/>
    <col min="3805" max="3805" width="52.5703125" style="1118" customWidth="1"/>
    <col min="3806" max="3806" width="11" style="1118" customWidth="1"/>
    <col min="3807" max="3807" width="13.42578125" style="1118" customWidth="1"/>
    <col min="3808" max="3808" width="11.28515625" style="1118" customWidth="1"/>
    <col min="3809" max="3809" width="10.28515625" style="1118" customWidth="1"/>
    <col min="3810" max="3810" width="13.85546875" style="1118" customWidth="1"/>
    <col min="3811" max="3812" width="7.85546875" style="1118" customWidth="1"/>
    <col min="3813" max="3813" width="10.85546875" style="1118" customWidth="1"/>
    <col min="3814" max="3814" width="13" style="1118" customWidth="1"/>
    <col min="3815" max="3815" width="11.42578125" style="1118" customWidth="1"/>
    <col min="3816" max="3816" width="10" style="1118" customWidth="1"/>
    <col min="3817" max="3817" width="7.85546875" style="1118" customWidth="1"/>
    <col min="3818" max="3818" width="10.140625" style="1118" customWidth="1"/>
    <col min="3819" max="3820" width="7.85546875" style="1118" customWidth="1"/>
    <col min="3821" max="3821" width="10.85546875" style="1118" customWidth="1"/>
    <col min="3822" max="3822" width="10.7109375" style="1118" customWidth="1"/>
    <col min="3823" max="3823" width="11" style="1118" customWidth="1"/>
    <col min="3824" max="3826" width="7.85546875" style="1118" customWidth="1"/>
    <col min="3827" max="3827" width="11.28515625" style="1118" customWidth="1"/>
    <col min="3828" max="3828" width="12.42578125" style="1118" customWidth="1"/>
    <col min="3829" max="3829" width="11" style="1118" customWidth="1"/>
    <col min="3830" max="3831" width="7.85546875" style="1118" customWidth="1"/>
    <col min="3832" max="3832" width="11" style="1118" customWidth="1"/>
    <col min="3833" max="3833" width="10.5703125" style="1118" customWidth="1"/>
    <col min="3834" max="3835" width="11" style="1118" customWidth="1"/>
    <col min="3836" max="3840" width="7.85546875" style="1118" bestFit="1" customWidth="1"/>
    <col min="3841" max="3841" width="8.42578125" style="1118" bestFit="1" customWidth="1"/>
    <col min="3842" max="3842" width="11.42578125" style="1118" customWidth="1"/>
    <col min="3843" max="3843" width="7.85546875" style="1118" bestFit="1" customWidth="1"/>
    <col min="3844" max="3844" width="9.5703125" style="1118" customWidth="1"/>
    <col min="3845" max="3845" width="7.85546875" style="1118" bestFit="1" customWidth="1"/>
    <col min="3846" max="3846" width="12" style="1118" customWidth="1"/>
    <col min="3847" max="3847" width="13.42578125" style="1118" customWidth="1"/>
    <col min="3848" max="3848" width="9.5703125" style="1118" bestFit="1" customWidth="1"/>
    <col min="3849" max="3855" width="9.140625" style="1118" customWidth="1"/>
    <col min="3856" max="4059" width="9.140625" style="1118"/>
    <col min="4060" max="4060" width="16.7109375" style="1118" customWidth="1"/>
    <col min="4061" max="4061" width="52.5703125" style="1118" customWidth="1"/>
    <col min="4062" max="4062" width="11" style="1118" customWidth="1"/>
    <col min="4063" max="4063" width="13.42578125" style="1118" customWidth="1"/>
    <col min="4064" max="4064" width="11.28515625" style="1118" customWidth="1"/>
    <col min="4065" max="4065" width="10.28515625" style="1118" customWidth="1"/>
    <col min="4066" max="4066" width="13.85546875" style="1118" customWidth="1"/>
    <col min="4067" max="4068" width="7.85546875" style="1118" customWidth="1"/>
    <col min="4069" max="4069" width="10.85546875" style="1118" customWidth="1"/>
    <col min="4070" max="4070" width="13" style="1118" customWidth="1"/>
    <col min="4071" max="4071" width="11.42578125" style="1118" customWidth="1"/>
    <col min="4072" max="4072" width="10" style="1118" customWidth="1"/>
    <col min="4073" max="4073" width="7.85546875" style="1118" customWidth="1"/>
    <col min="4074" max="4074" width="10.140625" style="1118" customWidth="1"/>
    <col min="4075" max="4076" width="7.85546875" style="1118" customWidth="1"/>
    <col min="4077" max="4077" width="10.85546875" style="1118" customWidth="1"/>
    <col min="4078" max="4078" width="10.7109375" style="1118" customWidth="1"/>
    <col min="4079" max="4079" width="11" style="1118" customWidth="1"/>
    <col min="4080" max="4082" width="7.85546875" style="1118" customWidth="1"/>
    <col min="4083" max="4083" width="11.28515625" style="1118" customWidth="1"/>
    <col min="4084" max="4084" width="12.42578125" style="1118" customWidth="1"/>
    <col min="4085" max="4085" width="11" style="1118" customWidth="1"/>
    <col min="4086" max="4087" width="7.85546875" style="1118" customWidth="1"/>
    <col min="4088" max="4088" width="11" style="1118" customWidth="1"/>
    <col min="4089" max="4089" width="10.5703125" style="1118" customWidth="1"/>
    <col min="4090" max="4091" width="11" style="1118" customWidth="1"/>
    <col min="4092" max="4096" width="7.85546875" style="1118" bestFit="1" customWidth="1"/>
    <col min="4097" max="4097" width="8.42578125" style="1118" bestFit="1" customWidth="1"/>
    <col min="4098" max="4098" width="11.42578125" style="1118" customWidth="1"/>
    <col min="4099" max="4099" width="7.85546875" style="1118" bestFit="1" customWidth="1"/>
    <col min="4100" max="4100" width="9.5703125" style="1118" customWidth="1"/>
    <col min="4101" max="4101" width="7.85546875" style="1118" bestFit="1" customWidth="1"/>
    <col min="4102" max="4102" width="12" style="1118" customWidth="1"/>
    <col min="4103" max="4103" width="13.42578125" style="1118" customWidth="1"/>
    <col min="4104" max="4104" width="9.5703125" style="1118" bestFit="1" customWidth="1"/>
    <col min="4105" max="4111" width="9.140625" style="1118" customWidth="1"/>
    <col min="4112" max="4315" width="9.140625" style="1118"/>
    <col min="4316" max="4316" width="16.7109375" style="1118" customWidth="1"/>
    <col min="4317" max="4317" width="52.5703125" style="1118" customWidth="1"/>
    <col min="4318" max="4318" width="11" style="1118" customWidth="1"/>
    <col min="4319" max="4319" width="13.42578125" style="1118" customWidth="1"/>
    <col min="4320" max="4320" width="11.28515625" style="1118" customWidth="1"/>
    <col min="4321" max="4321" width="10.28515625" style="1118" customWidth="1"/>
    <col min="4322" max="4322" width="13.85546875" style="1118" customWidth="1"/>
    <col min="4323" max="4324" width="7.85546875" style="1118" customWidth="1"/>
    <col min="4325" max="4325" width="10.85546875" style="1118" customWidth="1"/>
    <col min="4326" max="4326" width="13" style="1118" customWidth="1"/>
    <col min="4327" max="4327" width="11.42578125" style="1118" customWidth="1"/>
    <col min="4328" max="4328" width="10" style="1118" customWidth="1"/>
    <col min="4329" max="4329" width="7.85546875" style="1118" customWidth="1"/>
    <col min="4330" max="4330" width="10.140625" style="1118" customWidth="1"/>
    <col min="4331" max="4332" width="7.85546875" style="1118" customWidth="1"/>
    <col min="4333" max="4333" width="10.85546875" style="1118" customWidth="1"/>
    <col min="4334" max="4334" width="10.7109375" style="1118" customWidth="1"/>
    <col min="4335" max="4335" width="11" style="1118" customWidth="1"/>
    <col min="4336" max="4338" width="7.85546875" style="1118" customWidth="1"/>
    <col min="4339" max="4339" width="11.28515625" style="1118" customWidth="1"/>
    <col min="4340" max="4340" width="12.42578125" style="1118" customWidth="1"/>
    <col min="4341" max="4341" width="11" style="1118" customWidth="1"/>
    <col min="4342" max="4343" width="7.85546875" style="1118" customWidth="1"/>
    <col min="4344" max="4344" width="11" style="1118" customWidth="1"/>
    <col min="4345" max="4345" width="10.5703125" style="1118" customWidth="1"/>
    <col min="4346" max="4347" width="11" style="1118" customWidth="1"/>
    <col min="4348" max="4352" width="7.85546875" style="1118" bestFit="1" customWidth="1"/>
    <col min="4353" max="4353" width="8.42578125" style="1118" bestFit="1" customWidth="1"/>
    <col min="4354" max="4354" width="11.42578125" style="1118" customWidth="1"/>
    <col min="4355" max="4355" width="7.85546875" style="1118" bestFit="1" customWidth="1"/>
    <col min="4356" max="4356" width="9.5703125" style="1118" customWidth="1"/>
    <col min="4357" max="4357" width="7.85546875" style="1118" bestFit="1" customWidth="1"/>
    <col min="4358" max="4358" width="12" style="1118" customWidth="1"/>
    <col min="4359" max="4359" width="13.42578125" style="1118" customWidth="1"/>
    <col min="4360" max="4360" width="9.5703125" style="1118" bestFit="1" customWidth="1"/>
    <col min="4361" max="4367" width="9.140625" style="1118" customWidth="1"/>
    <col min="4368" max="4571" width="9.140625" style="1118"/>
    <col min="4572" max="4572" width="16.7109375" style="1118" customWidth="1"/>
    <col min="4573" max="4573" width="52.5703125" style="1118" customWidth="1"/>
    <col min="4574" max="4574" width="11" style="1118" customWidth="1"/>
    <col min="4575" max="4575" width="13.42578125" style="1118" customWidth="1"/>
    <col min="4576" max="4576" width="11.28515625" style="1118" customWidth="1"/>
    <col min="4577" max="4577" width="10.28515625" style="1118" customWidth="1"/>
    <col min="4578" max="4578" width="13.85546875" style="1118" customWidth="1"/>
    <col min="4579" max="4580" width="7.85546875" style="1118" customWidth="1"/>
    <col min="4581" max="4581" width="10.85546875" style="1118" customWidth="1"/>
    <col min="4582" max="4582" width="13" style="1118" customWidth="1"/>
    <col min="4583" max="4583" width="11.42578125" style="1118" customWidth="1"/>
    <col min="4584" max="4584" width="10" style="1118" customWidth="1"/>
    <col min="4585" max="4585" width="7.85546875" style="1118" customWidth="1"/>
    <col min="4586" max="4586" width="10.140625" style="1118" customWidth="1"/>
    <col min="4587" max="4588" width="7.85546875" style="1118" customWidth="1"/>
    <col min="4589" max="4589" width="10.85546875" style="1118" customWidth="1"/>
    <col min="4590" max="4590" width="10.7109375" style="1118" customWidth="1"/>
    <col min="4591" max="4591" width="11" style="1118" customWidth="1"/>
    <col min="4592" max="4594" width="7.85546875" style="1118" customWidth="1"/>
    <col min="4595" max="4595" width="11.28515625" style="1118" customWidth="1"/>
    <col min="4596" max="4596" width="12.42578125" style="1118" customWidth="1"/>
    <col min="4597" max="4597" width="11" style="1118" customWidth="1"/>
    <col min="4598" max="4599" width="7.85546875" style="1118" customWidth="1"/>
    <col min="4600" max="4600" width="11" style="1118" customWidth="1"/>
    <col min="4601" max="4601" width="10.5703125" style="1118" customWidth="1"/>
    <col min="4602" max="4603" width="11" style="1118" customWidth="1"/>
    <col min="4604" max="4608" width="7.85546875" style="1118" bestFit="1" customWidth="1"/>
    <col min="4609" max="4609" width="8.42578125" style="1118" bestFit="1" customWidth="1"/>
    <col min="4610" max="4610" width="11.42578125" style="1118" customWidth="1"/>
    <col min="4611" max="4611" width="7.85546875" style="1118" bestFit="1" customWidth="1"/>
    <col min="4612" max="4612" width="9.5703125" style="1118" customWidth="1"/>
    <col min="4613" max="4613" width="7.85546875" style="1118" bestFit="1" customWidth="1"/>
    <col min="4614" max="4614" width="12" style="1118" customWidth="1"/>
    <col min="4615" max="4615" width="13.42578125" style="1118" customWidth="1"/>
    <col min="4616" max="4616" width="9.5703125" style="1118" bestFit="1" customWidth="1"/>
    <col min="4617" max="4623" width="9.140625" style="1118" customWidth="1"/>
    <col min="4624" max="4827" width="9.140625" style="1118"/>
    <col min="4828" max="4828" width="16.7109375" style="1118" customWidth="1"/>
    <col min="4829" max="4829" width="52.5703125" style="1118" customWidth="1"/>
    <col min="4830" max="4830" width="11" style="1118" customWidth="1"/>
    <col min="4831" max="4831" width="13.42578125" style="1118" customWidth="1"/>
    <col min="4832" max="4832" width="11.28515625" style="1118" customWidth="1"/>
    <col min="4833" max="4833" width="10.28515625" style="1118" customWidth="1"/>
    <col min="4834" max="4834" width="13.85546875" style="1118" customWidth="1"/>
    <col min="4835" max="4836" width="7.85546875" style="1118" customWidth="1"/>
    <col min="4837" max="4837" width="10.85546875" style="1118" customWidth="1"/>
    <col min="4838" max="4838" width="13" style="1118" customWidth="1"/>
    <col min="4839" max="4839" width="11.42578125" style="1118" customWidth="1"/>
    <col min="4840" max="4840" width="10" style="1118" customWidth="1"/>
    <col min="4841" max="4841" width="7.85546875" style="1118" customWidth="1"/>
    <col min="4842" max="4842" width="10.140625" style="1118" customWidth="1"/>
    <col min="4843" max="4844" width="7.85546875" style="1118" customWidth="1"/>
    <col min="4845" max="4845" width="10.85546875" style="1118" customWidth="1"/>
    <col min="4846" max="4846" width="10.7109375" style="1118" customWidth="1"/>
    <col min="4847" max="4847" width="11" style="1118" customWidth="1"/>
    <col min="4848" max="4850" width="7.85546875" style="1118" customWidth="1"/>
    <col min="4851" max="4851" width="11.28515625" style="1118" customWidth="1"/>
    <col min="4852" max="4852" width="12.42578125" style="1118" customWidth="1"/>
    <col min="4853" max="4853" width="11" style="1118" customWidth="1"/>
    <col min="4854" max="4855" width="7.85546875" style="1118" customWidth="1"/>
    <col min="4856" max="4856" width="11" style="1118" customWidth="1"/>
    <col min="4857" max="4857" width="10.5703125" style="1118" customWidth="1"/>
    <col min="4858" max="4859" width="11" style="1118" customWidth="1"/>
    <col min="4860" max="4864" width="7.85546875" style="1118" bestFit="1" customWidth="1"/>
    <col min="4865" max="4865" width="8.42578125" style="1118" bestFit="1" customWidth="1"/>
    <col min="4866" max="4866" width="11.42578125" style="1118" customWidth="1"/>
    <col min="4867" max="4867" width="7.85546875" style="1118" bestFit="1" customWidth="1"/>
    <col min="4868" max="4868" width="9.5703125" style="1118" customWidth="1"/>
    <col min="4869" max="4869" width="7.85546875" style="1118" bestFit="1" customWidth="1"/>
    <col min="4870" max="4870" width="12" style="1118" customWidth="1"/>
    <col min="4871" max="4871" width="13.42578125" style="1118" customWidth="1"/>
    <col min="4872" max="4872" width="9.5703125" style="1118" bestFit="1" customWidth="1"/>
    <col min="4873" max="4879" width="9.140625" style="1118" customWidth="1"/>
    <col min="4880" max="5083" width="9.140625" style="1118"/>
    <col min="5084" max="5084" width="16.7109375" style="1118" customWidth="1"/>
    <col min="5085" max="5085" width="52.5703125" style="1118" customWidth="1"/>
    <col min="5086" max="5086" width="11" style="1118" customWidth="1"/>
    <col min="5087" max="5087" width="13.42578125" style="1118" customWidth="1"/>
    <col min="5088" max="5088" width="11.28515625" style="1118" customWidth="1"/>
    <col min="5089" max="5089" width="10.28515625" style="1118" customWidth="1"/>
    <col min="5090" max="5090" width="13.85546875" style="1118" customWidth="1"/>
    <col min="5091" max="5092" width="7.85546875" style="1118" customWidth="1"/>
    <col min="5093" max="5093" width="10.85546875" style="1118" customWidth="1"/>
    <col min="5094" max="5094" width="13" style="1118" customWidth="1"/>
    <col min="5095" max="5095" width="11.42578125" style="1118" customWidth="1"/>
    <col min="5096" max="5096" width="10" style="1118" customWidth="1"/>
    <col min="5097" max="5097" width="7.85546875" style="1118" customWidth="1"/>
    <col min="5098" max="5098" width="10.140625" style="1118" customWidth="1"/>
    <col min="5099" max="5100" width="7.85546875" style="1118" customWidth="1"/>
    <col min="5101" max="5101" width="10.85546875" style="1118" customWidth="1"/>
    <col min="5102" max="5102" width="10.7109375" style="1118" customWidth="1"/>
    <col min="5103" max="5103" width="11" style="1118" customWidth="1"/>
    <col min="5104" max="5106" width="7.85546875" style="1118" customWidth="1"/>
    <col min="5107" max="5107" width="11.28515625" style="1118" customWidth="1"/>
    <col min="5108" max="5108" width="12.42578125" style="1118" customWidth="1"/>
    <col min="5109" max="5109" width="11" style="1118" customWidth="1"/>
    <col min="5110" max="5111" width="7.85546875" style="1118" customWidth="1"/>
    <col min="5112" max="5112" width="11" style="1118" customWidth="1"/>
    <col min="5113" max="5113" width="10.5703125" style="1118" customWidth="1"/>
    <col min="5114" max="5115" width="11" style="1118" customWidth="1"/>
    <col min="5116" max="5120" width="7.85546875" style="1118" bestFit="1" customWidth="1"/>
    <col min="5121" max="5121" width="8.42578125" style="1118" bestFit="1" customWidth="1"/>
    <col min="5122" max="5122" width="11.42578125" style="1118" customWidth="1"/>
    <col min="5123" max="5123" width="7.85546875" style="1118" bestFit="1" customWidth="1"/>
    <col min="5124" max="5124" width="9.5703125" style="1118" customWidth="1"/>
    <col min="5125" max="5125" width="7.85546875" style="1118" bestFit="1" customWidth="1"/>
    <col min="5126" max="5126" width="12" style="1118" customWidth="1"/>
    <col min="5127" max="5127" width="13.42578125" style="1118" customWidth="1"/>
    <col min="5128" max="5128" width="9.5703125" style="1118" bestFit="1" customWidth="1"/>
    <col min="5129" max="5135" width="9.140625" style="1118" customWidth="1"/>
    <col min="5136" max="5339" width="9.140625" style="1118"/>
    <col min="5340" max="5340" width="16.7109375" style="1118" customWidth="1"/>
    <col min="5341" max="5341" width="52.5703125" style="1118" customWidth="1"/>
    <col min="5342" max="5342" width="11" style="1118" customWidth="1"/>
    <col min="5343" max="5343" width="13.42578125" style="1118" customWidth="1"/>
    <col min="5344" max="5344" width="11.28515625" style="1118" customWidth="1"/>
    <col min="5345" max="5345" width="10.28515625" style="1118" customWidth="1"/>
    <col min="5346" max="5346" width="13.85546875" style="1118" customWidth="1"/>
    <col min="5347" max="5348" width="7.85546875" style="1118" customWidth="1"/>
    <col min="5349" max="5349" width="10.85546875" style="1118" customWidth="1"/>
    <col min="5350" max="5350" width="13" style="1118" customWidth="1"/>
    <col min="5351" max="5351" width="11.42578125" style="1118" customWidth="1"/>
    <col min="5352" max="5352" width="10" style="1118" customWidth="1"/>
    <col min="5353" max="5353" width="7.85546875" style="1118" customWidth="1"/>
    <col min="5354" max="5354" width="10.140625" style="1118" customWidth="1"/>
    <col min="5355" max="5356" width="7.85546875" style="1118" customWidth="1"/>
    <col min="5357" max="5357" width="10.85546875" style="1118" customWidth="1"/>
    <col min="5358" max="5358" width="10.7109375" style="1118" customWidth="1"/>
    <col min="5359" max="5359" width="11" style="1118" customWidth="1"/>
    <col min="5360" max="5362" width="7.85546875" style="1118" customWidth="1"/>
    <col min="5363" max="5363" width="11.28515625" style="1118" customWidth="1"/>
    <col min="5364" max="5364" width="12.42578125" style="1118" customWidth="1"/>
    <col min="5365" max="5365" width="11" style="1118" customWidth="1"/>
    <col min="5366" max="5367" width="7.85546875" style="1118" customWidth="1"/>
    <col min="5368" max="5368" width="11" style="1118" customWidth="1"/>
    <col min="5369" max="5369" width="10.5703125" style="1118" customWidth="1"/>
    <col min="5370" max="5371" width="11" style="1118" customWidth="1"/>
    <col min="5372" max="5376" width="7.85546875" style="1118" bestFit="1" customWidth="1"/>
    <col min="5377" max="5377" width="8.42578125" style="1118" bestFit="1" customWidth="1"/>
    <col min="5378" max="5378" width="11.42578125" style="1118" customWidth="1"/>
    <col min="5379" max="5379" width="7.85546875" style="1118" bestFit="1" customWidth="1"/>
    <col min="5380" max="5380" width="9.5703125" style="1118" customWidth="1"/>
    <col min="5381" max="5381" width="7.85546875" style="1118" bestFit="1" customWidth="1"/>
    <col min="5382" max="5382" width="12" style="1118" customWidth="1"/>
    <col min="5383" max="5383" width="13.42578125" style="1118" customWidth="1"/>
    <col min="5384" max="5384" width="9.5703125" style="1118" bestFit="1" customWidth="1"/>
    <col min="5385" max="5391" width="9.140625" style="1118" customWidth="1"/>
    <col min="5392" max="5595" width="9.140625" style="1118"/>
    <col min="5596" max="5596" width="16.7109375" style="1118" customWidth="1"/>
    <col min="5597" max="5597" width="52.5703125" style="1118" customWidth="1"/>
    <col min="5598" max="5598" width="11" style="1118" customWidth="1"/>
    <col min="5599" max="5599" width="13.42578125" style="1118" customWidth="1"/>
    <col min="5600" max="5600" width="11.28515625" style="1118" customWidth="1"/>
    <col min="5601" max="5601" width="10.28515625" style="1118" customWidth="1"/>
    <col min="5602" max="5602" width="13.85546875" style="1118" customWidth="1"/>
    <col min="5603" max="5604" width="7.85546875" style="1118" customWidth="1"/>
    <col min="5605" max="5605" width="10.85546875" style="1118" customWidth="1"/>
    <col min="5606" max="5606" width="13" style="1118" customWidth="1"/>
    <col min="5607" max="5607" width="11.42578125" style="1118" customWidth="1"/>
    <col min="5608" max="5608" width="10" style="1118" customWidth="1"/>
    <col min="5609" max="5609" width="7.85546875" style="1118" customWidth="1"/>
    <col min="5610" max="5610" width="10.140625" style="1118" customWidth="1"/>
    <col min="5611" max="5612" width="7.85546875" style="1118" customWidth="1"/>
    <col min="5613" max="5613" width="10.85546875" style="1118" customWidth="1"/>
    <col min="5614" max="5614" width="10.7109375" style="1118" customWidth="1"/>
    <col min="5615" max="5615" width="11" style="1118" customWidth="1"/>
    <col min="5616" max="5618" width="7.85546875" style="1118" customWidth="1"/>
    <col min="5619" max="5619" width="11.28515625" style="1118" customWidth="1"/>
    <col min="5620" max="5620" width="12.42578125" style="1118" customWidth="1"/>
    <col min="5621" max="5621" width="11" style="1118" customWidth="1"/>
    <col min="5622" max="5623" width="7.85546875" style="1118" customWidth="1"/>
    <col min="5624" max="5624" width="11" style="1118" customWidth="1"/>
    <col min="5625" max="5625" width="10.5703125" style="1118" customWidth="1"/>
    <col min="5626" max="5627" width="11" style="1118" customWidth="1"/>
    <col min="5628" max="5632" width="7.85546875" style="1118" bestFit="1" customWidth="1"/>
    <col min="5633" max="5633" width="8.42578125" style="1118" bestFit="1" customWidth="1"/>
    <col min="5634" max="5634" width="11.42578125" style="1118" customWidth="1"/>
    <col min="5635" max="5635" width="7.85546875" style="1118" bestFit="1" customWidth="1"/>
    <col min="5636" max="5636" width="9.5703125" style="1118" customWidth="1"/>
    <col min="5637" max="5637" width="7.85546875" style="1118" bestFit="1" customWidth="1"/>
    <col min="5638" max="5638" width="12" style="1118" customWidth="1"/>
    <col min="5639" max="5639" width="13.42578125" style="1118" customWidth="1"/>
    <col min="5640" max="5640" width="9.5703125" style="1118" bestFit="1" customWidth="1"/>
    <col min="5641" max="5647" width="9.140625" style="1118" customWidth="1"/>
    <col min="5648" max="5851" width="9.140625" style="1118"/>
    <col min="5852" max="5852" width="16.7109375" style="1118" customWidth="1"/>
    <col min="5853" max="5853" width="52.5703125" style="1118" customWidth="1"/>
    <col min="5854" max="5854" width="11" style="1118" customWidth="1"/>
    <col min="5855" max="5855" width="13.42578125" style="1118" customWidth="1"/>
    <col min="5856" max="5856" width="11.28515625" style="1118" customWidth="1"/>
    <col min="5857" max="5857" width="10.28515625" style="1118" customWidth="1"/>
    <col min="5858" max="5858" width="13.85546875" style="1118" customWidth="1"/>
    <col min="5859" max="5860" width="7.85546875" style="1118" customWidth="1"/>
    <col min="5861" max="5861" width="10.85546875" style="1118" customWidth="1"/>
    <col min="5862" max="5862" width="13" style="1118" customWidth="1"/>
    <col min="5863" max="5863" width="11.42578125" style="1118" customWidth="1"/>
    <col min="5864" max="5864" width="10" style="1118" customWidth="1"/>
    <col min="5865" max="5865" width="7.85546875" style="1118" customWidth="1"/>
    <col min="5866" max="5866" width="10.140625" style="1118" customWidth="1"/>
    <col min="5867" max="5868" width="7.85546875" style="1118" customWidth="1"/>
    <col min="5869" max="5869" width="10.85546875" style="1118" customWidth="1"/>
    <col min="5870" max="5870" width="10.7109375" style="1118" customWidth="1"/>
    <col min="5871" max="5871" width="11" style="1118" customWidth="1"/>
    <col min="5872" max="5874" width="7.85546875" style="1118" customWidth="1"/>
    <col min="5875" max="5875" width="11.28515625" style="1118" customWidth="1"/>
    <col min="5876" max="5876" width="12.42578125" style="1118" customWidth="1"/>
    <col min="5877" max="5877" width="11" style="1118" customWidth="1"/>
    <col min="5878" max="5879" width="7.85546875" style="1118" customWidth="1"/>
    <col min="5880" max="5880" width="11" style="1118" customWidth="1"/>
    <col min="5881" max="5881" width="10.5703125" style="1118" customWidth="1"/>
    <col min="5882" max="5883" width="11" style="1118" customWidth="1"/>
    <col min="5884" max="5888" width="7.85546875" style="1118" bestFit="1" customWidth="1"/>
    <col min="5889" max="5889" width="8.42578125" style="1118" bestFit="1" customWidth="1"/>
    <col min="5890" max="5890" width="11.42578125" style="1118" customWidth="1"/>
    <col min="5891" max="5891" width="7.85546875" style="1118" bestFit="1" customWidth="1"/>
    <col min="5892" max="5892" width="9.5703125" style="1118" customWidth="1"/>
    <col min="5893" max="5893" width="7.85546875" style="1118" bestFit="1" customWidth="1"/>
    <col min="5894" max="5894" width="12" style="1118" customWidth="1"/>
    <col min="5895" max="5895" width="13.42578125" style="1118" customWidth="1"/>
    <col min="5896" max="5896" width="9.5703125" style="1118" bestFit="1" customWidth="1"/>
    <col min="5897" max="5903" width="9.140625" style="1118" customWidth="1"/>
    <col min="5904" max="6107" width="9.140625" style="1118"/>
    <col min="6108" max="6108" width="16.7109375" style="1118" customWidth="1"/>
    <col min="6109" max="6109" width="52.5703125" style="1118" customWidth="1"/>
    <col min="6110" max="6110" width="11" style="1118" customWidth="1"/>
    <col min="6111" max="6111" width="13.42578125" style="1118" customWidth="1"/>
    <col min="6112" max="6112" width="11.28515625" style="1118" customWidth="1"/>
    <col min="6113" max="6113" width="10.28515625" style="1118" customWidth="1"/>
    <col min="6114" max="6114" width="13.85546875" style="1118" customWidth="1"/>
    <col min="6115" max="6116" width="7.85546875" style="1118" customWidth="1"/>
    <col min="6117" max="6117" width="10.85546875" style="1118" customWidth="1"/>
    <col min="6118" max="6118" width="13" style="1118" customWidth="1"/>
    <col min="6119" max="6119" width="11.42578125" style="1118" customWidth="1"/>
    <col min="6120" max="6120" width="10" style="1118" customWidth="1"/>
    <col min="6121" max="6121" width="7.85546875" style="1118" customWidth="1"/>
    <col min="6122" max="6122" width="10.140625" style="1118" customWidth="1"/>
    <col min="6123" max="6124" width="7.85546875" style="1118" customWidth="1"/>
    <col min="6125" max="6125" width="10.85546875" style="1118" customWidth="1"/>
    <col min="6126" max="6126" width="10.7109375" style="1118" customWidth="1"/>
    <col min="6127" max="6127" width="11" style="1118" customWidth="1"/>
    <col min="6128" max="6130" width="7.85546875" style="1118" customWidth="1"/>
    <col min="6131" max="6131" width="11.28515625" style="1118" customWidth="1"/>
    <col min="6132" max="6132" width="12.42578125" style="1118" customWidth="1"/>
    <col min="6133" max="6133" width="11" style="1118" customWidth="1"/>
    <col min="6134" max="6135" width="7.85546875" style="1118" customWidth="1"/>
    <col min="6136" max="6136" width="11" style="1118" customWidth="1"/>
    <col min="6137" max="6137" width="10.5703125" style="1118" customWidth="1"/>
    <col min="6138" max="6139" width="11" style="1118" customWidth="1"/>
    <col min="6140" max="6144" width="7.85546875" style="1118" bestFit="1" customWidth="1"/>
    <col min="6145" max="6145" width="8.42578125" style="1118" bestFit="1" customWidth="1"/>
    <col min="6146" max="6146" width="11.42578125" style="1118" customWidth="1"/>
    <col min="6147" max="6147" width="7.85546875" style="1118" bestFit="1" customWidth="1"/>
    <col min="6148" max="6148" width="9.5703125" style="1118" customWidth="1"/>
    <col min="6149" max="6149" width="7.85546875" style="1118" bestFit="1" customWidth="1"/>
    <col min="6150" max="6150" width="12" style="1118" customWidth="1"/>
    <col min="6151" max="6151" width="13.42578125" style="1118" customWidth="1"/>
    <col min="6152" max="6152" width="9.5703125" style="1118" bestFit="1" customWidth="1"/>
    <col min="6153" max="6159" width="9.140625" style="1118" customWidth="1"/>
    <col min="6160" max="6363" width="9.140625" style="1118"/>
    <col min="6364" max="6364" width="16.7109375" style="1118" customWidth="1"/>
    <col min="6365" max="6365" width="52.5703125" style="1118" customWidth="1"/>
    <col min="6366" max="6366" width="11" style="1118" customWidth="1"/>
    <col min="6367" max="6367" width="13.42578125" style="1118" customWidth="1"/>
    <col min="6368" max="6368" width="11.28515625" style="1118" customWidth="1"/>
    <col min="6369" max="6369" width="10.28515625" style="1118" customWidth="1"/>
    <col min="6370" max="6370" width="13.85546875" style="1118" customWidth="1"/>
    <col min="6371" max="6372" width="7.85546875" style="1118" customWidth="1"/>
    <col min="6373" max="6373" width="10.85546875" style="1118" customWidth="1"/>
    <col min="6374" max="6374" width="13" style="1118" customWidth="1"/>
    <col min="6375" max="6375" width="11.42578125" style="1118" customWidth="1"/>
    <col min="6376" max="6376" width="10" style="1118" customWidth="1"/>
    <col min="6377" max="6377" width="7.85546875" style="1118" customWidth="1"/>
    <col min="6378" max="6378" width="10.140625" style="1118" customWidth="1"/>
    <col min="6379" max="6380" width="7.85546875" style="1118" customWidth="1"/>
    <col min="6381" max="6381" width="10.85546875" style="1118" customWidth="1"/>
    <col min="6382" max="6382" width="10.7109375" style="1118" customWidth="1"/>
    <col min="6383" max="6383" width="11" style="1118" customWidth="1"/>
    <col min="6384" max="6386" width="7.85546875" style="1118" customWidth="1"/>
    <col min="6387" max="6387" width="11.28515625" style="1118" customWidth="1"/>
    <col min="6388" max="6388" width="12.42578125" style="1118" customWidth="1"/>
    <col min="6389" max="6389" width="11" style="1118" customWidth="1"/>
    <col min="6390" max="6391" width="7.85546875" style="1118" customWidth="1"/>
    <col min="6392" max="6392" width="11" style="1118" customWidth="1"/>
    <col min="6393" max="6393" width="10.5703125" style="1118" customWidth="1"/>
    <col min="6394" max="6395" width="11" style="1118" customWidth="1"/>
    <col min="6396" max="6400" width="7.85546875" style="1118" bestFit="1" customWidth="1"/>
    <col min="6401" max="6401" width="8.42578125" style="1118" bestFit="1" customWidth="1"/>
    <col min="6402" max="6402" width="11.42578125" style="1118" customWidth="1"/>
    <col min="6403" max="6403" width="7.85546875" style="1118" bestFit="1" customWidth="1"/>
    <col min="6404" max="6404" width="9.5703125" style="1118" customWidth="1"/>
    <col min="6405" max="6405" width="7.85546875" style="1118" bestFit="1" customWidth="1"/>
    <col min="6406" max="6406" width="12" style="1118" customWidth="1"/>
    <col min="6407" max="6407" width="13.42578125" style="1118" customWidth="1"/>
    <col min="6408" max="6408" width="9.5703125" style="1118" bestFit="1" customWidth="1"/>
    <col min="6409" max="6415" width="9.140625" style="1118" customWidth="1"/>
    <col min="6416" max="6619" width="9.140625" style="1118"/>
    <col min="6620" max="6620" width="16.7109375" style="1118" customWidth="1"/>
    <col min="6621" max="6621" width="52.5703125" style="1118" customWidth="1"/>
    <col min="6622" max="6622" width="11" style="1118" customWidth="1"/>
    <col min="6623" max="6623" width="13.42578125" style="1118" customWidth="1"/>
    <col min="6624" max="6624" width="11.28515625" style="1118" customWidth="1"/>
    <col min="6625" max="6625" width="10.28515625" style="1118" customWidth="1"/>
    <col min="6626" max="6626" width="13.85546875" style="1118" customWidth="1"/>
    <col min="6627" max="6628" width="7.85546875" style="1118" customWidth="1"/>
    <col min="6629" max="6629" width="10.85546875" style="1118" customWidth="1"/>
    <col min="6630" max="6630" width="13" style="1118" customWidth="1"/>
    <col min="6631" max="6631" width="11.42578125" style="1118" customWidth="1"/>
    <col min="6632" max="6632" width="10" style="1118" customWidth="1"/>
    <col min="6633" max="6633" width="7.85546875" style="1118" customWidth="1"/>
    <col min="6634" max="6634" width="10.140625" style="1118" customWidth="1"/>
    <col min="6635" max="6636" width="7.85546875" style="1118" customWidth="1"/>
    <col min="6637" max="6637" width="10.85546875" style="1118" customWidth="1"/>
    <col min="6638" max="6638" width="10.7109375" style="1118" customWidth="1"/>
    <col min="6639" max="6639" width="11" style="1118" customWidth="1"/>
    <col min="6640" max="6642" width="7.85546875" style="1118" customWidth="1"/>
    <col min="6643" max="6643" width="11.28515625" style="1118" customWidth="1"/>
    <col min="6644" max="6644" width="12.42578125" style="1118" customWidth="1"/>
    <col min="6645" max="6645" width="11" style="1118" customWidth="1"/>
    <col min="6646" max="6647" width="7.85546875" style="1118" customWidth="1"/>
    <col min="6648" max="6648" width="11" style="1118" customWidth="1"/>
    <col min="6649" max="6649" width="10.5703125" style="1118" customWidth="1"/>
    <col min="6650" max="6651" width="11" style="1118" customWidth="1"/>
    <col min="6652" max="6656" width="7.85546875" style="1118" bestFit="1" customWidth="1"/>
    <col min="6657" max="6657" width="8.42578125" style="1118" bestFit="1" customWidth="1"/>
    <col min="6658" max="6658" width="11.42578125" style="1118" customWidth="1"/>
    <col min="6659" max="6659" width="7.85546875" style="1118" bestFit="1" customWidth="1"/>
    <col min="6660" max="6660" width="9.5703125" style="1118" customWidth="1"/>
    <col min="6661" max="6661" width="7.85546875" style="1118" bestFit="1" customWidth="1"/>
    <col min="6662" max="6662" width="12" style="1118" customWidth="1"/>
    <col min="6663" max="6663" width="13.42578125" style="1118" customWidth="1"/>
    <col min="6664" max="6664" width="9.5703125" style="1118" bestFit="1" customWidth="1"/>
    <col min="6665" max="6671" width="9.140625" style="1118" customWidth="1"/>
    <col min="6672" max="6875" width="9.140625" style="1118"/>
    <col min="6876" max="6876" width="16.7109375" style="1118" customWidth="1"/>
    <col min="6877" max="6877" width="52.5703125" style="1118" customWidth="1"/>
    <col min="6878" max="6878" width="11" style="1118" customWidth="1"/>
    <col min="6879" max="6879" width="13.42578125" style="1118" customWidth="1"/>
    <col min="6880" max="6880" width="11.28515625" style="1118" customWidth="1"/>
    <col min="6881" max="6881" width="10.28515625" style="1118" customWidth="1"/>
    <col min="6882" max="6882" width="13.85546875" style="1118" customWidth="1"/>
    <col min="6883" max="6884" width="7.85546875" style="1118" customWidth="1"/>
    <col min="6885" max="6885" width="10.85546875" style="1118" customWidth="1"/>
    <col min="6886" max="6886" width="13" style="1118" customWidth="1"/>
    <col min="6887" max="6887" width="11.42578125" style="1118" customWidth="1"/>
    <col min="6888" max="6888" width="10" style="1118" customWidth="1"/>
    <col min="6889" max="6889" width="7.85546875" style="1118" customWidth="1"/>
    <col min="6890" max="6890" width="10.140625" style="1118" customWidth="1"/>
    <col min="6891" max="6892" width="7.85546875" style="1118" customWidth="1"/>
    <col min="6893" max="6893" width="10.85546875" style="1118" customWidth="1"/>
    <col min="6894" max="6894" width="10.7109375" style="1118" customWidth="1"/>
    <col min="6895" max="6895" width="11" style="1118" customWidth="1"/>
    <col min="6896" max="6898" width="7.85546875" style="1118" customWidth="1"/>
    <col min="6899" max="6899" width="11.28515625" style="1118" customWidth="1"/>
    <col min="6900" max="6900" width="12.42578125" style="1118" customWidth="1"/>
    <col min="6901" max="6901" width="11" style="1118" customWidth="1"/>
    <col min="6902" max="6903" width="7.85546875" style="1118" customWidth="1"/>
    <col min="6904" max="6904" width="11" style="1118" customWidth="1"/>
    <col min="6905" max="6905" width="10.5703125" style="1118" customWidth="1"/>
    <col min="6906" max="6907" width="11" style="1118" customWidth="1"/>
    <col min="6908" max="6912" width="7.85546875" style="1118" bestFit="1" customWidth="1"/>
    <col min="6913" max="6913" width="8.42578125" style="1118" bestFit="1" customWidth="1"/>
    <col min="6914" max="6914" width="11.42578125" style="1118" customWidth="1"/>
    <col min="6915" max="6915" width="7.85546875" style="1118" bestFit="1" customWidth="1"/>
    <col min="6916" max="6916" width="9.5703125" style="1118" customWidth="1"/>
    <col min="6917" max="6917" width="7.85546875" style="1118" bestFit="1" customWidth="1"/>
    <col min="6918" max="6918" width="12" style="1118" customWidth="1"/>
    <col min="6919" max="6919" width="13.42578125" style="1118" customWidth="1"/>
    <col min="6920" max="6920" width="9.5703125" style="1118" bestFit="1" customWidth="1"/>
    <col min="6921" max="6927" width="9.140625" style="1118" customWidth="1"/>
    <col min="6928" max="7131" width="9.140625" style="1118"/>
    <col min="7132" max="7132" width="16.7109375" style="1118" customWidth="1"/>
    <col min="7133" max="7133" width="52.5703125" style="1118" customWidth="1"/>
    <col min="7134" max="7134" width="11" style="1118" customWidth="1"/>
    <col min="7135" max="7135" width="13.42578125" style="1118" customWidth="1"/>
    <col min="7136" max="7136" width="11.28515625" style="1118" customWidth="1"/>
    <col min="7137" max="7137" width="10.28515625" style="1118" customWidth="1"/>
    <col min="7138" max="7138" width="13.85546875" style="1118" customWidth="1"/>
    <col min="7139" max="7140" width="7.85546875" style="1118" customWidth="1"/>
    <col min="7141" max="7141" width="10.85546875" style="1118" customWidth="1"/>
    <col min="7142" max="7142" width="13" style="1118" customWidth="1"/>
    <col min="7143" max="7143" width="11.42578125" style="1118" customWidth="1"/>
    <col min="7144" max="7144" width="10" style="1118" customWidth="1"/>
    <col min="7145" max="7145" width="7.85546875" style="1118" customWidth="1"/>
    <col min="7146" max="7146" width="10.140625" style="1118" customWidth="1"/>
    <col min="7147" max="7148" width="7.85546875" style="1118" customWidth="1"/>
    <col min="7149" max="7149" width="10.85546875" style="1118" customWidth="1"/>
    <col min="7150" max="7150" width="10.7109375" style="1118" customWidth="1"/>
    <col min="7151" max="7151" width="11" style="1118" customWidth="1"/>
    <col min="7152" max="7154" width="7.85546875" style="1118" customWidth="1"/>
    <col min="7155" max="7155" width="11.28515625" style="1118" customWidth="1"/>
    <col min="7156" max="7156" width="12.42578125" style="1118" customWidth="1"/>
    <col min="7157" max="7157" width="11" style="1118" customWidth="1"/>
    <col min="7158" max="7159" width="7.85546875" style="1118" customWidth="1"/>
    <col min="7160" max="7160" width="11" style="1118" customWidth="1"/>
    <col min="7161" max="7161" width="10.5703125" style="1118" customWidth="1"/>
    <col min="7162" max="7163" width="11" style="1118" customWidth="1"/>
    <col min="7164" max="7168" width="7.85546875" style="1118" bestFit="1" customWidth="1"/>
    <col min="7169" max="7169" width="8.42578125" style="1118" bestFit="1" customWidth="1"/>
    <col min="7170" max="7170" width="11.42578125" style="1118" customWidth="1"/>
    <col min="7171" max="7171" width="7.85546875" style="1118" bestFit="1" customWidth="1"/>
    <col min="7172" max="7172" width="9.5703125" style="1118" customWidth="1"/>
    <col min="7173" max="7173" width="7.85546875" style="1118" bestFit="1" customWidth="1"/>
    <col min="7174" max="7174" width="12" style="1118" customWidth="1"/>
    <col min="7175" max="7175" width="13.42578125" style="1118" customWidth="1"/>
    <col min="7176" max="7176" width="9.5703125" style="1118" bestFit="1" customWidth="1"/>
    <col min="7177" max="7183" width="9.140625" style="1118" customWidth="1"/>
    <col min="7184" max="7387" width="9.140625" style="1118"/>
    <col min="7388" max="7388" width="16.7109375" style="1118" customWidth="1"/>
    <col min="7389" max="7389" width="52.5703125" style="1118" customWidth="1"/>
    <col min="7390" max="7390" width="11" style="1118" customWidth="1"/>
    <col min="7391" max="7391" width="13.42578125" style="1118" customWidth="1"/>
    <col min="7392" max="7392" width="11.28515625" style="1118" customWidth="1"/>
    <col min="7393" max="7393" width="10.28515625" style="1118" customWidth="1"/>
    <col min="7394" max="7394" width="13.85546875" style="1118" customWidth="1"/>
    <col min="7395" max="7396" width="7.85546875" style="1118" customWidth="1"/>
    <col min="7397" max="7397" width="10.85546875" style="1118" customWidth="1"/>
    <col min="7398" max="7398" width="13" style="1118" customWidth="1"/>
    <col min="7399" max="7399" width="11.42578125" style="1118" customWidth="1"/>
    <col min="7400" max="7400" width="10" style="1118" customWidth="1"/>
    <col min="7401" max="7401" width="7.85546875" style="1118" customWidth="1"/>
    <col min="7402" max="7402" width="10.140625" style="1118" customWidth="1"/>
    <col min="7403" max="7404" width="7.85546875" style="1118" customWidth="1"/>
    <col min="7405" max="7405" width="10.85546875" style="1118" customWidth="1"/>
    <col min="7406" max="7406" width="10.7109375" style="1118" customWidth="1"/>
    <col min="7407" max="7407" width="11" style="1118" customWidth="1"/>
    <col min="7408" max="7410" width="7.85546875" style="1118" customWidth="1"/>
    <col min="7411" max="7411" width="11.28515625" style="1118" customWidth="1"/>
    <col min="7412" max="7412" width="12.42578125" style="1118" customWidth="1"/>
    <col min="7413" max="7413" width="11" style="1118" customWidth="1"/>
    <col min="7414" max="7415" width="7.85546875" style="1118" customWidth="1"/>
    <col min="7416" max="7416" width="11" style="1118" customWidth="1"/>
    <col min="7417" max="7417" width="10.5703125" style="1118" customWidth="1"/>
    <col min="7418" max="7419" width="11" style="1118" customWidth="1"/>
    <col min="7420" max="7424" width="7.85546875" style="1118" bestFit="1" customWidth="1"/>
    <col min="7425" max="7425" width="8.42578125" style="1118" bestFit="1" customWidth="1"/>
    <col min="7426" max="7426" width="11.42578125" style="1118" customWidth="1"/>
    <col min="7427" max="7427" width="7.85546875" style="1118" bestFit="1" customWidth="1"/>
    <col min="7428" max="7428" width="9.5703125" style="1118" customWidth="1"/>
    <col min="7429" max="7429" width="7.85546875" style="1118" bestFit="1" customWidth="1"/>
    <col min="7430" max="7430" width="12" style="1118" customWidth="1"/>
    <col min="7431" max="7431" width="13.42578125" style="1118" customWidth="1"/>
    <col min="7432" max="7432" width="9.5703125" style="1118" bestFit="1" customWidth="1"/>
    <col min="7433" max="7439" width="9.140625" style="1118" customWidth="1"/>
    <col min="7440" max="7643" width="9.140625" style="1118"/>
    <col min="7644" max="7644" width="16.7109375" style="1118" customWidth="1"/>
    <col min="7645" max="7645" width="52.5703125" style="1118" customWidth="1"/>
    <col min="7646" max="7646" width="11" style="1118" customWidth="1"/>
    <col min="7647" max="7647" width="13.42578125" style="1118" customWidth="1"/>
    <col min="7648" max="7648" width="11.28515625" style="1118" customWidth="1"/>
    <col min="7649" max="7649" width="10.28515625" style="1118" customWidth="1"/>
    <col min="7650" max="7650" width="13.85546875" style="1118" customWidth="1"/>
    <col min="7651" max="7652" width="7.85546875" style="1118" customWidth="1"/>
    <col min="7653" max="7653" width="10.85546875" style="1118" customWidth="1"/>
    <col min="7654" max="7654" width="13" style="1118" customWidth="1"/>
    <col min="7655" max="7655" width="11.42578125" style="1118" customWidth="1"/>
    <col min="7656" max="7656" width="10" style="1118" customWidth="1"/>
    <col min="7657" max="7657" width="7.85546875" style="1118" customWidth="1"/>
    <col min="7658" max="7658" width="10.140625" style="1118" customWidth="1"/>
    <col min="7659" max="7660" width="7.85546875" style="1118" customWidth="1"/>
    <col min="7661" max="7661" width="10.85546875" style="1118" customWidth="1"/>
    <col min="7662" max="7662" width="10.7109375" style="1118" customWidth="1"/>
    <col min="7663" max="7663" width="11" style="1118" customWidth="1"/>
    <col min="7664" max="7666" width="7.85546875" style="1118" customWidth="1"/>
    <col min="7667" max="7667" width="11.28515625" style="1118" customWidth="1"/>
    <col min="7668" max="7668" width="12.42578125" style="1118" customWidth="1"/>
    <col min="7669" max="7669" width="11" style="1118" customWidth="1"/>
    <col min="7670" max="7671" width="7.85546875" style="1118" customWidth="1"/>
    <col min="7672" max="7672" width="11" style="1118" customWidth="1"/>
    <col min="7673" max="7673" width="10.5703125" style="1118" customWidth="1"/>
    <col min="7674" max="7675" width="11" style="1118" customWidth="1"/>
    <col min="7676" max="7680" width="7.85546875" style="1118" bestFit="1" customWidth="1"/>
    <col min="7681" max="7681" width="8.42578125" style="1118" bestFit="1" customWidth="1"/>
    <col min="7682" max="7682" width="11.42578125" style="1118" customWidth="1"/>
    <col min="7683" max="7683" width="7.85546875" style="1118" bestFit="1" customWidth="1"/>
    <col min="7684" max="7684" width="9.5703125" style="1118" customWidth="1"/>
    <col min="7685" max="7685" width="7.85546875" style="1118" bestFit="1" customWidth="1"/>
    <col min="7686" max="7686" width="12" style="1118" customWidth="1"/>
    <col min="7687" max="7687" width="13.42578125" style="1118" customWidth="1"/>
    <col min="7688" max="7688" width="9.5703125" style="1118" bestFit="1" customWidth="1"/>
    <col min="7689" max="7695" width="9.140625" style="1118" customWidth="1"/>
    <col min="7696" max="7899" width="9.140625" style="1118"/>
    <col min="7900" max="7900" width="16.7109375" style="1118" customWidth="1"/>
    <col min="7901" max="7901" width="52.5703125" style="1118" customWidth="1"/>
    <col min="7902" max="7902" width="11" style="1118" customWidth="1"/>
    <col min="7903" max="7903" width="13.42578125" style="1118" customWidth="1"/>
    <col min="7904" max="7904" width="11.28515625" style="1118" customWidth="1"/>
    <col min="7905" max="7905" width="10.28515625" style="1118" customWidth="1"/>
    <col min="7906" max="7906" width="13.85546875" style="1118" customWidth="1"/>
    <col min="7907" max="7908" width="7.85546875" style="1118" customWidth="1"/>
    <col min="7909" max="7909" width="10.85546875" style="1118" customWidth="1"/>
    <col min="7910" max="7910" width="13" style="1118" customWidth="1"/>
    <col min="7911" max="7911" width="11.42578125" style="1118" customWidth="1"/>
    <col min="7912" max="7912" width="10" style="1118" customWidth="1"/>
    <col min="7913" max="7913" width="7.85546875" style="1118" customWidth="1"/>
    <col min="7914" max="7914" width="10.140625" style="1118" customWidth="1"/>
    <col min="7915" max="7916" width="7.85546875" style="1118" customWidth="1"/>
    <col min="7917" max="7917" width="10.85546875" style="1118" customWidth="1"/>
    <col min="7918" max="7918" width="10.7109375" style="1118" customWidth="1"/>
    <col min="7919" max="7919" width="11" style="1118" customWidth="1"/>
    <col min="7920" max="7922" width="7.85546875" style="1118" customWidth="1"/>
    <col min="7923" max="7923" width="11.28515625" style="1118" customWidth="1"/>
    <col min="7924" max="7924" width="12.42578125" style="1118" customWidth="1"/>
    <col min="7925" max="7925" width="11" style="1118" customWidth="1"/>
    <col min="7926" max="7927" width="7.85546875" style="1118" customWidth="1"/>
    <col min="7928" max="7928" width="11" style="1118" customWidth="1"/>
    <col min="7929" max="7929" width="10.5703125" style="1118" customWidth="1"/>
    <col min="7930" max="7931" width="11" style="1118" customWidth="1"/>
    <col min="7932" max="7936" width="7.85546875" style="1118" bestFit="1" customWidth="1"/>
    <col min="7937" max="7937" width="8.42578125" style="1118" bestFit="1" customWidth="1"/>
    <col min="7938" max="7938" width="11.42578125" style="1118" customWidth="1"/>
    <col min="7939" max="7939" width="7.85546875" style="1118" bestFit="1" customWidth="1"/>
    <col min="7940" max="7940" width="9.5703125" style="1118" customWidth="1"/>
    <col min="7941" max="7941" width="7.85546875" style="1118" bestFit="1" customWidth="1"/>
    <col min="7942" max="7942" width="12" style="1118" customWidth="1"/>
    <col min="7943" max="7943" width="13.42578125" style="1118" customWidth="1"/>
    <col min="7944" max="7944" width="9.5703125" style="1118" bestFit="1" customWidth="1"/>
    <col min="7945" max="7951" width="9.140625" style="1118" customWidth="1"/>
    <col min="7952" max="8155" width="9.140625" style="1118"/>
    <col min="8156" max="8156" width="16.7109375" style="1118" customWidth="1"/>
    <col min="8157" max="8157" width="52.5703125" style="1118" customWidth="1"/>
    <col min="8158" max="8158" width="11" style="1118" customWidth="1"/>
    <col min="8159" max="8159" width="13.42578125" style="1118" customWidth="1"/>
    <col min="8160" max="8160" width="11.28515625" style="1118" customWidth="1"/>
    <col min="8161" max="8161" width="10.28515625" style="1118" customWidth="1"/>
    <col min="8162" max="8162" width="13.85546875" style="1118" customWidth="1"/>
    <col min="8163" max="8164" width="7.85546875" style="1118" customWidth="1"/>
    <col min="8165" max="8165" width="10.85546875" style="1118" customWidth="1"/>
    <col min="8166" max="8166" width="13" style="1118" customWidth="1"/>
    <col min="8167" max="8167" width="11.42578125" style="1118" customWidth="1"/>
    <col min="8168" max="8168" width="10" style="1118" customWidth="1"/>
    <col min="8169" max="8169" width="7.85546875" style="1118" customWidth="1"/>
    <col min="8170" max="8170" width="10.140625" style="1118" customWidth="1"/>
    <col min="8171" max="8172" width="7.85546875" style="1118" customWidth="1"/>
    <col min="8173" max="8173" width="10.85546875" style="1118" customWidth="1"/>
    <col min="8174" max="8174" width="10.7109375" style="1118" customWidth="1"/>
    <col min="8175" max="8175" width="11" style="1118" customWidth="1"/>
    <col min="8176" max="8178" width="7.85546875" style="1118" customWidth="1"/>
    <col min="8179" max="8179" width="11.28515625" style="1118" customWidth="1"/>
    <col min="8180" max="8180" width="12.42578125" style="1118" customWidth="1"/>
    <col min="8181" max="8181" width="11" style="1118" customWidth="1"/>
    <col min="8182" max="8183" width="7.85546875" style="1118" customWidth="1"/>
    <col min="8184" max="8184" width="11" style="1118" customWidth="1"/>
    <col min="8185" max="8185" width="10.5703125" style="1118" customWidth="1"/>
    <col min="8186" max="8187" width="11" style="1118" customWidth="1"/>
    <col min="8188" max="8192" width="7.85546875" style="1118" bestFit="1" customWidth="1"/>
    <col min="8193" max="8193" width="8.42578125" style="1118" bestFit="1" customWidth="1"/>
    <col min="8194" max="8194" width="11.42578125" style="1118" customWidth="1"/>
    <col min="8195" max="8195" width="7.85546875" style="1118" bestFit="1" customWidth="1"/>
    <col min="8196" max="8196" width="9.5703125" style="1118" customWidth="1"/>
    <col min="8197" max="8197" width="7.85546875" style="1118" bestFit="1" customWidth="1"/>
    <col min="8198" max="8198" width="12" style="1118" customWidth="1"/>
    <col min="8199" max="8199" width="13.42578125" style="1118" customWidth="1"/>
    <col min="8200" max="8200" width="9.5703125" style="1118" bestFit="1" customWidth="1"/>
    <col min="8201" max="8207" width="9.140625" style="1118" customWidth="1"/>
    <col min="8208" max="8411" width="9.140625" style="1118"/>
    <col min="8412" max="8412" width="16.7109375" style="1118" customWidth="1"/>
    <col min="8413" max="8413" width="52.5703125" style="1118" customWidth="1"/>
    <col min="8414" max="8414" width="11" style="1118" customWidth="1"/>
    <col min="8415" max="8415" width="13.42578125" style="1118" customWidth="1"/>
    <col min="8416" max="8416" width="11.28515625" style="1118" customWidth="1"/>
    <col min="8417" max="8417" width="10.28515625" style="1118" customWidth="1"/>
    <col min="8418" max="8418" width="13.85546875" style="1118" customWidth="1"/>
    <col min="8419" max="8420" width="7.85546875" style="1118" customWidth="1"/>
    <col min="8421" max="8421" width="10.85546875" style="1118" customWidth="1"/>
    <col min="8422" max="8422" width="13" style="1118" customWidth="1"/>
    <col min="8423" max="8423" width="11.42578125" style="1118" customWidth="1"/>
    <col min="8424" max="8424" width="10" style="1118" customWidth="1"/>
    <col min="8425" max="8425" width="7.85546875" style="1118" customWidth="1"/>
    <col min="8426" max="8426" width="10.140625" style="1118" customWidth="1"/>
    <col min="8427" max="8428" width="7.85546875" style="1118" customWidth="1"/>
    <col min="8429" max="8429" width="10.85546875" style="1118" customWidth="1"/>
    <col min="8430" max="8430" width="10.7109375" style="1118" customWidth="1"/>
    <col min="8431" max="8431" width="11" style="1118" customWidth="1"/>
    <col min="8432" max="8434" width="7.85546875" style="1118" customWidth="1"/>
    <col min="8435" max="8435" width="11.28515625" style="1118" customWidth="1"/>
    <col min="8436" max="8436" width="12.42578125" style="1118" customWidth="1"/>
    <col min="8437" max="8437" width="11" style="1118" customWidth="1"/>
    <col min="8438" max="8439" width="7.85546875" style="1118" customWidth="1"/>
    <col min="8440" max="8440" width="11" style="1118" customWidth="1"/>
    <col min="8441" max="8441" width="10.5703125" style="1118" customWidth="1"/>
    <col min="8442" max="8443" width="11" style="1118" customWidth="1"/>
    <col min="8444" max="8448" width="7.85546875" style="1118" bestFit="1" customWidth="1"/>
    <col min="8449" max="8449" width="8.42578125" style="1118" bestFit="1" customWidth="1"/>
    <col min="8450" max="8450" width="11.42578125" style="1118" customWidth="1"/>
    <col min="8451" max="8451" width="7.85546875" style="1118" bestFit="1" customWidth="1"/>
    <col min="8452" max="8452" width="9.5703125" style="1118" customWidth="1"/>
    <col min="8453" max="8453" width="7.85546875" style="1118" bestFit="1" customWidth="1"/>
    <col min="8454" max="8454" width="12" style="1118" customWidth="1"/>
    <col min="8455" max="8455" width="13.42578125" style="1118" customWidth="1"/>
    <col min="8456" max="8456" width="9.5703125" style="1118" bestFit="1" customWidth="1"/>
    <col min="8457" max="8463" width="9.140625" style="1118" customWidth="1"/>
    <col min="8464" max="8667" width="9.140625" style="1118"/>
    <col min="8668" max="8668" width="16.7109375" style="1118" customWidth="1"/>
    <col min="8669" max="8669" width="52.5703125" style="1118" customWidth="1"/>
    <col min="8670" max="8670" width="11" style="1118" customWidth="1"/>
    <col min="8671" max="8671" width="13.42578125" style="1118" customWidth="1"/>
    <col min="8672" max="8672" width="11.28515625" style="1118" customWidth="1"/>
    <col min="8673" max="8673" width="10.28515625" style="1118" customWidth="1"/>
    <col min="8674" max="8674" width="13.85546875" style="1118" customWidth="1"/>
    <col min="8675" max="8676" width="7.85546875" style="1118" customWidth="1"/>
    <col min="8677" max="8677" width="10.85546875" style="1118" customWidth="1"/>
    <col min="8678" max="8678" width="13" style="1118" customWidth="1"/>
    <col min="8679" max="8679" width="11.42578125" style="1118" customWidth="1"/>
    <col min="8680" max="8680" width="10" style="1118" customWidth="1"/>
    <col min="8681" max="8681" width="7.85546875" style="1118" customWidth="1"/>
    <col min="8682" max="8682" width="10.140625" style="1118" customWidth="1"/>
    <col min="8683" max="8684" width="7.85546875" style="1118" customWidth="1"/>
    <col min="8685" max="8685" width="10.85546875" style="1118" customWidth="1"/>
    <col min="8686" max="8686" width="10.7109375" style="1118" customWidth="1"/>
    <col min="8687" max="8687" width="11" style="1118" customWidth="1"/>
    <col min="8688" max="8690" width="7.85546875" style="1118" customWidth="1"/>
    <col min="8691" max="8691" width="11.28515625" style="1118" customWidth="1"/>
    <col min="8692" max="8692" width="12.42578125" style="1118" customWidth="1"/>
    <col min="8693" max="8693" width="11" style="1118" customWidth="1"/>
    <col min="8694" max="8695" width="7.85546875" style="1118" customWidth="1"/>
    <col min="8696" max="8696" width="11" style="1118" customWidth="1"/>
    <col min="8697" max="8697" width="10.5703125" style="1118" customWidth="1"/>
    <col min="8698" max="8699" width="11" style="1118" customWidth="1"/>
    <col min="8700" max="8704" width="7.85546875" style="1118" bestFit="1" customWidth="1"/>
    <col min="8705" max="8705" width="8.42578125" style="1118" bestFit="1" customWidth="1"/>
    <col min="8706" max="8706" width="11.42578125" style="1118" customWidth="1"/>
    <col min="8707" max="8707" width="7.85546875" style="1118" bestFit="1" customWidth="1"/>
    <col min="8708" max="8708" width="9.5703125" style="1118" customWidth="1"/>
    <col min="8709" max="8709" width="7.85546875" style="1118" bestFit="1" customWidth="1"/>
    <col min="8710" max="8710" width="12" style="1118" customWidth="1"/>
    <col min="8711" max="8711" width="13.42578125" style="1118" customWidth="1"/>
    <col min="8712" max="8712" width="9.5703125" style="1118" bestFit="1" customWidth="1"/>
    <col min="8713" max="8719" width="9.140625" style="1118" customWidth="1"/>
    <col min="8720" max="8923" width="9.140625" style="1118"/>
    <col min="8924" max="8924" width="16.7109375" style="1118" customWidth="1"/>
    <col min="8925" max="8925" width="52.5703125" style="1118" customWidth="1"/>
    <col min="8926" max="8926" width="11" style="1118" customWidth="1"/>
    <col min="8927" max="8927" width="13.42578125" style="1118" customWidth="1"/>
    <col min="8928" max="8928" width="11.28515625" style="1118" customWidth="1"/>
    <col min="8929" max="8929" width="10.28515625" style="1118" customWidth="1"/>
    <col min="8930" max="8930" width="13.85546875" style="1118" customWidth="1"/>
    <col min="8931" max="8932" width="7.85546875" style="1118" customWidth="1"/>
    <col min="8933" max="8933" width="10.85546875" style="1118" customWidth="1"/>
    <col min="8934" max="8934" width="13" style="1118" customWidth="1"/>
    <col min="8935" max="8935" width="11.42578125" style="1118" customWidth="1"/>
    <col min="8936" max="8936" width="10" style="1118" customWidth="1"/>
    <col min="8937" max="8937" width="7.85546875" style="1118" customWidth="1"/>
    <col min="8938" max="8938" width="10.140625" style="1118" customWidth="1"/>
    <col min="8939" max="8940" width="7.85546875" style="1118" customWidth="1"/>
    <col min="8941" max="8941" width="10.85546875" style="1118" customWidth="1"/>
    <col min="8942" max="8942" width="10.7109375" style="1118" customWidth="1"/>
    <col min="8943" max="8943" width="11" style="1118" customWidth="1"/>
    <col min="8944" max="8946" width="7.85546875" style="1118" customWidth="1"/>
    <col min="8947" max="8947" width="11.28515625" style="1118" customWidth="1"/>
    <col min="8948" max="8948" width="12.42578125" style="1118" customWidth="1"/>
    <col min="8949" max="8949" width="11" style="1118" customWidth="1"/>
    <col min="8950" max="8951" width="7.85546875" style="1118" customWidth="1"/>
    <col min="8952" max="8952" width="11" style="1118" customWidth="1"/>
    <col min="8953" max="8953" width="10.5703125" style="1118" customWidth="1"/>
    <col min="8954" max="8955" width="11" style="1118" customWidth="1"/>
    <col min="8956" max="8960" width="7.85546875" style="1118" bestFit="1" customWidth="1"/>
    <col min="8961" max="8961" width="8.42578125" style="1118" bestFit="1" customWidth="1"/>
    <col min="8962" max="8962" width="11.42578125" style="1118" customWidth="1"/>
    <col min="8963" max="8963" width="7.85546875" style="1118" bestFit="1" customWidth="1"/>
    <col min="8964" max="8964" width="9.5703125" style="1118" customWidth="1"/>
    <col min="8965" max="8965" width="7.85546875" style="1118" bestFit="1" customWidth="1"/>
    <col min="8966" max="8966" width="12" style="1118" customWidth="1"/>
    <col min="8967" max="8967" width="13.42578125" style="1118" customWidth="1"/>
    <col min="8968" max="8968" width="9.5703125" style="1118" bestFit="1" customWidth="1"/>
    <col min="8969" max="8975" width="9.140625" style="1118" customWidth="1"/>
    <col min="8976" max="9179" width="9.140625" style="1118"/>
    <col min="9180" max="9180" width="16.7109375" style="1118" customWidth="1"/>
    <col min="9181" max="9181" width="52.5703125" style="1118" customWidth="1"/>
    <col min="9182" max="9182" width="11" style="1118" customWidth="1"/>
    <col min="9183" max="9183" width="13.42578125" style="1118" customWidth="1"/>
    <col min="9184" max="9184" width="11.28515625" style="1118" customWidth="1"/>
    <col min="9185" max="9185" width="10.28515625" style="1118" customWidth="1"/>
    <col min="9186" max="9186" width="13.85546875" style="1118" customWidth="1"/>
    <col min="9187" max="9188" width="7.85546875" style="1118" customWidth="1"/>
    <col min="9189" max="9189" width="10.85546875" style="1118" customWidth="1"/>
    <col min="9190" max="9190" width="13" style="1118" customWidth="1"/>
    <col min="9191" max="9191" width="11.42578125" style="1118" customWidth="1"/>
    <col min="9192" max="9192" width="10" style="1118" customWidth="1"/>
    <col min="9193" max="9193" width="7.85546875" style="1118" customWidth="1"/>
    <col min="9194" max="9194" width="10.140625" style="1118" customWidth="1"/>
    <col min="9195" max="9196" width="7.85546875" style="1118" customWidth="1"/>
    <col min="9197" max="9197" width="10.85546875" style="1118" customWidth="1"/>
    <col min="9198" max="9198" width="10.7109375" style="1118" customWidth="1"/>
    <col min="9199" max="9199" width="11" style="1118" customWidth="1"/>
    <col min="9200" max="9202" width="7.85546875" style="1118" customWidth="1"/>
    <col min="9203" max="9203" width="11.28515625" style="1118" customWidth="1"/>
    <col min="9204" max="9204" width="12.42578125" style="1118" customWidth="1"/>
    <col min="9205" max="9205" width="11" style="1118" customWidth="1"/>
    <col min="9206" max="9207" width="7.85546875" style="1118" customWidth="1"/>
    <col min="9208" max="9208" width="11" style="1118" customWidth="1"/>
    <col min="9209" max="9209" width="10.5703125" style="1118" customWidth="1"/>
    <col min="9210" max="9211" width="11" style="1118" customWidth="1"/>
    <col min="9212" max="9216" width="7.85546875" style="1118" bestFit="1" customWidth="1"/>
    <col min="9217" max="9217" width="8.42578125" style="1118" bestFit="1" customWidth="1"/>
    <col min="9218" max="9218" width="11.42578125" style="1118" customWidth="1"/>
    <col min="9219" max="9219" width="7.85546875" style="1118" bestFit="1" customWidth="1"/>
    <col min="9220" max="9220" width="9.5703125" style="1118" customWidth="1"/>
    <col min="9221" max="9221" width="7.85546875" style="1118" bestFit="1" customWidth="1"/>
    <col min="9222" max="9222" width="12" style="1118" customWidth="1"/>
    <col min="9223" max="9223" width="13.42578125" style="1118" customWidth="1"/>
    <col min="9224" max="9224" width="9.5703125" style="1118" bestFit="1" customWidth="1"/>
    <col min="9225" max="9231" width="9.140625" style="1118" customWidth="1"/>
    <col min="9232" max="9435" width="9.140625" style="1118"/>
    <col min="9436" max="9436" width="16.7109375" style="1118" customWidth="1"/>
    <col min="9437" max="9437" width="52.5703125" style="1118" customWidth="1"/>
    <col min="9438" max="9438" width="11" style="1118" customWidth="1"/>
    <col min="9439" max="9439" width="13.42578125" style="1118" customWidth="1"/>
    <col min="9440" max="9440" width="11.28515625" style="1118" customWidth="1"/>
    <col min="9441" max="9441" width="10.28515625" style="1118" customWidth="1"/>
    <col min="9442" max="9442" width="13.85546875" style="1118" customWidth="1"/>
    <col min="9443" max="9444" width="7.85546875" style="1118" customWidth="1"/>
    <col min="9445" max="9445" width="10.85546875" style="1118" customWidth="1"/>
    <col min="9446" max="9446" width="13" style="1118" customWidth="1"/>
    <col min="9447" max="9447" width="11.42578125" style="1118" customWidth="1"/>
    <col min="9448" max="9448" width="10" style="1118" customWidth="1"/>
    <col min="9449" max="9449" width="7.85546875" style="1118" customWidth="1"/>
    <col min="9450" max="9450" width="10.140625" style="1118" customWidth="1"/>
    <col min="9451" max="9452" width="7.85546875" style="1118" customWidth="1"/>
    <col min="9453" max="9453" width="10.85546875" style="1118" customWidth="1"/>
    <col min="9454" max="9454" width="10.7109375" style="1118" customWidth="1"/>
    <col min="9455" max="9455" width="11" style="1118" customWidth="1"/>
    <col min="9456" max="9458" width="7.85546875" style="1118" customWidth="1"/>
    <col min="9459" max="9459" width="11.28515625" style="1118" customWidth="1"/>
    <col min="9460" max="9460" width="12.42578125" style="1118" customWidth="1"/>
    <col min="9461" max="9461" width="11" style="1118" customWidth="1"/>
    <col min="9462" max="9463" width="7.85546875" style="1118" customWidth="1"/>
    <col min="9464" max="9464" width="11" style="1118" customWidth="1"/>
    <col min="9465" max="9465" width="10.5703125" style="1118" customWidth="1"/>
    <col min="9466" max="9467" width="11" style="1118" customWidth="1"/>
    <col min="9468" max="9472" width="7.85546875" style="1118" bestFit="1" customWidth="1"/>
    <col min="9473" max="9473" width="8.42578125" style="1118" bestFit="1" customWidth="1"/>
    <col min="9474" max="9474" width="11.42578125" style="1118" customWidth="1"/>
    <col min="9475" max="9475" width="7.85546875" style="1118" bestFit="1" customWidth="1"/>
    <col min="9476" max="9476" width="9.5703125" style="1118" customWidth="1"/>
    <col min="9477" max="9477" width="7.85546875" style="1118" bestFit="1" customWidth="1"/>
    <col min="9478" max="9478" width="12" style="1118" customWidth="1"/>
    <col min="9479" max="9479" width="13.42578125" style="1118" customWidth="1"/>
    <col min="9480" max="9480" width="9.5703125" style="1118" bestFit="1" customWidth="1"/>
    <col min="9481" max="9487" width="9.140625" style="1118" customWidth="1"/>
    <col min="9488" max="9691" width="9.140625" style="1118"/>
    <col min="9692" max="9692" width="16.7109375" style="1118" customWidth="1"/>
    <col min="9693" max="9693" width="52.5703125" style="1118" customWidth="1"/>
    <col min="9694" max="9694" width="11" style="1118" customWidth="1"/>
    <col min="9695" max="9695" width="13.42578125" style="1118" customWidth="1"/>
    <col min="9696" max="9696" width="11.28515625" style="1118" customWidth="1"/>
    <col min="9697" max="9697" width="10.28515625" style="1118" customWidth="1"/>
    <col min="9698" max="9698" width="13.85546875" style="1118" customWidth="1"/>
    <col min="9699" max="9700" width="7.85546875" style="1118" customWidth="1"/>
    <col min="9701" max="9701" width="10.85546875" style="1118" customWidth="1"/>
    <col min="9702" max="9702" width="13" style="1118" customWidth="1"/>
    <col min="9703" max="9703" width="11.42578125" style="1118" customWidth="1"/>
    <col min="9704" max="9704" width="10" style="1118" customWidth="1"/>
    <col min="9705" max="9705" width="7.85546875" style="1118" customWidth="1"/>
    <col min="9706" max="9706" width="10.140625" style="1118" customWidth="1"/>
    <col min="9707" max="9708" width="7.85546875" style="1118" customWidth="1"/>
    <col min="9709" max="9709" width="10.85546875" style="1118" customWidth="1"/>
    <col min="9710" max="9710" width="10.7109375" style="1118" customWidth="1"/>
    <col min="9711" max="9711" width="11" style="1118" customWidth="1"/>
    <col min="9712" max="9714" width="7.85546875" style="1118" customWidth="1"/>
    <col min="9715" max="9715" width="11.28515625" style="1118" customWidth="1"/>
    <col min="9716" max="9716" width="12.42578125" style="1118" customWidth="1"/>
    <col min="9717" max="9717" width="11" style="1118" customWidth="1"/>
    <col min="9718" max="9719" width="7.85546875" style="1118" customWidth="1"/>
    <col min="9720" max="9720" width="11" style="1118" customWidth="1"/>
    <col min="9721" max="9721" width="10.5703125" style="1118" customWidth="1"/>
    <col min="9722" max="9723" width="11" style="1118" customWidth="1"/>
    <col min="9724" max="9728" width="7.85546875" style="1118" bestFit="1" customWidth="1"/>
    <col min="9729" max="9729" width="8.42578125" style="1118" bestFit="1" customWidth="1"/>
    <col min="9730" max="9730" width="11.42578125" style="1118" customWidth="1"/>
    <col min="9731" max="9731" width="7.85546875" style="1118" bestFit="1" customWidth="1"/>
    <col min="9732" max="9732" width="9.5703125" style="1118" customWidth="1"/>
    <col min="9733" max="9733" width="7.85546875" style="1118" bestFit="1" customWidth="1"/>
    <col min="9734" max="9734" width="12" style="1118" customWidth="1"/>
    <col min="9735" max="9735" width="13.42578125" style="1118" customWidth="1"/>
    <col min="9736" max="9736" width="9.5703125" style="1118" bestFit="1" customWidth="1"/>
    <col min="9737" max="9743" width="9.140625" style="1118" customWidth="1"/>
    <col min="9744" max="9947" width="9.140625" style="1118"/>
    <col min="9948" max="9948" width="16.7109375" style="1118" customWidth="1"/>
    <col min="9949" max="9949" width="52.5703125" style="1118" customWidth="1"/>
    <col min="9950" max="9950" width="11" style="1118" customWidth="1"/>
    <col min="9951" max="9951" width="13.42578125" style="1118" customWidth="1"/>
    <col min="9952" max="9952" width="11.28515625" style="1118" customWidth="1"/>
    <col min="9953" max="9953" width="10.28515625" style="1118" customWidth="1"/>
    <col min="9954" max="9954" width="13.85546875" style="1118" customWidth="1"/>
    <col min="9955" max="9956" width="7.85546875" style="1118" customWidth="1"/>
    <col min="9957" max="9957" width="10.85546875" style="1118" customWidth="1"/>
    <col min="9958" max="9958" width="13" style="1118" customWidth="1"/>
    <col min="9959" max="9959" width="11.42578125" style="1118" customWidth="1"/>
    <col min="9960" max="9960" width="10" style="1118" customWidth="1"/>
    <col min="9961" max="9961" width="7.85546875" style="1118" customWidth="1"/>
    <col min="9962" max="9962" width="10.140625" style="1118" customWidth="1"/>
    <col min="9963" max="9964" width="7.85546875" style="1118" customWidth="1"/>
    <col min="9965" max="9965" width="10.85546875" style="1118" customWidth="1"/>
    <col min="9966" max="9966" width="10.7109375" style="1118" customWidth="1"/>
    <col min="9967" max="9967" width="11" style="1118" customWidth="1"/>
    <col min="9968" max="9970" width="7.85546875" style="1118" customWidth="1"/>
    <col min="9971" max="9971" width="11.28515625" style="1118" customWidth="1"/>
    <col min="9972" max="9972" width="12.42578125" style="1118" customWidth="1"/>
    <col min="9973" max="9973" width="11" style="1118" customWidth="1"/>
    <col min="9974" max="9975" width="7.85546875" style="1118" customWidth="1"/>
    <col min="9976" max="9976" width="11" style="1118" customWidth="1"/>
    <col min="9977" max="9977" width="10.5703125" style="1118" customWidth="1"/>
    <col min="9978" max="9979" width="11" style="1118" customWidth="1"/>
    <col min="9980" max="9984" width="7.85546875" style="1118" bestFit="1" customWidth="1"/>
    <col min="9985" max="9985" width="8.42578125" style="1118" bestFit="1" customWidth="1"/>
    <col min="9986" max="9986" width="11.42578125" style="1118" customWidth="1"/>
    <col min="9987" max="9987" width="7.85546875" style="1118" bestFit="1" customWidth="1"/>
    <col min="9988" max="9988" width="9.5703125" style="1118" customWidth="1"/>
    <col min="9989" max="9989" width="7.85546875" style="1118" bestFit="1" customWidth="1"/>
    <col min="9990" max="9990" width="12" style="1118" customWidth="1"/>
    <col min="9991" max="9991" width="13.42578125" style="1118" customWidth="1"/>
    <col min="9992" max="9992" width="9.5703125" style="1118" bestFit="1" customWidth="1"/>
    <col min="9993" max="9999" width="9.140625" style="1118" customWidth="1"/>
    <col min="10000" max="10203" width="9.140625" style="1118"/>
    <col min="10204" max="10204" width="16.7109375" style="1118" customWidth="1"/>
    <col min="10205" max="10205" width="52.5703125" style="1118" customWidth="1"/>
    <col min="10206" max="10206" width="11" style="1118" customWidth="1"/>
    <col min="10207" max="10207" width="13.42578125" style="1118" customWidth="1"/>
    <col min="10208" max="10208" width="11.28515625" style="1118" customWidth="1"/>
    <col min="10209" max="10209" width="10.28515625" style="1118" customWidth="1"/>
    <col min="10210" max="10210" width="13.85546875" style="1118" customWidth="1"/>
    <col min="10211" max="10212" width="7.85546875" style="1118" customWidth="1"/>
    <col min="10213" max="10213" width="10.85546875" style="1118" customWidth="1"/>
    <col min="10214" max="10214" width="13" style="1118" customWidth="1"/>
    <col min="10215" max="10215" width="11.42578125" style="1118" customWidth="1"/>
    <col min="10216" max="10216" width="10" style="1118" customWidth="1"/>
    <col min="10217" max="10217" width="7.85546875" style="1118" customWidth="1"/>
    <col min="10218" max="10218" width="10.140625" style="1118" customWidth="1"/>
    <col min="10219" max="10220" width="7.85546875" style="1118" customWidth="1"/>
    <col min="10221" max="10221" width="10.85546875" style="1118" customWidth="1"/>
    <col min="10222" max="10222" width="10.7109375" style="1118" customWidth="1"/>
    <col min="10223" max="10223" width="11" style="1118" customWidth="1"/>
    <col min="10224" max="10226" width="7.85546875" style="1118" customWidth="1"/>
    <col min="10227" max="10227" width="11.28515625" style="1118" customWidth="1"/>
    <col min="10228" max="10228" width="12.42578125" style="1118" customWidth="1"/>
    <col min="10229" max="10229" width="11" style="1118" customWidth="1"/>
    <col min="10230" max="10231" width="7.85546875" style="1118" customWidth="1"/>
    <col min="10232" max="10232" width="11" style="1118" customWidth="1"/>
    <col min="10233" max="10233" width="10.5703125" style="1118" customWidth="1"/>
    <col min="10234" max="10235" width="11" style="1118" customWidth="1"/>
    <col min="10236" max="10240" width="7.85546875" style="1118" bestFit="1" customWidth="1"/>
    <col min="10241" max="10241" width="8.42578125" style="1118" bestFit="1" customWidth="1"/>
    <col min="10242" max="10242" width="11.42578125" style="1118" customWidth="1"/>
    <col min="10243" max="10243" width="7.85546875" style="1118" bestFit="1" customWidth="1"/>
    <col min="10244" max="10244" width="9.5703125" style="1118" customWidth="1"/>
    <col min="10245" max="10245" width="7.85546875" style="1118" bestFit="1" customWidth="1"/>
    <col min="10246" max="10246" width="12" style="1118" customWidth="1"/>
    <col min="10247" max="10247" width="13.42578125" style="1118" customWidth="1"/>
    <col min="10248" max="10248" width="9.5703125" style="1118" bestFit="1" customWidth="1"/>
    <col min="10249" max="10255" width="9.140625" style="1118" customWidth="1"/>
    <col min="10256" max="10459" width="9.140625" style="1118"/>
    <col min="10460" max="10460" width="16.7109375" style="1118" customWidth="1"/>
    <col min="10461" max="10461" width="52.5703125" style="1118" customWidth="1"/>
    <col min="10462" max="10462" width="11" style="1118" customWidth="1"/>
    <col min="10463" max="10463" width="13.42578125" style="1118" customWidth="1"/>
    <col min="10464" max="10464" width="11.28515625" style="1118" customWidth="1"/>
    <col min="10465" max="10465" width="10.28515625" style="1118" customWidth="1"/>
    <col min="10466" max="10466" width="13.85546875" style="1118" customWidth="1"/>
    <col min="10467" max="10468" width="7.85546875" style="1118" customWidth="1"/>
    <col min="10469" max="10469" width="10.85546875" style="1118" customWidth="1"/>
    <col min="10470" max="10470" width="13" style="1118" customWidth="1"/>
    <col min="10471" max="10471" width="11.42578125" style="1118" customWidth="1"/>
    <col min="10472" max="10472" width="10" style="1118" customWidth="1"/>
    <col min="10473" max="10473" width="7.85546875" style="1118" customWidth="1"/>
    <col min="10474" max="10474" width="10.140625" style="1118" customWidth="1"/>
    <col min="10475" max="10476" width="7.85546875" style="1118" customWidth="1"/>
    <col min="10477" max="10477" width="10.85546875" style="1118" customWidth="1"/>
    <col min="10478" max="10478" width="10.7109375" style="1118" customWidth="1"/>
    <col min="10479" max="10479" width="11" style="1118" customWidth="1"/>
    <col min="10480" max="10482" width="7.85546875" style="1118" customWidth="1"/>
    <col min="10483" max="10483" width="11.28515625" style="1118" customWidth="1"/>
    <col min="10484" max="10484" width="12.42578125" style="1118" customWidth="1"/>
    <col min="10485" max="10485" width="11" style="1118" customWidth="1"/>
    <col min="10486" max="10487" width="7.85546875" style="1118" customWidth="1"/>
    <col min="10488" max="10488" width="11" style="1118" customWidth="1"/>
    <col min="10489" max="10489" width="10.5703125" style="1118" customWidth="1"/>
    <col min="10490" max="10491" width="11" style="1118" customWidth="1"/>
    <col min="10492" max="10496" width="7.85546875" style="1118" bestFit="1" customWidth="1"/>
    <col min="10497" max="10497" width="8.42578125" style="1118" bestFit="1" customWidth="1"/>
    <col min="10498" max="10498" width="11.42578125" style="1118" customWidth="1"/>
    <col min="10499" max="10499" width="7.85546875" style="1118" bestFit="1" customWidth="1"/>
    <col min="10500" max="10500" width="9.5703125" style="1118" customWidth="1"/>
    <col min="10501" max="10501" width="7.85546875" style="1118" bestFit="1" customWidth="1"/>
    <col min="10502" max="10502" width="12" style="1118" customWidth="1"/>
    <col min="10503" max="10503" width="13.42578125" style="1118" customWidth="1"/>
    <col min="10504" max="10504" width="9.5703125" style="1118" bestFit="1" customWidth="1"/>
    <col min="10505" max="10511" width="9.140625" style="1118" customWidth="1"/>
    <col min="10512" max="10715" width="9.140625" style="1118"/>
    <col min="10716" max="10716" width="16.7109375" style="1118" customWidth="1"/>
    <col min="10717" max="10717" width="52.5703125" style="1118" customWidth="1"/>
    <col min="10718" max="10718" width="11" style="1118" customWidth="1"/>
    <col min="10719" max="10719" width="13.42578125" style="1118" customWidth="1"/>
    <col min="10720" max="10720" width="11.28515625" style="1118" customWidth="1"/>
    <col min="10721" max="10721" width="10.28515625" style="1118" customWidth="1"/>
    <col min="10722" max="10722" width="13.85546875" style="1118" customWidth="1"/>
    <col min="10723" max="10724" width="7.85546875" style="1118" customWidth="1"/>
    <col min="10725" max="10725" width="10.85546875" style="1118" customWidth="1"/>
    <col min="10726" max="10726" width="13" style="1118" customWidth="1"/>
    <col min="10727" max="10727" width="11.42578125" style="1118" customWidth="1"/>
    <col min="10728" max="10728" width="10" style="1118" customWidth="1"/>
    <col min="10729" max="10729" width="7.85546875" style="1118" customWidth="1"/>
    <col min="10730" max="10730" width="10.140625" style="1118" customWidth="1"/>
    <col min="10731" max="10732" width="7.85546875" style="1118" customWidth="1"/>
    <col min="10733" max="10733" width="10.85546875" style="1118" customWidth="1"/>
    <col min="10734" max="10734" width="10.7109375" style="1118" customWidth="1"/>
    <col min="10735" max="10735" width="11" style="1118" customWidth="1"/>
    <col min="10736" max="10738" width="7.85546875" style="1118" customWidth="1"/>
    <col min="10739" max="10739" width="11.28515625" style="1118" customWidth="1"/>
    <col min="10740" max="10740" width="12.42578125" style="1118" customWidth="1"/>
    <col min="10741" max="10741" width="11" style="1118" customWidth="1"/>
    <col min="10742" max="10743" width="7.85546875" style="1118" customWidth="1"/>
    <col min="10744" max="10744" width="11" style="1118" customWidth="1"/>
    <col min="10745" max="10745" width="10.5703125" style="1118" customWidth="1"/>
    <col min="10746" max="10747" width="11" style="1118" customWidth="1"/>
    <col min="10748" max="10752" width="7.85546875" style="1118" bestFit="1" customWidth="1"/>
    <col min="10753" max="10753" width="8.42578125" style="1118" bestFit="1" customWidth="1"/>
    <col min="10754" max="10754" width="11.42578125" style="1118" customWidth="1"/>
    <col min="10755" max="10755" width="7.85546875" style="1118" bestFit="1" customWidth="1"/>
    <col min="10756" max="10756" width="9.5703125" style="1118" customWidth="1"/>
    <col min="10757" max="10757" width="7.85546875" style="1118" bestFit="1" customWidth="1"/>
    <col min="10758" max="10758" width="12" style="1118" customWidth="1"/>
    <col min="10759" max="10759" width="13.42578125" style="1118" customWidth="1"/>
    <col min="10760" max="10760" width="9.5703125" style="1118" bestFit="1" customWidth="1"/>
    <col min="10761" max="10767" width="9.140625" style="1118" customWidth="1"/>
    <col min="10768" max="10971" width="9.140625" style="1118"/>
    <col min="10972" max="10972" width="16.7109375" style="1118" customWidth="1"/>
    <col min="10973" max="10973" width="52.5703125" style="1118" customWidth="1"/>
    <col min="10974" max="10974" width="11" style="1118" customWidth="1"/>
    <col min="10975" max="10975" width="13.42578125" style="1118" customWidth="1"/>
    <col min="10976" max="10976" width="11.28515625" style="1118" customWidth="1"/>
    <col min="10977" max="10977" width="10.28515625" style="1118" customWidth="1"/>
    <col min="10978" max="10978" width="13.85546875" style="1118" customWidth="1"/>
    <col min="10979" max="10980" width="7.85546875" style="1118" customWidth="1"/>
    <col min="10981" max="10981" width="10.85546875" style="1118" customWidth="1"/>
    <col min="10982" max="10982" width="13" style="1118" customWidth="1"/>
    <col min="10983" max="10983" width="11.42578125" style="1118" customWidth="1"/>
    <col min="10984" max="10984" width="10" style="1118" customWidth="1"/>
    <col min="10985" max="10985" width="7.85546875" style="1118" customWidth="1"/>
    <col min="10986" max="10986" width="10.140625" style="1118" customWidth="1"/>
    <col min="10987" max="10988" width="7.85546875" style="1118" customWidth="1"/>
    <col min="10989" max="10989" width="10.85546875" style="1118" customWidth="1"/>
    <col min="10990" max="10990" width="10.7109375" style="1118" customWidth="1"/>
    <col min="10991" max="10991" width="11" style="1118" customWidth="1"/>
    <col min="10992" max="10994" width="7.85546875" style="1118" customWidth="1"/>
    <col min="10995" max="10995" width="11.28515625" style="1118" customWidth="1"/>
    <col min="10996" max="10996" width="12.42578125" style="1118" customWidth="1"/>
    <col min="10997" max="10997" width="11" style="1118" customWidth="1"/>
    <col min="10998" max="10999" width="7.85546875" style="1118" customWidth="1"/>
    <col min="11000" max="11000" width="11" style="1118" customWidth="1"/>
    <col min="11001" max="11001" width="10.5703125" style="1118" customWidth="1"/>
    <col min="11002" max="11003" width="11" style="1118" customWidth="1"/>
    <col min="11004" max="11008" width="7.85546875" style="1118" bestFit="1" customWidth="1"/>
    <col min="11009" max="11009" width="8.42578125" style="1118" bestFit="1" customWidth="1"/>
    <col min="11010" max="11010" width="11.42578125" style="1118" customWidth="1"/>
    <col min="11011" max="11011" width="7.85546875" style="1118" bestFit="1" customWidth="1"/>
    <col min="11012" max="11012" width="9.5703125" style="1118" customWidth="1"/>
    <col min="11013" max="11013" width="7.85546875" style="1118" bestFit="1" customWidth="1"/>
    <col min="11014" max="11014" width="12" style="1118" customWidth="1"/>
    <col min="11015" max="11015" width="13.42578125" style="1118" customWidth="1"/>
    <col min="11016" max="11016" width="9.5703125" style="1118" bestFit="1" customWidth="1"/>
    <col min="11017" max="11023" width="9.140625" style="1118" customWidth="1"/>
    <col min="11024" max="11227" width="9.140625" style="1118"/>
    <col min="11228" max="11228" width="16.7109375" style="1118" customWidth="1"/>
    <col min="11229" max="11229" width="52.5703125" style="1118" customWidth="1"/>
    <col min="11230" max="11230" width="11" style="1118" customWidth="1"/>
    <col min="11231" max="11231" width="13.42578125" style="1118" customWidth="1"/>
    <col min="11232" max="11232" width="11.28515625" style="1118" customWidth="1"/>
    <col min="11233" max="11233" width="10.28515625" style="1118" customWidth="1"/>
    <col min="11234" max="11234" width="13.85546875" style="1118" customWidth="1"/>
    <col min="11235" max="11236" width="7.85546875" style="1118" customWidth="1"/>
    <col min="11237" max="11237" width="10.85546875" style="1118" customWidth="1"/>
    <col min="11238" max="11238" width="13" style="1118" customWidth="1"/>
    <col min="11239" max="11239" width="11.42578125" style="1118" customWidth="1"/>
    <col min="11240" max="11240" width="10" style="1118" customWidth="1"/>
    <col min="11241" max="11241" width="7.85546875" style="1118" customWidth="1"/>
    <col min="11242" max="11242" width="10.140625" style="1118" customWidth="1"/>
    <col min="11243" max="11244" width="7.85546875" style="1118" customWidth="1"/>
    <col min="11245" max="11245" width="10.85546875" style="1118" customWidth="1"/>
    <col min="11246" max="11246" width="10.7109375" style="1118" customWidth="1"/>
    <col min="11247" max="11247" width="11" style="1118" customWidth="1"/>
    <col min="11248" max="11250" width="7.85546875" style="1118" customWidth="1"/>
    <col min="11251" max="11251" width="11.28515625" style="1118" customWidth="1"/>
    <col min="11252" max="11252" width="12.42578125" style="1118" customWidth="1"/>
    <col min="11253" max="11253" width="11" style="1118" customWidth="1"/>
    <col min="11254" max="11255" width="7.85546875" style="1118" customWidth="1"/>
    <col min="11256" max="11256" width="11" style="1118" customWidth="1"/>
    <col min="11257" max="11257" width="10.5703125" style="1118" customWidth="1"/>
    <col min="11258" max="11259" width="11" style="1118" customWidth="1"/>
    <col min="11260" max="11264" width="7.85546875" style="1118" bestFit="1" customWidth="1"/>
    <col min="11265" max="11265" width="8.42578125" style="1118" bestFit="1" customWidth="1"/>
    <col min="11266" max="11266" width="11.42578125" style="1118" customWidth="1"/>
    <col min="11267" max="11267" width="7.85546875" style="1118" bestFit="1" customWidth="1"/>
    <col min="11268" max="11268" width="9.5703125" style="1118" customWidth="1"/>
    <col min="11269" max="11269" width="7.85546875" style="1118" bestFit="1" customWidth="1"/>
    <col min="11270" max="11270" width="12" style="1118" customWidth="1"/>
    <col min="11271" max="11271" width="13.42578125" style="1118" customWidth="1"/>
    <col min="11272" max="11272" width="9.5703125" style="1118" bestFit="1" customWidth="1"/>
    <col min="11273" max="11279" width="9.140625" style="1118" customWidth="1"/>
    <col min="11280" max="11483" width="9.140625" style="1118"/>
    <col min="11484" max="11484" width="16.7109375" style="1118" customWidth="1"/>
    <col min="11485" max="11485" width="52.5703125" style="1118" customWidth="1"/>
    <col min="11486" max="11486" width="11" style="1118" customWidth="1"/>
    <col min="11487" max="11487" width="13.42578125" style="1118" customWidth="1"/>
    <col min="11488" max="11488" width="11.28515625" style="1118" customWidth="1"/>
    <col min="11489" max="11489" width="10.28515625" style="1118" customWidth="1"/>
    <col min="11490" max="11490" width="13.85546875" style="1118" customWidth="1"/>
    <col min="11491" max="11492" width="7.85546875" style="1118" customWidth="1"/>
    <col min="11493" max="11493" width="10.85546875" style="1118" customWidth="1"/>
    <col min="11494" max="11494" width="13" style="1118" customWidth="1"/>
    <col min="11495" max="11495" width="11.42578125" style="1118" customWidth="1"/>
    <col min="11496" max="11496" width="10" style="1118" customWidth="1"/>
    <col min="11497" max="11497" width="7.85546875" style="1118" customWidth="1"/>
    <col min="11498" max="11498" width="10.140625" style="1118" customWidth="1"/>
    <col min="11499" max="11500" width="7.85546875" style="1118" customWidth="1"/>
    <col min="11501" max="11501" width="10.85546875" style="1118" customWidth="1"/>
    <col min="11502" max="11502" width="10.7109375" style="1118" customWidth="1"/>
    <col min="11503" max="11503" width="11" style="1118" customWidth="1"/>
    <col min="11504" max="11506" width="7.85546875" style="1118" customWidth="1"/>
    <col min="11507" max="11507" width="11.28515625" style="1118" customWidth="1"/>
    <col min="11508" max="11508" width="12.42578125" style="1118" customWidth="1"/>
    <col min="11509" max="11509" width="11" style="1118" customWidth="1"/>
    <col min="11510" max="11511" width="7.85546875" style="1118" customWidth="1"/>
    <col min="11512" max="11512" width="11" style="1118" customWidth="1"/>
    <col min="11513" max="11513" width="10.5703125" style="1118" customWidth="1"/>
    <col min="11514" max="11515" width="11" style="1118" customWidth="1"/>
    <col min="11516" max="11520" width="7.85546875" style="1118" bestFit="1" customWidth="1"/>
    <col min="11521" max="11521" width="8.42578125" style="1118" bestFit="1" customWidth="1"/>
    <col min="11522" max="11522" width="11.42578125" style="1118" customWidth="1"/>
    <col min="11523" max="11523" width="7.85546875" style="1118" bestFit="1" customWidth="1"/>
    <col min="11524" max="11524" width="9.5703125" style="1118" customWidth="1"/>
    <col min="11525" max="11525" width="7.85546875" style="1118" bestFit="1" customWidth="1"/>
    <col min="11526" max="11526" width="12" style="1118" customWidth="1"/>
    <col min="11527" max="11527" width="13.42578125" style="1118" customWidth="1"/>
    <col min="11528" max="11528" width="9.5703125" style="1118" bestFit="1" customWidth="1"/>
    <col min="11529" max="11535" width="9.140625" style="1118" customWidth="1"/>
    <col min="11536" max="11739" width="9.140625" style="1118"/>
    <col min="11740" max="11740" width="16.7109375" style="1118" customWidth="1"/>
    <col min="11741" max="11741" width="52.5703125" style="1118" customWidth="1"/>
    <col min="11742" max="11742" width="11" style="1118" customWidth="1"/>
    <col min="11743" max="11743" width="13.42578125" style="1118" customWidth="1"/>
    <col min="11744" max="11744" width="11.28515625" style="1118" customWidth="1"/>
    <col min="11745" max="11745" width="10.28515625" style="1118" customWidth="1"/>
    <col min="11746" max="11746" width="13.85546875" style="1118" customWidth="1"/>
    <col min="11747" max="11748" width="7.85546875" style="1118" customWidth="1"/>
    <col min="11749" max="11749" width="10.85546875" style="1118" customWidth="1"/>
    <col min="11750" max="11750" width="13" style="1118" customWidth="1"/>
    <col min="11751" max="11751" width="11.42578125" style="1118" customWidth="1"/>
    <col min="11752" max="11752" width="10" style="1118" customWidth="1"/>
    <col min="11753" max="11753" width="7.85546875" style="1118" customWidth="1"/>
    <col min="11754" max="11754" width="10.140625" style="1118" customWidth="1"/>
    <col min="11755" max="11756" width="7.85546875" style="1118" customWidth="1"/>
    <col min="11757" max="11757" width="10.85546875" style="1118" customWidth="1"/>
    <col min="11758" max="11758" width="10.7109375" style="1118" customWidth="1"/>
    <col min="11759" max="11759" width="11" style="1118" customWidth="1"/>
    <col min="11760" max="11762" width="7.85546875" style="1118" customWidth="1"/>
    <col min="11763" max="11763" width="11.28515625" style="1118" customWidth="1"/>
    <col min="11764" max="11764" width="12.42578125" style="1118" customWidth="1"/>
    <col min="11765" max="11765" width="11" style="1118" customWidth="1"/>
    <col min="11766" max="11767" width="7.85546875" style="1118" customWidth="1"/>
    <col min="11768" max="11768" width="11" style="1118" customWidth="1"/>
    <col min="11769" max="11769" width="10.5703125" style="1118" customWidth="1"/>
    <col min="11770" max="11771" width="11" style="1118" customWidth="1"/>
    <col min="11772" max="11776" width="7.85546875" style="1118" bestFit="1" customWidth="1"/>
    <col min="11777" max="11777" width="8.42578125" style="1118" bestFit="1" customWidth="1"/>
    <col min="11778" max="11778" width="11.42578125" style="1118" customWidth="1"/>
    <col min="11779" max="11779" width="7.85546875" style="1118" bestFit="1" customWidth="1"/>
    <col min="11780" max="11780" width="9.5703125" style="1118" customWidth="1"/>
    <col min="11781" max="11781" width="7.85546875" style="1118" bestFit="1" customWidth="1"/>
    <col min="11782" max="11782" width="12" style="1118" customWidth="1"/>
    <col min="11783" max="11783" width="13.42578125" style="1118" customWidth="1"/>
    <col min="11784" max="11784" width="9.5703125" style="1118" bestFit="1" customWidth="1"/>
    <col min="11785" max="11791" width="9.140625" style="1118" customWidth="1"/>
    <col min="11792" max="11995" width="9.140625" style="1118"/>
    <col min="11996" max="11996" width="16.7109375" style="1118" customWidth="1"/>
    <col min="11997" max="11997" width="52.5703125" style="1118" customWidth="1"/>
    <col min="11998" max="11998" width="11" style="1118" customWidth="1"/>
    <col min="11999" max="11999" width="13.42578125" style="1118" customWidth="1"/>
    <col min="12000" max="12000" width="11.28515625" style="1118" customWidth="1"/>
    <col min="12001" max="12001" width="10.28515625" style="1118" customWidth="1"/>
    <col min="12002" max="12002" width="13.85546875" style="1118" customWidth="1"/>
    <col min="12003" max="12004" width="7.85546875" style="1118" customWidth="1"/>
    <col min="12005" max="12005" width="10.85546875" style="1118" customWidth="1"/>
    <col min="12006" max="12006" width="13" style="1118" customWidth="1"/>
    <col min="12007" max="12007" width="11.42578125" style="1118" customWidth="1"/>
    <col min="12008" max="12008" width="10" style="1118" customWidth="1"/>
    <col min="12009" max="12009" width="7.85546875" style="1118" customWidth="1"/>
    <col min="12010" max="12010" width="10.140625" style="1118" customWidth="1"/>
    <col min="12011" max="12012" width="7.85546875" style="1118" customWidth="1"/>
    <col min="12013" max="12013" width="10.85546875" style="1118" customWidth="1"/>
    <col min="12014" max="12014" width="10.7109375" style="1118" customWidth="1"/>
    <col min="12015" max="12015" width="11" style="1118" customWidth="1"/>
    <col min="12016" max="12018" width="7.85546875" style="1118" customWidth="1"/>
    <col min="12019" max="12019" width="11.28515625" style="1118" customWidth="1"/>
    <col min="12020" max="12020" width="12.42578125" style="1118" customWidth="1"/>
    <col min="12021" max="12021" width="11" style="1118" customWidth="1"/>
    <col min="12022" max="12023" width="7.85546875" style="1118" customWidth="1"/>
    <col min="12024" max="12024" width="11" style="1118" customWidth="1"/>
    <col min="12025" max="12025" width="10.5703125" style="1118" customWidth="1"/>
    <col min="12026" max="12027" width="11" style="1118" customWidth="1"/>
    <col min="12028" max="12032" width="7.85546875" style="1118" bestFit="1" customWidth="1"/>
    <col min="12033" max="12033" width="8.42578125" style="1118" bestFit="1" customWidth="1"/>
    <col min="12034" max="12034" width="11.42578125" style="1118" customWidth="1"/>
    <col min="12035" max="12035" width="7.85546875" style="1118" bestFit="1" customWidth="1"/>
    <col min="12036" max="12036" width="9.5703125" style="1118" customWidth="1"/>
    <col min="12037" max="12037" width="7.85546875" style="1118" bestFit="1" customWidth="1"/>
    <col min="12038" max="12038" width="12" style="1118" customWidth="1"/>
    <col min="12039" max="12039" width="13.42578125" style="1118" customWidth="1"/>
    <col min="12040" max="12040" width="9.5703125" style="1118" bestFit="1" customWidth="1"/>
    <col min="12041" max="12047" width="9.140625" style="1118" customWidth="1"/>
    <col min="12048" max="12251" width="9.140625" style="1118"/>
    <col min="12252" max="12252" width="16.7109375" style="1118" customWidth="1"/>
    <col min="12253" max="12253" width="52.5703125" style="1118" customWidth="1"/>
    <col min="12254" max="12254" width="11" style="1118" customWidth="1"/>
    <col min="12255" max="12255" width="13.42578125" style="1118" customWidth="1"/>
    <col min="12256" max="12256" width="11.28515625" style="1118" customWidth="1"/>
    <col min="12257" max="12257" width="10.28515625" style="1118" customWidth="1"/>
    <col min="12258" max="12258" width="13.85546875" style="1118" customWidth="1"/>
    <col min="12259" max="12260" width="7.85546875" style="1118" customWidth="1"/>
    <col min="12261" max="12261" width="10.85546875" style="1118" customWidth="1"/>
    <col min="12262" max="12262" width="13" style="1118" customWidth="1"/>
    <col min="12263" max="12263" width="11.42578125" style="1118" customWidth="1"/>
    <col min="12264" max="12264" width="10" style="1118" customWidth="1"/>
    <col min="12265" max="12265" width="7.85546875" style="1118" customWidth="1"/>
    <col min="12266" max="12266" width="10.140625" style="1118" customWidth="1"/>
    <col min="12267" max="12268" width="7.85546875" style="1118" customWidth="1"/>
    <col min="12269" max="12269" width="10.85546875" style="1118" customWidth="1"/>
    <col min="12270" max="12270" width="10.7109375" style="1118" customWidth="1"/>
    <col min="12271" max="12271" width="11" style="1118" customWidth="1"/>
    <col min="12272" max="12274" width="7.85546875" style="1118" customWidth="1"/>
    <col min="12275" max="12275" width="11.28515625" style="1118" customWidth="1"/>
    <col min="12276" max="12276" width="12.42578125" style="1118" customWidth="1"/>
    <col min="12277" max="12277" width="11" style="1118" customWidth="1"/>
    <col min="12278" max="12279" width="7.85546875" style="1118" customWidth="1"/>
    <col min="12280" max="12280" width="11" style="1118" customWidth="1"/>
    <col min="12281" max="12281" width="10.5703125" style="1118" customWidth="1"/>
    <col min="12282" max="12283" width="11" style="1118" customWidth="1"/>
    <col min="12284" max="12288" width="7.85546875" style="1118" bestFit="1" customWidth="1"/>
    <col min="12289" max="12289" width="8.42578125" style="1118" bestFit="1" customWidth="1"/>
    <col min="12290" max="12290" width="11.42578125" style="1118" customWidth="1"/>
    <col min="12291" max="12291" width="7.85546875" style="1118" bestFit="1" customWidth="1"/>
    <col min="12292" max="12292" width="9.5703125" style="1118" customWidth="1"/>
    <col min="12293" max="12293" width="7.85546875" style="1118" bestFit="1" customWidth="1"/>
    <col min="12294" max="12294" width="12" style="1118" customWidth="1"/>
    <col min="12295" max="12295" width="13.42578125" style="1118" customWidth="1"/>
    <col min="12296" max="12296" width="9.5703125" style="1118" bestFit="1" customWidth="1"/>
    <col min="12297" max="12303" width="9.140625" style="1118" customWidth="1"/>
    <col min="12304" max="12507" width="9.140625" style="1118"/>
    <col min="12508" max="12508" width="16.7109375" style="1118" customWidth="1"/>
    <col min="12509" max="12509" width="52.5703125" style="1118" customWidth="1"/>
    <col min="12510" max="12510" width="11" style="1118" customWidth="1"/>
    <col min="12511" max="12511" width="13.42578125" style="1118" customWidth="1"/>
    <col min="12512" max="12512" width="11.28515625" style="1118" customWidth="1"/>
    <col min="12513" max="12513" width="10.28515625" style="1118" customWidth="1"/>
    <col min="12514" max="12514" width="13.85546875" style="1118" customWidth="1"/>
    <col min="12515" max="12516" width="7.85546875" style="1118" customWidth="1"/>
    <col min="12517" max="12517" width="10.85546875" style="1118" customWidth="1"/>
    <col min="12518" max="12518" width="13" style="1118" customWidth="1"/>
    <col min="12519" max="12519" width="11.42578125" style="1118" customWidth="1"/>
    <col min="12520" max="12520" width="10" style="1118" customWidth="1"/>
    <col min="12521" max="12521" width="7.85546875" style="1118" customWidth="1"/>
    <col min="12522" max="12522" width="10.140625" style="1118" customWidth="1"/>
    <col min="12523" max="12524" width="7.85546875" style="1118" customWidth="1"/>
    <col min="12525" max="12525" width="10.85546875" style="1118" customWidth="1"/>
    <col min="12526" max="12526" width="10.7109375" style="1118" customWidth="1"/>
    <col min="12527" max="12527" width="11" style="1118" customWidth="1"/>
    <col min="12528" max="12530" width="7.85546875" style="1118" customWidth="1"/>
    <col min="12531" max="12531" width="11.28515625" style="1118" customWidth="1"/>
    <col min="12532" max="12532" width="12.42578125" style="1118" customWidth="1"/>
    <col min="12533" max="12533" width="11" style="1118" customWidth="1"/>
    <col min="12534" max="12535" width="7.85546875" style="1118" customWidth="1"/>
    <col min="12536" max="12536" width="11" style="1118" customWidth="1"/>
    <col min="12537" max="12537" width="10.5703125" style="1118" customWidth="1"/>
    <col min="12538" max="12539" width="11" style="1118" customWidth="1"/>
    <col min="12540" max="12544" width="7.85546875" style="1118" bestFit="1" customWidth="1"/>
    <col min="12545" max="12545" width="8.42578125" style="1118" bestFit="1" customWidth="1"/>
    <col min="12546" max="12546" width="11.42578125" style="1118" customWidth="1"/>
    <col min="12547" max="12547" width="7.85546875" style="1118" bestFit="1" customWidth="1"/>
    <col min="12548" max="12548" width="9.5703125" style="1118" customWidth="1"/>
    <col min="12549" max="12549" width="7.85546875" style="1118" bestFit="1" customWidth="1"/>
    <col min="12550" max="12550" width="12" style="1118" customWidth="1"/>
    <col min="12551" max="12551" width="13.42578125" style="1118" customWidth="1"/>
    <col min="12552" max="12552" width="9.5703125" style="1118" bestFit="1" customWidth="1"/>
    <col min="12553" max="12559" width="9.140625" style="1118" customWidth="1"/>
    <col min="12560" max="12763" width="9.140625" style="1118"/>
    <col min="12764" max="12764" width="16.7109375" style="1118" customWidth="1"/>
    <col min="12765" max="12765" width="52.5703125" style="1118" customWidth="1"/>
    <col min="12766" max="12766" width="11" style="1118" customWidth="1"/>
    <col min="12767" max="12767" width="13.42578125" style="1118" customWidth="1"/>
    <col min="12768" max="12768" width="11.28515625" style="1118" customWidth="1"/>
    <col min="12769" max="12769" width="10.28515625" style="1118" customWidth="1"/>
    <col min="12770" max="12770" width="13.85546875" style="1118" customWidth="1"/>
    <col min="12771" max="12772" width="7.85546875" style="1118" customWidth="1"/>
    <col min="12773" max="12773" width="10.85546875" style="1118" customWidth="1"/>
    <col min="12774" max="12774" width="13" style="1118" customWidth="1"/>
    <col min="12775" max="12775" width="11.42578125" style="1118" customWidth="1"/>
    <col min="12776" max="12776" width="10" style="1118" customWidth="1"/>
    <col min="12777" max="12777" width="7.85546875" style="1118" customWidth="1"/>
    <col min="12778" max="12778" width="10.140625" style="1118" customWidth="1"/>
    <col min="12779" max="12780" width="7.85546875" style="1118" customWidth="1"/>
    <col min="12781" max="12781" width="10.85546875" style="1118" customWidth="1"/>
    <col min="12782" max="12782" width="10.7109375" style="1118" customWidth="1"/>
    <col min="12783" max="12783" width="11" style="1118" customWidth="1"/>
    <col min="12784" max="12786" width="7.85546875" style="1118" customWidth="1"/>
    <col min="12787" max="12787" width="11.28515625" style="1118" customWidth="1"/>
    <col min="12788" max="12788" width="12.42578125" style="1118" customWidth="1"/>
    <col min="12789" max="12789" width="11" style="1118" customWidth="1"/>
    <col min="12790" max="12791" width="7.85546875" style="1118" customWidth="1"/>
    <col min="12792" max="12792" width="11" style="1118" customWidth="1"/>
    <col min="12793" max="12793" width="10.5703125" style="1118" customWidth="1"/>
    <col min="12794" max="12795" width="11" style="1118" customWidth="1"/>
    <col min="12796" max="12800" width="7.85546875" style="1118" bestFit="1" customWidth="1"/>
    <col min="12801" max="12801" width="8.42578125" style="1118" bestFit="1" customWidth="1"/>
    <col min="12802" max="12802" width="11.42578125" style="1118" customWidth="1"/>
    <col min="12803" max="12803" width="7.85546875" style="1118" bestFit="1" customWidth="1"/>
    <col min="12804" max="12804" width="9.5703125" style="1118" customWidth="1"/>
    <col min="12805" max="12805" width="7.85546875" style="1118" bestFit="1" customWidth="1"/>
    <col min="12806" max="12806" width="12" style="1118" customWidth="1"/>
    <col min="12807" max="12807" width="13.42578125" style="1118" customWidth="1"/>
    <col min="12808" max="12808" width="9.5703125" style="1118" bestFit="1" customWidth="1"/>
    <col min="12809" max="12815" width="9.140625" style="1118" customWidth="1"/>
    <col min="12816" max="13019" width="9.140625" style="1118"/>
    <col min="13020" max="13020" width="16.7109375" style="1118" customWidth="1"/>
    <col min="13021" max="13021" width="52.5703125" style="1118" customWidth="1"/>
    <col min="13022" max="13022" width="11" style="1118" customWidth="1"/>
    <col min="13023" max="13023" width="13.42578125" style="1118" customWidth="1"/>
    <col min="13024" max="13024" width="11.28515625" style="1118" customWidth="1"/>
    <col min="13025" max="13025" width="10.28515625" style="1118" customWidth="1"/>
    <col min="13026" max="13026" width="13.85546875" style="1118" customWidth="1"/>
    <col min="13027" max="13028" width="7.85546875" style="1118" customWidth="1"/>
    <col min="13029" max="13029" width="10.85546875" style="1118" customWidth="1"/>
    <col min="13030" max="13030" width="13" style="1118" customWidth="1"/>
    <col min="13031" max="13031" width="11.42578125" style="1118" customWidth="1"/>
    <col min="13032" max="13032" width="10" style="1118" customWidth="1"/>
    <col min="13033" max="13033" width="7.85546875" style="1118" customWidth="1"/>
    <col min="13034" max="13034" width="10.140625" style="1118" customWidth="1"/>
    <col min="13035" max="13036" width="7.85546875" style="1118" customWidth="1"/>
    <col min="13037" max="13037" width="10.85546875" style="1118" customWidth="1"/>
    <col min="13038" max="13038" width="10.7109375" style="1118" customWidth="1"/>
    <col min="13039" max="13039" width="11" style="1118" customWidth="1"/>
    <col min="13040" max="13042" width="7.85546875" style="1118" customWidth="1"/>
    <col min="13043" max="13043" width="11.28515625" style="1118" customWidth="1"/>
    <col min="13044" max="13044" width="12.42578125" style="1118" customWidth="1"/>
    <col min="13045" max="13045" width="11" style="1118" customWidth="1"/>
    <col min="13046" max="13047" width="7.85546875" style="1118" customWidth="1"/>
    <col min="13048" max="13048" width="11" style="1118" customWidth="1"/>
    <col min="13049" max="13049" width="10.5703125" style="1118" customWidth="1"/>
    <col min="13050" max="13051" width="11" style="1118" customWidth="1"/>
    <col min="13052" max="13056" width="7.85546875" style="1118" bestFit="1" customWidth="1"/>
    <col min="13057" max="13057" width="8.42578125" style="1118" bestFit="1" customWidth="1"/>
    <col min="13058" max="13058" width="11.42578125" style="1118" customWidth="1"/>
    <col min="13059" max="13059" width="7.85546875" style="1118" bestFit="1" customWidth="1"/>
    <col min="13060" max="13060" width="9.5703125" style="1118" customWidth="1"/>
    <col min="13061" max="13061" width="7.85546875" style="1118" bestFit="1" customWidth="1"/>
    <col min="13062" max="13062" width="12" style="1118" customWidth="1"/>
    <col min="13063" max="13063" width="13.42578125" style="1118" customWidth="1"/>
    <col min="13064" max="13064" width="9.5703125" style="1118" bestFit="1" customWidth="1"/>
    <col min="13065" max="13071" width="9.140625" style="1118" customWidth="1"/>
    <col min="13072" max="13275" width="9.140625" style="1118"/>
    <col min="13276" max="13276" width="16.7109375" style="1118" customWidth="1"/>
    <col min="13277" max="13277" width="52.5703125" style="1118" customWidth="1"/>
    <col min="13278" max="13278" width="11" style="1118" customWidth="1"/>
    <col min="13279" max="13279" width="13.42578125" style="1118" customWidth="1"/>
    <col min="13280" max="13280" width="11.28515625" style="1118" customWidth="1"/>
    <col min="13281" max="13281" width="10.28515625" style="1118" customWidth="1"/>
    <col min="13282" max="13282" width="13.85546875" style="1118" customWidth="1"/>
    <col min="13283" max="13284" width="7.85546875" style="1118" customWidth="1"/>
    <col min="13285" max="13285" width="10.85546875" style="1118" customWidth="1"/>
    <col min="13286" max="13286" width="13" style="1118" customWidth="1"/>
    <col min="13287" max="13287" width="11.42578125" style="1118" customWidth="1"/>
    <col min="13288" max="13288" width="10" style="1118" customWidth="1"/>
    <col min="13289" max="13289" width="7.85546875" style="1118" customWidth="1"/>
    <col min="13290" max="13290" width="10.140625" style="1118" customWidth="1"/>
    <col min="13291" max="13292" width="7.85546875" style="1118" customWidth="1"/>
    <col min="13293" max="13293" width="10.85546875" style="1118" customWidth="1"/>
    <col min="13294" max="13294" width="10.7109375" style="1118" customWidth="1"/>
    <col min="13295" max="13295" width="11" style="1118" customWidth="1"/>
    <col min="13296" max="13298" width="7.85546875" style="1118" customWidth="1"/>
    <col min="13299" max="13299" width="11.28515625" style="1118" customWidth="1"/>
    <col min="13300" max="13300" width="12.42578125" style="1118" customWidth="1"/>
    <col min="13301" max="13301" width="11" style="1118" customWidth="1"/>
    <col min="13302" max="13303" width="7.85546875" style="1118" customWidth="1"/>
    <col min="13304" max="13304" width="11" style="1118" customWidth="1"/>
    <col min="13305" max="13305" width="10.5703125" style="1118" customWidth="1"/>
    <col min="13306" max="13307" width="11" style="1118" customWidth="1"/>
    <col min="13308" max="13312" width="7.85546875" style="1118" bestFit="1" customWidth="1"/>
    <col min="13313" max="13313" width="8.42578125" style="1118" bestFit="1" customWidth="1"/>
    <col min="13314" max="13314" width="11.42578125" style="1118" customWidth="1"/>
    <col min="13315" max="13315" width="7.85546875" style="1118" bestFit="1" customWidth="1"/>
    <col min="13316" max="13316" width="9.5703125" style="1118" customWidth="1"/>
    <col min="13317" max="13317" width="7.85546875" style="1118" bestFit="1" customWidth="1"/>
    <col min="13318" max="13318" width="12" style="1118" customWidth="1"/>
    <col min="13319" max="13319" width="13.42578125" style="1118" customWidth="1"/>
    <col min="13320" max="13320" width="9.5703125" style="1118" bestFit="1" customWidth="1"/>
    <col min="13321" max="13327" width="9.140625" style="1118" customWidth="1"/>
    <col min="13328" max="13531" width="9.140625" style="1118"/>
    <col min="13532" max="13532" width="16.7109375" style="1118" customWidth="1"/>
    <col min="13533" max="13533" width="52.5703125" style="1118" customWidth="1"/>
    <col min="13534" max="13534" width="11" style="1118" customWidth="1"/>
    <col min="13535" max="13535" width="13.42578125" style="1118" customWidth="1"/>
    <col min="13536" max="13536" width="11.28515625" style="1118" customWidth="1"/>
    <col min="13537" max="13537" width="10.28515625" style="1118" customWidth="1"/>
    <col min="13538" max="13538" width="13.85546875" style="1118" customWidth="1"/>
    <col min="13539" max="13540" width="7.85546875" style="1118" customWidth="1"/>
    <col min="13541" max="13541" width="10.85546875" style="1118" customWidth="1"/>
    <col min="13542" max="13542" width="13" style="1118" customWidth="1"/>
    <col min="13543" max="13543" width="11.42578125" style="1118" customWidth="1"/>
    <col min="13544" max="13544" width="10" style="1118" customWidth="1"/>
    <col min="13545" max="13545" width="7.85546875" style="1118" customWidth="1"/>
    <col min="13546" max="13546" width="10.140625" style="1118" customWidth="1"/>
    <col min="13547" max="13548" width="7.85546875" style="1118" customWidth="1"/>
    <col min="13549" max="13549" width="10.85546875" style="1118" customWidth="1"/>
    <col min="13550" max="13550" width="10.7109375" style="1118" customWidth="1"/>
    <col min="13551" max="13551" width="11" style="1118" customWidth="1"/>
    <col min="13552" max="13554" width="7.85546875" style="1118" customWidth="1"/>
    <col min="13555" max="13555" width="11.28515625" style="1118" customWidth="1"/>
    <col min="13556" max="13556" width="12.42578125" style="1118" customWidth="1"/>
    <col min="13557" max="13557" width="11" style="1118" customWidth="1"/>
    <col min="13558" max="13559" width="7.85546875" style="1118" customWidth="1"/>
    <col min="13560" max="13560" width="11" style="1118" customWidth="1"/>
    <col min="13561" max="13561" width="10.5703125" style="1118" customWidth="1"/>
    <col min="13562" max="13563" width="11" style="1118" customWidth="1"/>
    <col min="13564" max="13568" width="7.85546875" style="1118" bestFit="1" customWidth="1"/>
    <col min="13569" max="13569" width="8.42578125" style="1118" bestFit="1" customWidth="1"/>
    <col min="13570" max="13570" width="11.42578125" style="1118" customWidth="1"/>
    <col min="13571" max="13571" width="7.85546875" style="1118" bestFit="1" customWidth="1"/>
    <col min="13572" max="13572" width="9.5703125" style="1118" customWidth="1"/>
    <col min="13573" max="13573" width="7.85546875" style="1118" bestFit="1" customWidth="1"/>
    <col min="13574" max="13574" width="12" style="1118" customWidth="1"/>
    <col min="13575" max="13575" width="13.42578125" style="1118" customWidth="1"/>
    <col min="13576" max="13576" width="9.5703125" style="1118" bestFit="1" customWidth="1"/>
    <col min="13577" max="13583" width="9.140625" style="1118" customWidth="1"/>
    <col min="13584" max="13787" width="9.140625" style="1118"/>
    <col min="13788" max="13788" width="16.7109375" style="1118" customWidth="1"/>
    <col min="13789" max="13789" width="52.5703125" style="1118" customWidth="1"/>
    <col min="13790" max="13790" width="11" style="1118" customWidth="1"/>
    <col min="13791" max="13791" width="13.42578125" style="1118" customWidth="1"/>
    <col min="13792" max="13792" width="11.28515625" style="1118" customWidth="1"/>
    <col min="13793" max="13793" width="10.28515625" style="1118" customWidth="1"/>
    <col min="13794" max="13794" width="13.85546875" style="1118" customWidth="1"/>
    <col min="13795" max="13796" width="7.85546875" style="1118" customWidth="1"/>
    <col min="13797" max="13797" width="10.85546875" style="1118" customWidth="1"/>
    <col min="13798" max="13798" width="13" style="1118" customWidth="1"/>
    <col min="13799" max="13799" width="11.42578125" style="1118" customWidth="1"/>
    <col min="13800" max="13800" width="10" style="1118" customWidth="1"/>
    <col min="13801" max="13801" width="7.85546875" style="1118" customWidth="1"/>
    <col min="13802" max="13802" width="10.140625" style="1118" customWidth="1"/>
    <col min="13803" max="13804" width="7.85546875" style="1118" customWidth="1"/>
    <col min="13805" max="13805" width="10.85546875" style="1118" customWidth="1"/>
    <col min="13806" max="13806" width="10.7109375" style="1118" customWidth="1"/>
    <col min="13807" max="13807" width="11" style="1118" customWidth="1"/>
    <col min="13808" max="13810" width="7.85546875" style="1118" customWidth="1"/>
    <col min="13811" max="13811" width="11.28515625" style="1118" customWidth="1"/>
    <col min="13812" max="13812" width="12.42578125" style="1118" customWidth="1"/>
    <col min="13813" max="13813" width="11" style="1118" customWidth="1"/>
    <col min="13814" max="13815" width="7.85546875" style="1118" customWidth="1"/>
    <col min="13816" max="13816" width="11" style="1118" customWidth="1"/>
    <col min="13817" max="13817" width="10.5703125" style="1118" customWidth="1"/>
    <col min="13818" max="13819" width="11" style="1118" customWidth="1"/>
    <col min="13820" max="13824" width="7.85546875" style="1118" bestFit="1" customWidth="1"/>
    <col min="13825" max="13825" width="8.42578125" style="1118" bestFit="1" customWidth="1"/>
    <col min="13826" max="13826" width="11.42578125" style="1118" customWidth="1"/>
    <col min="13827" max="13827" width="7.85546875" style="1118" bestFit="1" customWidth="1"/>
    <col min="13828" max="13828" width="9.5703125" style="1118" customWidth="1"/>
    <col min="13829" max="13829" width="7.85546875" style="1118" bestFit="1" customWidth="1"/>
    <col min="13830" max="13830" width="12" style="1118" customWidth="1"/>
    <col min="13831" max="13831" width="13.42578125" style="1118" customWidth="1"/>
    <col min="13832" max="13832" width="9.5703125" style="1118" bestFit="1" customWidth="1"/>
    <col min="13833" max="13839" width="9.140625" style="1118" customWidth="1"/>
    <col min="13840" max="14043" width="9.140625" style="1118"/>
    <col min="14044" max="14044" width="16.7109375" style="1118" customWidth="1"/>
    <col min="14045" max="14045" width="52.5703125" style="1118" customWidth="1"/>
    <col min="14046" max="14046" width="11" style="1118" customWidth="1"/>
    <col min="14047" max="14047" width="13.42578125" style="1118" customWidth="1"/>
    <col min="14048" max="14048" width="11.28515625" style="1118" customWidth="1"/>
    <col min="14049" max="14049" width="10.28515625" style="1118" customWidth="1"/>
    <col min="14050" max="14050" width="13.85546875" style="1118" customWidth="1"/>
    <col min="14051" max="14052" width="7.85546875" style="1118" customWidth="1"/>
    <col min="14053" max="14053" width="10.85546875" style="1118" customWidth="1"/>
    <col min="14054" max="14054" width="13" style="1118" customWidth="1"/>
    <col min="14055" max="14055" width="11.42578125" style="1118" customWidth="1"/>
    <col min="14056" max="14056" width="10" style="1118" customWidth="1"/>
    <col min="14057" max="14057" width="7.85546875" style="1118" customWidth="1"/>
    <col min="14058" max="14058" width="10.140625" style="1118" customWidth="1"/>
    <col min="14059" max="14060" width="7.85546875" style="1118" customWidth="1"/>
    <col min="14061" max="14061" width="10.85546875" style="1118" customWidth="1"/>
    <col min="14062" max="14062" width="10.7109375" style="1118" customWidth="1"/>
    <col min="14063" max="14063" width="11" style="1118" customWidth="1"/>
    <col min="14064" max="14066" width="7.85546875" style="1118" customWidth="1"/>
    <col min="14067" max="14067" width="11.28515625" style="1118" customWidth="1"/>
    <col min="14068" max="14068" width="12.42578125" style="1118" customWidth="1"/>
    <col min="14069" max="14069" width="11" style="1118" customWidth="1"/>
    <col min="14070" max="14071" width="7.85546875" style="1118" customWidth="1"/>
    <col min="14072" max="14072" width="11" style="1118" customWidth="1"/>
    <col min="14073" max="14073" width="10.5703125" style="1118" customWidth="1"/>
    <col min="14074" max="14075" width="11" style="1118" customWidth="1"/>
    <col min="14076" max="14080" width="7.85546875" style="1118" bestFit="1" customWidth="1"/>
    <col min="14081" max="14081" width="8.42578125" style="1118" bestFit="1" customWidth="1"/>
    <col min="14082" max="14082" width="11.42578125" style="1118" customWidth="1"/>
    <col min="14083" max="14083" width="7.85546875" style="1118" bestFit="1" customWidth="1"/>
    <col min="14084" max="14084" width="9.5703125" style="1118" customWidth="1"/>
    <col min="14085" max="14085" width="7.85546875" style="1118" bestFit="1" customWidth="1"/>
    <col min="14086" max="14086" width="12" style="1118" customWidth="1"/>
    <col min="14087" max="14087" width="13.42578125" style="1118" customWidth="1"/>
    <col min="14088" max="14088" width="9.5703125" style="1118" bestFit="1" customWidth="1"/>
    <col min="14089" max="14095" width="9.140625" style="1118" customWidth="1"/>
    <col min="14096" max="14299" width="9.140625" style="1118"/>
    <col min="14300" max="14300" width="16.7109375" style="1118" customWidth="1"/>
    <col min="14301" max="14301" width="52.5703125" style="1118" customWidth="1"/>
    <col min="14302" max="14302" width="11" style="1118" customWidth="1"/>
    <col min="14303" max="14303" width="13.42578125" style="1118" customWidth="1"/>
    <col min="14304" max="14304" width="11.28515625" style="1118" customWidth="1"/>
    <col min="14305" max="14305" width="10.28515625" style="1118" customWidth="1"/>
    <col min="14306" max="14306" width="13.85546875" style="1118" customWidth="1"/>
    <col min="14307" max="14308" width="7.85546875" style="1118" customWidth="1"/>
    <col min="14309" max="14309" width="10.85546875" style="1118" customWidth="1"/>
    <col min="14310" max="14310" width="13" style="1118" customWidth="1"/>
    <col min="14311" max="14311" width="11.42578125" style="1118" customWidth="1"/>
    <col min="14312" max="14312" width="10" style="1118" customWidth="1"/>
    <col min="14313" max="14313" width="7.85546875" style="1118" customWidth="1"/>
    <col min="14314" max="14314" width="10.140625" style="1118" customWidth="1"/>
    <col min="14315" max="14316" width="7.85546875" style="1118" customWidth="1"/>
    <col min="14317" max="14317" width="10.85546875" style="1118" customWidth="1"/>
    <col min="14318" max="14318" width="10.7109375" style="1118" customWidth="1"/>
    <col min="14319" max="14319" width="11" style="1118" customWidth="1"/>
    <col min="14320" max="14322" width="7.85546875" style="1118" customWidth="1"/>
    <col min="14323" max="14323" width="11.28515625" style="1118" customWidth="1"/>
    <col min="14324" max="14324" width="12.42578125" style="1118" customWidth="1"/>
    <col min="14325" max="14325" width="11" style="1118" customWidth="1"/>
    <col min="14326" max="14327" width="7.85546875" style="1118" customWidth="1"/>
    <col min="14328" max="14328" width="11" style="1118" customWidth="1"/>
    <col min="14329" max="14329" width="10.5703125" style="1118" customWidth="1"/>
    <col min="14330" max="14331" width="11" style="1118" customWidth="1"/>
    <col min="14332" max="14336" width="7.85546875" style="1118" bestFit="1" customWidth="1"/>
    <col min="14337" max="14337" width="8.42578125" style="1118" bestFit="1" customWidth="1"/>
    <col min="14338" max="14338" width="11.42578125" style="1118" customWidth="1"/>
    <col min="14339" max="14339" width="7.85546875" style="1118" bestFit="1" customWidth="1"/>
    <col min="14340" max="14340" width="9.5703125" style="1118" customWidth="1"/>
    <col min="14341" max="14341" width="7.85546875" style="1118" bestFit="1" customWidth="1"/>
    <col min="14342" max="14342" width="12" style="1118" customWidth="1"/>
    <col min="14343" max="14343" width="13.42578125" style="1118" customWidth="1"/>
    <col min="14344" max="14344" width="9.5703125" style="1118" bestFit="1" customWidth="1"/>
    <col min="14345" max="14351" width="9.140625" style="1118" customWidth="1"/>
    <col min="14352" max="14555" width="9.140625" style="1118"/>
    <col min="14556" max="14556" width="16.7109375" style="1118" customWidth="1"/>
    <col min="14557" max="14557" width="52.5703125" style="1118" customWidth="1"/>
    <col min="14558" max="14558" width="11" style="1118" customWidth="1"/>
    <col min="14559" max="14559" width="13.42578125" style="1118" customWidth="1"/>
    <col min="14560" max="14560" width="11.28515625" style="1118" customWidth="1"/>
    <col min="14561" max="14561" width="10.28515625" style="1118" customWidth="1"/>
    <col min="14562" max="14562" width="13.85546875" style="1118" customWidth="1"/>
    <col min="14563" max="14564" width="7.85546875" style="1118" customWidth="1"/>
    <col min="14565" max="14565" width="10.85546875" style="1118" customWidth="1"/>
    <col min="14566" max="14566" width="13" style="1118" customWidth="1"/>
    <col min="14567" max="14567" width="11.42578125" style="1118" customWidth="1"/>
    <col min="14568" max="14568" width="10" style="1118" customWidth="1"/>
    <col min="14569" max="14569" width="7.85546875" style="1118" customWidth="1"/>
    <col min="14570" max="14570" width="10.140625" style="1118" customWidth="1"/>
    <col min="14571" max="14572" width="7.85546875" style="1118" customWidth="1"/>
    <col min="14573" max="14573" width="10.85546875" style="1118" customWidth="1"/>
    <col min="14574" max="14574" width="10.7109375" style="1118" customWidth="1"/>
    <col min="14575" max="14575" width="11" style="1118" customWidth="1"/>
    <col min="14576" max="14578" width="7.85546875" style="1118" customWidth="1"/>
    <col min="14579" max="14579" width="11.28515625" style="1118" customWidth="1"/>
    <col min="14580" max="14580" width="12.42578125" style="1118" customWidth="1"/>
    <col min="14581" max="14581" width="11" style="1118" customWidth="1"/>
    <col min="14582" max="14583" width="7.85546875" style="1118" customWidth="1"/>
    <col min="14584" max="14584" width="11" style="1118" customWidth="1"/>
    <col min="14585" max="14585" width="10.5703125" style="1118" customWidth="1"/>
    <col min="14586" max="14587" width="11" style="1118" customWidth="1"/>
    <col min="14588" max="14592" width="7.85546875" style="1118" bestFit="1" customWidth="1"/>
    <col min="14593" max="14593" width="8.42578125" style="1118" bestFit="1" customWidth="1"/>
    <col min="14594" max="14594" width="11.42578125" style="1118" customWidth="1"/>
    <col min="14595" max="14595" width="7.85546875" style="1118" bestFit="1" customWidth="1"/>
    <col min="14596" max="14596" width="9.5703125" style="1118" customWidth="1"/>
    <col min="14597" max="14597" width="7.85546875" style="1118" bestFit="1" customWidth="1"/>
    <col min="14598" max="14598" width="12" style="1118" customWidth="1"/>
    <col min="14599" max="14599" width="13.42578125" style="1118" customWidth="1"/>
    <col min="14600" max="14600" width="9.5703125" style="1118" bestFit="1" customWidth="1"/>
    <col min="14601" max="14607" width="9.140625" style="1118" customWidth="1"/>
    <col min="14608" max="14811" width="9.140625" style="1118"/>
    <col min="14812" max="14812" width="16.7109375" style="1118" customWidth="1"/>
    <col min="14813" max="14813" width="52.5703125" style="1118" customWidth="1"/>
    <col min="14814" max="14814" width="11" style="1118" customWidth="1"/>
    <col min="14815" max="14815" width="13.42578125" style="1118" customWidth="1"/>
    <col min="14816" max="14816" width="11.28515625" style="1118" customWidth="1"/>
    <col min="14817" max="14817" width="10.28515625" style="1118" customWidth="1"/>
    <col min="14818" max="14818" width="13.85546875" style="1118" customWidth="1"/>
    <col min="14819" max="14820" width="7.85546875" style="1118" customWidth="1"/>
    <col min="14821" max="14821" width="10.85546875" style="1118" customWidth="1"/>
    <col min="14822" max="14822" width="13" style="1118" customWidth="1"/>
    <col min="14823" max="14823" width="11.42578125" style="1118" customWidth="1"/>
    <col min="14824" max="14824" width="10" style="1118" customWidth="1"/>
    <col min="14825" max="14825" width="7.85546875" style="1118" customWidth="1"/>
    <col min="14826" max="14826" width="10.140625" style="1118" customWidth="1"/>
    <col min="14827" max="14828" width="7.85546875" style="1118" customWidth="1"/>
    <col min="14829" max="14829" width="10.85546875" style="1118" customWidth="1"/>
    <col min="14830" max="14830" width="10.7109375" style="1118" customWidth="1"/>
    <col min="14831" max="14831" width="11" style="1118" customWidth="1"/>
    <col min="14832" max="14834" width="7.85546875" style="1118" customWidth="1"/>
    <col min="14835" max="14835" width="11.28515625" style="1118" customWidth="1"/>
    <col min="14836" max="14836" width="12.42578125" style="1118" customWidth="1"/>
    <col min="14837" max="14837" width="11" style="1118" customWidth="1"/>
    <col min="14838" max="14839" width="7.85546875" style="1118" customWidth="1"/>
    <col min="14840" max="14840" width="11" style="1118" customWidth="1"/>
    <col min="14841" max="14841" width="10.5703125" style="1118" customWidth="1"/>
    <col min="14842" max="14843" width="11" style="1118" customWidth="1"/>
    <col min="14844" max="14848" width="7.85546875" style="1118" bestFit="1" customWidth="1"/>
    <col min="14849" max="14849" width="8.42578125" style="1118" bestFit="1" customWidth="1"/>
    <col min="14850" max="14850" width="11.42578125" style="1118" customWidth="1"/>
    <col min="14851" max="14851" width="7.85546875" style="1118" bestFit="1" customWidth="1"/>
    <col min="14852" max="14852" width="9.5703125" style="1118" customWidth="1"/>
    <col min="14853" max="14853" width="7.85546875" style="1118" bestFit="1" customWidth="1"/>
    <col min="14854" max="14854" width="12" style="1118" customWidth="1"/>
    <col min="14855" max="14855" width="13.42578125" style="1118" customWidth="1"/>
    <col min="14856" max="14856" width="9.5703125" style="1118" bestFit="1" customWidth="1"/>
    <col min="14857" max="14863" width="9.140625" style="1118" customWidth="1"/>
    <col min="14864" max="15067" width="9.140625" style="1118"/>
    <col min="15068" max="15068" width="16.7109375" style="1118" customWidth="1"/>
    <col min="15069" max="15069" width="52.5703125" style="1118" customWidth="1"/>
    <col min="15070" max="15070" width="11" style="1118" customWidth="1"/>
    <col min="15071" max="15071" width="13.42578125" style="1118" customWidth="1"/>
    <col min="15072" max="15072" width="11.28515625" style="1118" customWidth="1"/>
    <col min="15073" max="15073" width="10.28515625" style="1118" customWidth="1"/>
    <col min="15074" max="15074" width="13.85546875" style="1118" customWidth="1"/>
    <col min="15075" max="15076" width="7.85546875" style="1118" customWidth="1"/>
    <col min="15077" max="15077" width="10.85546875" style="1118" customWidth="1"/>
    <col min="15078" max="15078" width="13" style="1118" customWidth="1"/>
    <col min="15079" max="15079" width="11.42578125" style="1118" customWidth="1"/>
    <col min="15080" max="15080" width="10" style="1118" customWidth="1"/>
    <col min="15081" max="15081" width="7.85546875" style="1118" customWidth="1"/>
    <col min="15082" max="15082" width="10.140625" style="1118" customWidth="1"/>
    <col min="15083" max="15084" width="7.85546875" style="1118" customWidth="1"/>
    <col min="15085" max="15085" width="10.85546875" style="1118" customWidth="1"/>
    <col min="15086" max="15086" width="10.7109375" style="1118" customWidth="1"/>
    <col min="15087" max="15087" width="11" style="1118" customWidth="1"/>
    <col min="15088" max="15090" width="7.85546875" style="1118" customWidth="1"/>
    <col min="15091" max="15091" width="11.28515625" style="1118" customWidth="1"/>
    <col min="15092" max="15092" width="12.42578125" style="1118" customWidth="1"/>
    <col min="15093" max="15093" width="11" style="1118" customWidth="1"/>
    <col min="15094" max="15095" width="7.85546875" style="1118" customWidth="1"/>
    <col min="15096" max="15096" width="11" style="1118" customWidth="1"/>
    <col min="15097" max="15097" width="10.5703125" style="1118" customWidth="1"/>
    <col min="15098" max="15099" width="11" style="1118" customWidth="1"/>
    <col min="15100" max="15104" width="7.85546875" style="1118" bestFit="1" customWidth="1"/>
    <col min="15105" max="15105" width="8.42578125" style="1118" bestFit="1" customWidth="1"/>
    <col min="15106" max="15106" width="11.42578125" style="1118" customWidth="1"/>
    <col min="15107" max="15107" width="7.85546875" style="1118" bestFit="1" customWidth="1"/>
    <col min="15108" max="15108" width="9.5703125" style="1118" customWidth="1"/>
    <col min="15109" max="15109" width="7.85546875" style="1118" bestFit="1" customWidth="1"/>
    <col min="15110" max="15110" width="12" style="1118" customWidth="1"/>
    <col min="15111" max="15111" width="13.42578125" style="1118" customWidth="1"/>
    <col min="15112" max="15112" width="9.5703125" style="1118" bestFit="1" customWidth="1"/>
    <col min="15113" max="15119" width="9.140625" style="1118" customWidth="1"/>
    <col min="15120" max="15323" width="9.140625" style="1118"/>
    <col min="15324" max="15324" width="16.7109375" style="1118" customWidth="1"/>
    <col min="15325" max="15325" width="52.5703125" style="1118" customWidth="1"/>
    <col min="15326" max="15326" width="11" style="1118" customWidth="1"/>
    <col min="15327" max="15327" width="13.42578125" style="1118" customWidth="1"/>
    <col min="15328" max="15328" width="11.28515625" style="1118" customWidth="1"/>
    <col min="15329" max="15329" width="10.28515625" style="1118" customWidth="1"/>
    <col min="15330" max="15330" width="13.85546875" style="1118" customWidth="1"/>
    <col min="15331" max="15332" width="7.85546875" style="1118" customWidth="1"/>
    <col min="15333" max="15333" width="10.85546875" style="1118" customWidth="1"/>
    <col min="15334" max="15334" width="13" style="1118" customWidth="1"/>
    <col min="15335" max="15335" width="11.42578125" style="1118" customWidth="1"/>
    <col min="15336" max="15336" width="10" style="1118" customWidth="1"/>
    <col min="15337" max="15337" width="7.85546875" style="1118" customWidth="1"/>
    <col min="15338" max="15338" width="10.140625" style="1118" customWidth="1"/>
    <col min="15339" max="15340" width="7.85546875" style="1118" customWidth="1"/>
    <col min="15341" max="15341" width="10.85546875" style="1118" customWidth="1"/>
    <col min="15342" max="15342" width="10.7109375" style="1118" customWidth="1"/>
    <col min="15343" max="15343" width="11" style="1118" customWidth="1"/>
    <col min="15344" max="15346" width="7.85546875" style="1118" customWidth="1"/>
    <col min="15347" max="15347" width="11.28515625" style="1118" customWidth="1"/>
    <col min="15348" max="15348" width="12.42578125" style="1118" customWidth="1"/>
    <col min="15349" max="15349" width="11" style="1118" customWidth="1"/>
    <col min="15350" max="15351" width="7.85546875" style="1118" customWidth="1"/>
    <col min="15352" max="15352" width="11" style="1118" customWidth="1"/>
    <col min="15353" max="15353" width="10.5703125" style="1118" customWidth="1"/>
    <col min="15354" max="15355" width="11" style="1118" customWidth="1"/>
    <col min="15356" max="15360" width="7.85546875" style="1118" bestFit="1" customWidth="1"/>
    <col min="15361" max="15361" width="8.42578125" style="1118" bestFit="1" customWidth="1"/>
    <col min="15362" max="15362" width="11.42578125" style="1118" customWidth="1"/>
    <col min="15363" max="15363" width="7.85546875" style="1118" bestFit="1" customWidth="1"/>
    <col min="15364" max="15364" width="9.5703125" style="1118" customWidth="1"/>
    <col min="15365" max="15365" width="7.85546875" style="1118" bestFit="1" customWidth="1"/>
    <col min="15366" max="15366" width="12" style="1118" customWidth="1"/>
    <col min="15367" max="15367" width="13.42578125" style="1118" customWidth="1"/>
    <col min="15368" max="15368" width="9.5703125" style="1118" bestFit="1" customWidth="1"/>
    <col min="15369" max="15375" width="9.140625" style="1118" customWidth="1"/>
    <col min="15376" max="15579" width="9.140625" style="1118"/>
    <col min="15580" max="15580" width="16.7109375" style="1118" customWidth="1"/>
    <col min="15581" max="15581" width="52.5703125" style="1118" customWidth="1"/>
    <col min="15582" max="15582" width="11" style="1118" customWidth="1"/>
    <col min="15583" max="15583" width="13.42578125" style="1118" customWidth="1"/>
    <col min="15584" max="15584" width="11.28515625" style="1118" customWidth="1"/>
    <col min="15585" max="15585" width="10.28515625" style="1118" customWidth="1"/>
    <col min="15586" max="15586" width="13.85546875" style="1118" customWidth="1"/>
    <col min="15587" max="15588" width="7.85546875" style="1118" customWidth="1"/>
    <col min="15589" max="15589" width="10.85546875" style="1118" customWidth="1"/>
    <col min="15590" max="15590" width="13" style="1118" customWidth="1"/>
    <col min="15591" max="15591" width="11.42578125" style="1118" customWidth="1"/>
    <col min="15592" max="15592" width="10" style="1118" customWidth="1"/>
    <col min="15593" max="15593" width="7.85546875" style="1118" customWidth="1"/>
    <col min="15594" max="15594" width="10.140625" style="1118" customWidth="1"/>
    <col min="15595" max="15596" width="7.85546875" style="1118" customWidth="1"/>
    <col min="15597" max="15597" width="10.85546875" style="1118" customWidth="1"/>
    <col min="15598" max="15598" width="10.7109375" style="1118" customWidth="1"/>
    <col min="15599" max="15599" width="11" style="1118" customWidth="1"/>
    <col min="15600" max="15602" width="7.85546875" style="1118" customWidth="1"/>
    <col min="15603" max="15603" width="11.28515625" style="1118" customWidth="1"/>
    <col min="15604" max="15604" width="12.42578125" style="1118" customWidth="1"/>
    <col min="15605" max="15605" width="11" style="1118" customWidth="1"/>
    <col min="15606" max="15607" width="7.85546875" style="1118" customWidth="1"/>
    <col min="15608" max="15608" width="11" style="1118" customWidth="1"/>
    <col min="15609" max="15609" width="10.5703125" style="1118" customWidth="1"/>
    <col min="15610" max="15611" width="11" style="1118" customWidth="1"/>
    <col min="15612" max="15616" width="7.85546875" style="1118" bestFit="1" customWidth="1"/>
    <col min="15617" max="15617" width="8.42578125" style="1118" bestFit="1" customWidth="1"/>
    <col min="15618" max="15618" width="11.42578125" style="1118" customWidth="1"/>
    <col min="15619" max="15619" width="7.85546875" style="1118" bestFit="1" customWidth="1"/>
    <col min="15620" max="15620" width="9.5703125" style="1118" customWidth="1"/>
    <col min="15621" max="15621" width="7.85546875" style="1118" bestFit="1" customWidth="1"/>
    <col min="15622" max="15622" width="12" style="1118" customWidth="1"/>
    <col min="15623" max="15623" width="13.42578125" style="1118" customWidth="1"/>
    <col min="15624" max="15624" width="9.5703125" style="1118" bestFit="1" customWidth="1"/>
    <col min="15625" max="15631" width="9.140625" style="1118" customWidth="1"/>
    <col min="15632" max="15835" width="9.140625" style="1118"/>
    <col min="15836" max="15836" width="16.7109375" style="1118" customWidth="1"/>
    <col min="15837" max="15837" width="52.5703125" style="1118" customWidth="1"/>
    <col min="15838" max="15838" width="11" style="1118" customWidth="1"/>
    <col min="15839" max="15839" width="13.42578125" style="1118" customWidth="1"/>
    <col min="15840" max="15840" width="11.28515625" style="1118" customWidth="1"/>
    <col min="15841" max="15841" width="10.28515625" style="1118" customWidth="1"/>
    <col min="15842" max="15842" width="13.85546875" style="1118" customWidth="1"/>
    <col min="15843" max="15844" width="7.85546875" style="1118" customWidth="1"/>
    <col min="15845" max="15845" width="10.85546875" style="1118" customWidth="1"/>
    <col min="15846" max="15846" width="13" style="1118" customWidth="1"/>
    <col min="15847" max="15847" width="11.42578125" style="1118" customWidth="1"/>
    <col min="15848" max="15848" width="10" style="1118" customWidth="1"/>
    <col min="15849" max="15849" width="7.85546875" style="1118" customWidth="1"/>
    <col min="15850" max="15850" width="10.140625" style="1118" customWidth="1"/>
    <col min="15851" max="15852" width="7.85546875" style="1118" customWidth="1"/>
    <col min="15853" max="15853" width="10.85546875" style="1118" customWidth="1"/>
    <col min="15854" max="15854" width="10.7109375" style="1118" customWidth="1"/>
    <col min="15855" max="15855" width="11" style="1118" customWidth="1"/>
    <col min="15856" max="15858" width="7.85546875" style="1118" customWidth="1"/>
    <col min="15859" max="15859" width="11.28515625" style="1118" customWidth="1"/>
    <col min="15860" max="15860" width="12.42578125" style="1118" customWidth="1"/>
    <col min="15861" max="15861" width="11" style="1118" customWidth="1"/>
    <col min="15862" max="15863" width="7.85546875" style="1118" customWidth="1"/>
    <col min="15864" max="15864" width="11" style="1118" customWidth="1"/>
    <col min="15865" max="15865" width="10.5703125" style="1118" customWidth="1"/>
    <col min="15866" max="15867" width="11" style="1118" customWidth="1"/>
    <col min="15868" max="15872" width="7.85546875" style="1118" bestFit="1" customWidth="1"/>
    <col min="15873" max="15873" width="8.42578125" style="1118" bestFit="1" customWidth="1"/>
    <col min="15874" max="15874" width="11.42578125" style="1118" customWidth="1"/>
    <col min="15875" max="15875" width="7.85546875" style="1118" bestFit="1" customWidth="1"/>
    <col min="15876" max="15876" width="9.5703125" style="1118" customWidth="1"/>
    <col min="15877" max="15877" width="7.85546875" style="1118" bestFit="1" customWidth="1"/>
    <col min="15878" max="15878" width="12" style="1118" customWidth="1"/>
    <col min="15879" max="15879" width="13.42578125" style="1118" customWidth="1"/>
    <col min="15880" max="15880" width="9.5703125" style="1118" bestFit="1" customWidth="1"/>
    <col min="15881" max="15887" width="9.140625" style="1118" customWidth="1"/>
    <col min="15888" max="16091" width="9.140625" style="1118"/>
    <col min="16092" max="16092" width="16.7109375" style="1118" customWidth="1"/>
    <col min="16093" max="16093" width="52.5703125" style="1118" customWidth="1"/>
    <col min="16094" max="16094" width="11" style="1118" customWidth="1"/>
    <col min="16095" max="16095" width="13.42578125" style="1118" customWidth="1"/>
    <col min="16096" max="16096" width="11.28515625" style="1118" customWidth="1"/>
    <col min="16097" max="16097" width="10.28515625" style="1118" customWidth="1"/>
    <col min="16098" max="16098" width="13.85546875" style="1118" customWidth="1"/>
    <col min="16099" max="16100" width="7.85546875" style="1118" customWidth="1"/>
    <col min="16101" max="16101" width="10.85546875" style="1118" customWidth="1"/>
    <col min="16102" max="16102" width="13" style="1118" customWidth="1"/>
    <col min="16103" max="16103" width="11.42578125" style="1118" customWidth="1"/>
    <col min="16104" max="16104" width="10" style="1118" customWidth="1"/>
    <col min="16105" max="16105" width="7.85546875" style="1118" customWidth="1"/>
    <col min="16106" max="16106" width="10.140625" style="1118" customWidth="1"/>
    <col min="16107" max="16108" width="7.85546875" style="1118" customWidth="1"/>
    <col min="16109" max="16109" width="10.85546875" style="1118" customWidth="1"/>
    <col min="16110" max="16110" width="10.7109375" style="1118" customWidth="1"/>
    <col min="16111" max="16111" width="11" style="1118" customWidth="1"/>
    <col min="16112" max="16114" width="7.85546875" style="1118" customWidth="1"/>
    <col min="16115" max="16115" width="11.28515625" style="1118" customWidth="1"/>
    <col min="16116" max="16116" width="12.42578125" style="1118" customWidth="1"/>
    <col min="16117" max="16117" width="11" style="1118" customWidth="1"/>
    <col min="16118" max="16119" width="7.85546875" style="1118" customWidth="1"/>
    <col min="16120" max="16120" width="11" style="1118" customWidth="1"/>
    <col min="16121" max="16121" width="10.5703125" style="1118" customWidth="1"/>
    <col min="16122" max="16123" width="11" style="1118" customWidth="1"/>
    <col min="16124" max="16128" width="7.85546875" style="1118" bestFit="1" customWidth="1"/>
    <col min="16129" max="16129" width="8.42578125" style="1118" bestFit="1" customWidth="1"/>
    <col min="16130" max="16130" width="11.42578125" style="1118" customWidth="1"/>
    <col min="16131" max="16131" width="7.85546875" style="1118" bestFit="1" customWidth="1"/>
    <col min="16132" max="16132" width="9.5703125" style="1118" customWidth="1"/>
    <col min="16133" max="16133" width="7.85546875" style="1118" bestFit="1" customWidth="1"/>
    <col min="16134" max="16134" width="12" style="1118" customWidth="1"/>
    <col min="16135" max="16135" width="13.42578125" style="1118" customWidth="1"/>
    <col min="16136" max="16136" width="9.5703125" style="1118" bestFit="1" customWidth="1"/>
    <col min="16137" max="16143" width="9.140625" style="1118" customWidth="1"/>
    <col min="16144" max="16384" width="9.140625" style="1118"/>
  </cols>
  <sheetData>
    <row r="1" spans="1:11" s="1101" customFormat="1" ht="16.5" customHeight="1" thickBot="1" x14ac:dyDescent="0.3">
      <c r="A1" s="1854" t="s">
        <v>1230</v>
      </c>
      <c r="B1" s="1854"/>
      <c r="C1" s="1854"/>
      <c r="D1" s="1854"/>
      <c r="E1" s="1099"/>
      <c r="F1" s="1100"/>
      <c r="G1" s="1100"/>
      <c r="H1" s="1100"/>
      <c r="I1" s="1100"/>
      <c r="J1" s="1100"/>
    </row>
    <row r="2" spans="1:11" s="1106" customFormat="1" ht="21" customHeight="1" x14ac:dyDescent="0.25">
      <c r="A2" s="1102" t="s">
        <v>649</v>
      </c>
      <c r="B2" s="1103" t="s">
        <v>650</v>
      </c>
      <c r="C2" s="1847" t="s">
        <v>651</v>
      </c>
      <c r="D2" s="1848"/>
      <c r="E2" s="1104"/>
      <c r="F2" s="1105"/>
      <c r="G2" s="1105"/>
      <c r="H2" s="1105"/>
      <c r="I2" s="1105"/>
      <c r="J2" s="1105"/>
    </row>
    <row r="3" spans="1:11" s="1106" customFormat="1" ht="16.5" thickBot="1" x14ac:dyDescent="0.3">
      <c r="A3" s="1107" t="s">
        <v>652</v>
      </c>
      <c r="B3" s="1108" t="s">
        <v>1214</v>
      </c>
      <c r="C3" s="1849"/>
      <c r="D3" s="1850"/>
      <c r="E3" s="1104"/>
      <c r="F3" s="1105"/>
      <c r="G3" s="1105"/>
      <c r="H3" s="1105"/>
      <c r="I3" s="1105"/>
      <c r="J3" s="1105"/>
    </row>
    <row r="4" spans="1:11" s="1113" customFormat="1" ht="15.95" customHeight="1" thickBot="1" x14ac:dyDescent="0.3">
      <c r="A4" s="1109"/>
      <c r="B4" s="1110"/>
      <c r="C4" s="1812" t="s">
        <v>654</v>
      </c>
      <c r="D4" s="1813"/>
      <c r="E4" s="1111"/>
      <c r="F4" s="1112"/>
      <c r="G4" s="1112"/>
      <c r="H4" s="1112"/>
      <c r="I4" s="1112"/>
      <c r="J4" s="1112"/>
    </row>
    <row r="5" spans="1:11" ht="36.75" thickBot="1" x14ac:dyDescent="0.3">
      <c r="A5" s="1239" t="s">
        <v>655</v>
      </c>
      <c r="B5" s="1114" t="s">
        <v>656</v>
      </c>
      <c r="C5" s="1115" t="s">
        <v>927</v>
      </c>
      <c r="D5" s="1116" t="s">
        <v>928</v>
      </c>
    </row>
    <row r="6" spans="1:11" s="1125" customFormat="1" ht="12.95" customHeight="1" thickBot="1" x14ac:dyDescent="0.3">
      <c r="A6" s="1119">
        <v>1</v>
      </c>
      <c r="B6" s="1120">
        <v>2</v>
      </c>
      <c r="C6" s="1121">
        <v>3</v>
      </c>
      <c r="D6" s="1122">
        <v>4</v>
      </c>
      <c r="E6" s="1123"/>
      <c r="F6" s="1124"/>
      <c r="G6" s="1124"/>
      <c r="H6" s="1124"/>
      <c r="I6" s="1124"/>
      <c r="J6" s="1124"/>
    </row>
    <row r="7" spans="1:11" s="1127" customFormat="1" ht="15.95" customHeight="1" thickBot="1" x14ac:dyDescent="0.3">
      <c r="A7" s="1851" t="s">
        <v>657</v>
      </c>
      <c r="B7" s="1852"/>
      <c r="C7" s="1852"/>
      <c r="D7" s="1853"/>
      <c r="E7" s="1123" t="s">
        <v>660</v>
      </c>
      <c r="F7" s="1124" t="s">
        <v>679</v>
      </c>
      <c r="G7" s="1124" t="s">
        <v>680</v>
      </c>
      <c r="H7" s="1124" t="s">
        <v>682</v>
      </c>
      <c r="I7" s="1124">
        <v>84031</v>
      </c>
      <c r="J7" s="1124" t="s">
        <v>684</v>
      </c>
      <c r="K7" s="1127" t="s">
        <v>694</v>
      </c>
    </row>
    <row r="8" spans="1:11" s="1125" customFormat="1" ht="12" customHeight="1" thickBot="1" x14ac:dyDescent="0.3">
      <c r="A8" s="1128" t="s">
        <v>696</v>
      </c>
      <c r="B8" s="1129" t="s">
        <v>697</v>
      </c>
      <c r="C8" s="1130">
        <f>+C9+C10+C11+C12+C13+C14</f>
        <v>0</v>
      </c>
      <c r="D8" s="1131">
        <f>+D9+D10+D11+D12+D13+D14</f>
        <v>0</v>
      </c>
      <c r="E8" s="1132"/>
      <c r="F8" s="1132"/>
      <c r="G8" s="1132"/>
      <c r="H8" s="1132"/>
      <c r="I8" s="1132"/>
      <c r="J8" s="1132"/>
    </row>
    <row r="9" spans="1:11" s="1138" customFormat="1" ht="12" customHeight="1" x14ac:dyDescent="0.2">
      <c r="A9" s="1133" t="s">
        <v>698</v>
      </c>
      <c r="B9" s="1134" t="s">
        <v>699</v>
      </c>
      <c r="C9" s="1135">
        <f t="shared" ref="C9:C14" si="0">SUM(E9:J9)</f>
        <v>0</v>
      </c>
      <c r="D9" s="1136"/>
      <c r="E9" s="1117"/>
      <c r="F9" s="1137"/>
      <c r="G9" s="1137"/>
      <c r="H9" s="1137"/>
      <c r="I9" s="1137"/>
      <c r="J9" s="1137"/>
    </row>
    <row r="10" spans="1:11" s="1142" customFormat="1" ht="12" customHeight="1" x14ac:dyDescent="0.2">
      <c r="A10" s="1139" t="s">
        <v>700</v>
      </c>
      <c r="B10" s="1140" t="s">
        <v>701</v>
      </c>
      <c r="C10" s="1135">
        <f t="shared" si="0"/>
        <v>0</v>
      </c>
      <c r="D10" s="1141"/>
      <c r="E10" s="1117"/>
      <c r="F10" s="1117"/>
      <c r="G10" s="1117"/>
      <c r="H10" s="1117"/>
      <c r="I10" s="1117"/>
      <c r="J10" s="1117"/>
    </row>
    <row r="11" spans="1:11" s="1142" customFormat="1" ht="12" customHeight="1" x14ac:dyDescent="0.2">
      <c r="A11" s="1139" t="s">
        <v>702</v>
      </c>
      <c r="B11" s="1140" t="s">
        <v>703</v>
      </c>
      <c r="C11" s="1135">
        <f t="shared" si="0"/>
        <v>0</v>
      </c>
      <c r="D11" s="1141"/>
      <c r="E11" s="1117"/>
      <c r="F11" s="1117"/>
      <c r="G11" s="1117"/>
      <c r="H11" s="1117"/>
      <c r="I11" s="1117"/>
      <c r="J11" s="1117"/>
    </row>
    <row r="12" spans="1:11" s="1142" customFormat="1" ht="12" customHeight="1" x14ac:dyDescent="0.2">
      <c r="A12" s="1139" t="s">
        <v>704</v>
      </c>
      <c r="B12" s="1140" t="s">
        <v>705</v>
      </c>
      <c r="C12" s="1135">
        <f t="shared" si="0"/>
        <v>0</v>
      </c>
      <c r="D12" s="1141"/>
      <c r="E12" s="1117"/>
      <c r="F12" s="1117"/>
      <c r="G12" s="1117"/>
      <c r="H12" s="1117"/>
      <c r="I12" s="1117"/>
      <c r="J12" s="1117"/>
    </row>
    <row r="13" spans="1:11" s="1142" customFormat="1" ht="12" customHeight="1" x14ac:dyDescent="0.2">
      <c r="A13" s="1139" t="s">
        <v>706</v>
      </c>
      <c r="B13" s="1140" t="s">
        <v>707</v>
      </c>
      <c r="C13" s="1135">
        <f t="shared" si="0"/>
        <v>0</v>
      </c>
      <c r="D13" s="1141"/>
      <c r="E13" s="1117"/>
      <c r="F13" s="1117"/>
      <c r="G13" s="1117"/>
      <c r="H13" s="1117"/>
      <c r="I13" s="1117"/>
      <c r="J13" s="1117"/>
    </row>
    <row r="14" spans="1:11" s="1138" customFormat="1" ht="12" customHeight="1" thickBot="1" x14ac:dyDescent="0.25">
      <c r="A14" s="1143" t="s">
        <v>708</v>
      </c>
      <c r="B14" s="1144" t="s">
        <v>709</v>
      </c>
      <c r="C14" s="1135">
        <f t="shared" si="0"/>
        <v>0</v>
      </c>
      <c r="D14" s="1141"/>
      <c r="E14" s="1117"/>
      <c r="F14" s="1137"/>
      <c r="G14" s="1137"/>
      <c r="H14" s="1137"/>
      <c r="I14" s="1137"/>
      <c r="J14" s="1137"/>
    </row>
    <row r="15" spans="1:11" s="1138" customFormat="1" ht="21.75" customHeight="1" thickBot="1" x14ac:dyDescent="0.3">
      <c r="A15" s="1128" t="s">
        <v>710</v>
      </c>
      <c r="B15" s="1145" t="s">
        <v>711</v>
      </c>
      <c r="C15" s="1130">
        <f>+C16+C17+C18+C19+C20</f>
        <v>0</v>
      </c>
      <c r="D15" s="1131">
        <f>+D16+D17+D18+D19+D20</f>
        <v>0</v>
      </c>
      <c r="E15" s="1117"/>
      <c r="F15" s="1137"/>
      <c r="G15" s="1137"/>
      <c r="H15" s="1137"/>
      <c r="I15" s="1137"/>
      <c r="J15" s="1137"/>
    </row>
    <row r="16" spans="1:11" s="1138" customFormat="1" ht="12" customHeight="1" x14ac:dyDescent="0.2">
      <c r="A16" s="1133" t="s">
        <v>712</v>
      </c>
      <c r="B16" s="1134" t="s">
        <v>713</v>
      </c>
      <c r="C16" s="1146">
        <f t="shared" ref="C16:C21" si="1">SUM(E16:J16)</f>
        <v>0</v>
      </c>
      <c r="D16" s="1147"/>
      <c r="E16" s="1117"/>
      <c r="F16" s="1137"/>
      <c r="G16" s="1137"/>
      <c r="H16" s="1137"/>
      <c r="I16" s="1137"/>
      <c r="J16" s="1137"/>
    </row>
    <row r="17" spans="1:10" s="1138" customFormat="1" ht="12" customHeight="1" x14ac:dyDescent="0.2">
      <c r="A17" s="1139" t="s">
        <v>714</v>
      </c>
      <c r="B17" s="1140" t="s">
        <v>715</v>
      </c>
      <c r="C17" s="1146">
        <f t="shared" si="1"/>
        <v>0</v>
      </c>
      <c r="D17" s="1148"/>
      <c r="E17" s="1117"/>
      <c r="F17" s="1137"/>
      <c r="G17" s="1137"/>
      <c r="H17" s="1137"/>
      <c r="I17" s="1137"/>
      <c r="J17" s="1137"/>
    </row>
    <row r="18" spans="1:10" s="1138" customFormat="1" ht="12" customHeight="1" x14ac:dyDescent="0.2">
      <c r="A18" s="1139" t="s">
        <v>716</v>
      </c>
      <c r="B18" s="1140" t="s">
        <v>717</v>
      </c>
      <c r="C18" s="1146">
        <f t="shared" si="1"/>
        <v>0</v>
      </c>
      <c r="D18" s="1148"/>
      <c r="E18" s="1117"/>
      <c r="F18" s="1137"/>
      <c r="G18" s="1137"/>
      <c r="H18" s="1137"/>
      <c r="I18" s="1137"/>
      <c r="J18" s="1137"/>
    </row>
    <row r="19" spans="1:10" s="1138" customFormat="1" ht="12" customHeight="1" x14ac:dyDescent="0.2">
      <c r="A19" s="1139" t="s">
        <v>718</v>
      </c>
      <c r="B19" s="1140" t="s">
        <v>719</v>
      </c>
      <c r="C19" s="1146">
        <f t="shared" si="1"/>
        <v>0</v>
      </c>
      <c r="D19" s="1148"/>
      <c r="E19" s="1117"/>
      <c r="F19" s="1137"/>
      <c r="G19" s="1137"/>
      <c r="H19" s="1137"/>
      <c r="I19" s="1137"/>
      <c r="J19" s="1137"/>
    </row>
    <row r="20" spans="1:10" s="1138" customFormat="1" ht="12" customHeight="1" x14ac:dyDescent="0.2">
      <c r="A20" s="1139" t="s">
        <v>720</v>
      </c>
      <c r="B20" s="1140" t="s">
        <v>721</v>
      </c>
      <c r="C20" s="1146">
        <f t="shared" si="1"/>
        <v>0</v>
      </c>
      <c r="D20" s="1141"/>
      <c r="E20" s="1117"/>
      <c r="F20" s="1137"/>
      <c r="G20" s="1137"/>
      <c r="H20" s="1137"/>
      <c r="I20" s="1137"/>
      <c r="J20" s="1137"/>
    </row>
    <row r="21" spans="1:10" s="1142" customFormat="1" ht="12" customHeight="1" thickBot="1" x14ac:dyDescent="0.25">
      <c r="A21" s="1143" t="s">
        <v>722</v>
      </c>
      <c r="B21" s="1144" t="s">
        <v>723</v>
      </c>
      <c r="C21" s="1146">
        <f t="shared" si="1"/>
        <v>0</v>
      </c>
      <c r="D21" s="1149"/>
      <c r="E21" s="1117"/>
      <c r="F21" s="1117"/>
      <c r="G21" s="1117"/>
      <c r="H21" s="1117"/>
      <c r="I21" s="1117"/>
      <c r="J21" s="1117"/>
    </row>
    <row r="22" spans="1:10" s="1142" customFormat="1" ht="23.25" customHeight="1" thickBot="1" x14ac:dyDescent="0.3">
      <c r="A22" s="1128" t="s">
        <v>724</v>
      </c>
      <c r="B22" s="1129" t="s">
        <v>725</v>
      </c>
      <c r="C22" s="1130">
        <f>+C23+C24+C25+C26+C27</f>
        <v>0</v>
      </c>
      <c r="D22" s="1131">
        <f>+D23+D24+D25+D26+D27</f>
        <v>0</v>
      </c>
      <c r="E22" s="1117"/>
      <c r="F22" s="1117"/>
      <c r="G22" s="1117"/>
      <c r="H22" s="1117"/>
      <c r="I22" s="1117"/>
      <c r="J22" s="1117"/>
    </row>
    <row r="23" spans="1:10" s="1142" customFormat="1" ht="12" customHeight="1" x14ac:dyDescent="0.2">
      <c r="A23" s="1133" t="s">
        <v>726</v>
      </c>
      <c r="B23" s="1134" t="s">
        <v>727</v>
      </c>
      <c r="C23" s="1146">
        <f t="shared" ref="C23:C28" si="2">SUM(E23:J23)</f>
        <v>0</v>
      </c>
      <c r="D23" s="1147"/>
      <c r="E23" s="1117"/>
      <c r="F23" s="1117"/>
      <c r="G23" s="1117"/>
      <c r="H23" s="1117"/>
      <c r="I23" s="1117"/>
      <c r="J23" s="1117"/>
    </row>
    <row r="24" spans="1:10" s="1138" customFormat="1" ht="12" customHeight="1" x14ac:dyDescent="0.2">
      <c r="A24" s="1139" t="s">
        <v>728</v>
      </c>
      <c r="B24" s="1140" t="s">
        <v>729</v>
      </c>
      <c r="C24" s="1146">
        <f t="shared" si="2"/>
        <v>0</v>
      </c>
      <c r="D24" s="1148"/>
      <c r="E24" s="1117"/>
      <c r="F24" s="1137"/>
      <c r="G24" s="1137"/>
      <c r="H24" s="1137"/>
      <c r="I24" s="1137"/>
      <c r="J24" s="1137"/>
    </row>
    <row r="25" spans="1:10" s="1142" customFormat="1" ht="12" customHeight="1" x14ac:dyDescent="0.2">
      <c r="A25" s="1139" t="s">
        <v>730</v>
      </c>
      <c r="B25" s="1140" t="s">
        <v>731</v>
      </c>
      <c r="C25" s="1146">
        <f t="shared" si="2"/>
        <v>0</v>
      </c>
      <c r="D25" s="1148"/>
      <c r="E25" s="1117"/>
      <c r="F25" s="1117"/>
      <c r="G25" s="1117"/>
      <c r="H25" s="1117"/>
      <c r="I25" s="1117"/>
      <c r="J25" s="1117"/>
    </row>
    <row r="26" spans="1:10" s="1142" customFormat="1" ht="12" customHeight="1" x14ac:dyDescent="0.2">
      <c r="A26" s="1139" t="s">
        <v>732</v>
      </c>
      <c r="B26" s="1140" t="s">
        <v>733</v>
      </c>
      <c r="C26" s="1146">
        <f t="shared" si="2"/>
        <v>0</v>
      </c>
      <c r="D26" s="1148"/>
      <c r="E26" s="1117"/>
      <c r="F26" s="1117"/>
      <c r="G26" s="1117"/>
      <c r="H26" s="1117"/>
      <c r="I26" s="1117"/>
      <c r="J26" s="1117"/>
    </row>
    <row r="27" spans="1:10" s="1142" customFormat="1" ht="12" customHeight="1" x14ac:dyDescent="0.2">
      <c r="A27" s="1139" t="s">
        <v>734</v>
      </c>
      <c r="B27" s="1140" t="s">
        <v>735</v>
      </c>
      <c r="C27" s="1146">
        <f t="shared" si="2"/>
        <v>0</v>
      </c>
      <c r="D27" s="1141"/>
      <c r="E27" s="1117"/>
      <c r="F27" s="1117"/>
      <c r="G27" s="1117"/>
      <c r="H27" s="1117"/>
      <c r="I27" s="1117"/>
      <c r="J27" s="1117"/>
    </row>
    <row r="28" spans="1:10" s="1142" customFormat="1" ht="12" customHeight="1" thickBot="1" x14ac:dyDescent="0.25">
      <c r="A28" s="1143" t="s">
        <v>736</v>
      </c>
      <c r="B28" s="1144" t="s">
        <v>737</v>
      </c>
      <c r="C28" s="1146">
        <f t="shared" si="2"/>
        <v>0</v>
      </c>
      <c r="D28" s="1149"/>
      <c r="E28" s="1117"/>
      <c r="F28" s="1117"/>
      <c r="G28" s="1117"/>
      <c r="H28" s="1117"/>
      <c r="I28" s="1117"/>
      <c r="J28" s="1117"/>
    </row>
    <row r="29" spans="1:10" s="1142" customFormat="1" ht="12" customHeight="1" thickBot="1" x14ac:dyDescent="0.3">
      <c r="A29" s="1128" t="s">
        <v>738</v>
      </c>
      <c r="B29" s="1129" t="s">
        <v>739</v>
      </c>
      <c r="C29" s="1150">
        <f>+C30+C36</f>
        <v>13938500</v>
      </c>
      <c r="D29" s="1151">
        <f>+D30+D34+D35+D36</f>
        <v>0</v>
      </c>
      <c r="E29" s="1117"/>
      <c r="F29" s="1117"/>
      <c r="G29" s="1117"/>
      <c r="H29" s="1117"/>
      <c r="I29" s="1117"/>
      <c r="J29" s="1117"/>
    </row>
    <row r="30" spans="1:10" s="1142" customFormat="1" ht="12" customHeight="1" x14ac:dyDescent="0.2">
      <c r="A30" s="1133" t="s">
        <v>740</v>
      </c>
      <c r="B30" s="1134" t="s">
        <v>741</v>
      </c>
      <c r="C30" s="1152">
        <f>C32+C33+C34+C35+C31</f>
        <v>13938500</v>
      </c>
      <c r="D30" s="1153">
        <f>D32+D33</f>
        <v>0</v>
      </c>
      <c r="E30" s="1117"/>
      <c r="F30" s="1117"/>
      <c r="G30" s="1117"/>
      <c r="H30" s="1117"/>
      <c r="I30" s="1117"/>
      <c r="J30" s="1117"/>
    </row>
    <row r="31" spans="1:10" s="1142" customFormat="1" ht="12" customHeight="1" x14ac:dyDescent="0.2">
      <c r="A31" s="1139" t="s">
        <v>742</v>
      </c>
      <c r="B31" s="1154" t="s">
        <v>743</v>
      </c>
      <c r="C31" s="1155">
        <f>SUM(E31:J31)</f>
        <v>0</v>
      </c>
      <c r="D31" s="1153"/>
      <c r="E31" s="1117"/>
      <c r="F31" s="1117"/>
      <c r="G31" s="1117"/>
      <c r="H31" s="1117"/>
      <c r="I31" s="1117"/>
      <c r="J31" s="1117"/>
    </row>
    <row r="32" spans="1:10" s="1142" customFormat="1" ht="12" customHeight="1" x14ac:dyDescent="0.2">
      <c r="A32" s="1139" t="s">
        <v>744</v>
      </c>
      <c r="B32" s="1140" t="s">
        <v>745</v>
      </c>
      <c r="C32" s="1155">
        <f>SUM(E32:J32)</f>
        <v>0</v>
      </c>
      <c r="D32" s="1141"/>
      <c r="E32" s="1117"/>
      <c r="F32" s="1117"/>
      <c r="G32" s="1117"/>
      <c r="H32" s="1117"/>
      <c r="I32" s="1117"/>
      <c r="J32" s="1117"/>
    </row>
    <row r="33" spans="1:11" s="1142" customFormat="1" ht="12" customHeight="1" x14ac:dyDescent="0.2">
      <c r="A33" s="1139" t="s">
        <v>746</v>
      </c>
      <c r="B33" s="1154" t="s">
        <v>747</v>
      </c>
      <c r="C33" s="1155">
        <f>K33</f>
        <v>13938500</v>
      </c>
      <c r="D33" s="1141"/>
      <c r="E33" s="1117"/>
      <c r="F33" s="1117"/>
      <c r="G33" s="1117"/>
      <c r="H33" s="1117"/>
      <c r="I33" s="1117"/>
      <c r="J33" s="1117"/>
      <c r="K33" s="1698">
        <v>13938500</v>
      </c>
    </row>
    <row r="34" spans="1:11" s="1142" customFormat="1" ht="12" customHeight="1" x14ac:dyDescent="0.2">
      <c r="A34" s="1139" t="s">
        <v>748</v>
      </c>
      <c r="B34" s="1154" t="s">
        <v>749</v>
      </c>
      <c r="C34" s="1155">
        <f>SUM(E34:J34)</f>
        <v>0</v>
      </c>
      <c r="D34" s="1141"/>
      <c r="E34" s="1117"/>
      <c r="F34" s="1117"/>
      <c r="G34" s="1117"/>
      <c r="H34" s="1117"/>
      <c r="I34" s="1117"/>
      <c r="J34" s="1117"/>
    </row>
    <row r="35" spans="1:11" s="1142" customFormat="1" ht="12" customHeight="1" x14ac:dyDescent="0.2">
      <c r="A35" s="1139" t="s">
        <v>750</v>
      </c>
      <c r="B35" s="1154" t="s">
        <v>751</v>
      </c>
      <c r="C35" s="1155">
        <f>SUM(E35:J35)</f>
        <v>0</v>
      </c>
      <c r="D35" s="1141"/>
      <c r="E35" s="1117"/>
      <c r="F35" s="1117"/>
      <c r="G35" s="1117"/>
      <c r="H35" s="1117"/>
      <c r="I35" s="1117"/>
      <c r="J35" s="1117"/>
    </row>
    <row r="36" spans="1:11" s="1142" customFormat="1" ht="12" customHeight="1" thickBot="1" x14ac:dyDescent="0.25">
      <c r="A36" s="1143" t="s">
        <v>752</v>
      </c>
      <c r="B36" s="1144" t="s">
        <v>248</v>
      </c>
      <c r="C36" s="1155">
        <f>SUM(E36:J36)</f>
        <v>0</v>
      </c>
      <c r="D36" s="1156"/>
      <c r="E36" s="1117"/>
      <c r="F36" s="1117"/>
      <c r="G36" s="1117"/>
      <c r="H36" s="1117"/>
      <c r="I36" s="1117"/>
      <c r="J36" s="1117"/>
    </row>
    <row r="37" spans="1:11" s="1142" customFormat="1" ht="12" customHeight="1" thickBot="1" x14ac:dyDescent="0.3">
      <c r="A37" s="1128" t="s">
        <v>753</v>
      </c>
      <c r="B37" s="1129" t="s">
        <v>754</v>
      </c>
      <c r="C37" s="1130">
        <f>SUM(C38:C47)</f>
        <v>2540000</v>
      </c>
      <c r="D37" s="1131">
        <f>SUM(D38:D47)</f>
        <v>0</v>
      </c>
      <c r="E37" s="1117"/>
      <c r="F37" s="1117"/>
      <c r="G37" s="1117"/>
      <c r="H37" s="1117"/>
      <c r="I37" s="1117"/>
      <c r="J37" s="1117"/>
    </row>
    <row r="38" spans="1:11" s="1142" customFormat="1" ht="12" customHeight="1" x14ac:dyDescent="0.2">
      <c r="A38" s="1133" t="s">
        <v>755</v>
      </c>
      <c r="B38" s="1134" t="s">
        <v>756</v>
      </c>
      <c r="C38" s="1157">
        <f t="shared" ref="C38:C47" si="3">SUM(E38:J38)</f>
        <v>2000000</v>
      </c>
      <c r="D38" s="1148"/>
      <c r="E38" s="1117">
        <v>2000000</v>
      </c>
      <c r="F38" s="1117"/>
      <c r="G38" s="1117"/>
      <c r="H38" s="1117"/>
      <c r="I38" s="1117"/>
      <c r="J38" s="1117"/>
    </row>
    <row r="39" spans="1:11" s="1142" customFormat="1" ht="12" customHeight="1" x14ac:dyDescent="0.2">
      <c r="A39" s="1139" t="s">
        <v>757</v>
      </c>
      <c r="B39" s="1140" t="s">
        <v>758</v>
      </c>
      <c r="C39" s="1157">
        <f t="shared" si="3"/>
        <v>0</v>
      </c>
      <c r="D39" s="1148"/>
      <c r="E39" s="1117"/>
      <c r="F39" s="1117"/>
      <c r="G39" s="1117"/>
      <c r="H39" s="1117"/>
      <c r="I39" s="1117"/>
      <c r="J39" s="1117"/>
    </row>
    <row r="40" spans="1:11" s="1142" customFormat="1" ht="12" customHeight="1" x14ac:dyDescent="0.2">
      <c r="A40" s="1139" t="s">
        <v>759</v>
      </c>
      <c r="B40" s="1140" t="s">
        <v>760</v>
      </c>
      <c r="C40" s="1157">
        <f t="shared" si="3"/>
        <v>0</v>
      </c>
      <c r="D40" s="1148"/>
      <c r="E40" s="1117"/>
      <c r="F40" s="1117"/>
      <c r="G40" s="1117"/>
      <c r="H40" s="1117"/>
      <c r="I40" s="1117"/>
      <c r="J40" s="1117"/>
    </row>
    <row r="41" spans="1:11" s="1142" customFormat="1" ht="12" customHeight="1" x14ac:dyDescent="0.2">
      <c r="A41" s="1139" t="s">
        <v>761</v>
      </c>
      <c r="B41" s="1140" t="s">
        <v>762</v>
      </c>
      <c r="C41" s="1157">
        <f t="shared" si="3"/>
        <v>0</v>
      </c>
      <c r="D41" s="1148"/>
      <c r="E41" s="1117"/>
      <c r="F41" s="1117"/>
      <c r="G41" s="1117"/>
      <c r="H41" s="1117"/>
      <c r="I41" s="1117"/>
      <c r="J41" s="1117"/>
    </row>
    <row r="42" spans="1:11" s="1142" customFormat="1" ht="12" customHeight="1" x14ac:dyDescent="0.2">
      <c r="A42" s="1139" t="s">
        <v>763</v>
      </c>
      <c r="B42" s="1140" t="s">
        <v>764</v>
      </c>
      <c r="C42" s="1157">
        <f t="shared" si="3"/>
        <v>0</v>
      </c>
      <c r="D42" s="1148"/>
      <c r="E42" s="1117"/>
      <c r="F42" s="1117"/>
      <c r="G42" s="1117"/>
      <c r="H42" s="1117"/>
      <c r="I42" s="1117"/>
      <c r="J42" s="1117"/>
    </row>
    <row r="43" spans="1:11" s="1142" customFormat="1" ht="12" customHeight="1" x14ac:dyDescent="0.2">
      <c r="A43" s="1139" t="s">
        <v>765</v>
      </c>
      <c r="B43" s="1140" t="s">
        <v>766</v>
      </c>
      <c r="C43" s="1157">
        <f t="shared" si="3"/>
        <v>540000</v>
      </c>
      <c r="D43" s="1148"/>
      <c r="E43" s="1117">
        <v>540000</v>
      </c>
      <c r="F43" s="1117"/>
      <c r="G43" s="1117"/>
      <c r="H43" s="1117"/>
      <c r="I43" s="1117"/>
      <c r="J43" s="1117"/>
    </row>
    <row r="44" spans="1:11" s="1142" customFormat="1" ht="12" customHeight="1" x14ac:dyDescent="0.2">
      <c r="A44" s="1139" t="s">
        <v>767</v>
      </c>
      <c r="B44" s="1140" t="s">
        <v>768</v>
      </c>
      <c r="C44" s="1157">
        <f t="shared" si="3"/>
        <v>0</v>
      </c>
      <c r="D44" s="1148"/>
      <c r="E44" s="1117"/>
      <c r="F44" s="1117"/>
      <c r="G44" s="1117"/>
      <c r="H44" s="1117"/>
      <c r="I44" s="1117"/>
      <c r="J44" s="1117"/>
    </row>
    <row r="45" spans="1:11" s="1142" customFormat="1" ht="12" customHeight="1" x14ac:dyDescent="0.2">
      <c r="A45" s="1139" t="s">
        <v>769</v>
      </c>
      <c r="B45" s="1140" t="s">
        <v>770</v>
      </c>
      <c r="C45" s="1157">
        <f t="shared" si="3"/>
        <v>0</v>
      </c>
      <c r="D45" s="1148"/>
      <c r="E45" s="1117"/>
      <c r="F45" s="1117"/>
      <c r="G45" s="1117"/>
      <c r="H45" s="1117"/>
      <c r="I45" s="1117"/>
      <c r="J45" s="1117"/>
    </row>
    <row r="46" spans="1:11" s="1142" customFormat="1" ht="12" customHeight="1" x14ac:dyDescent="0.2">
      <c r="A46" s="1139" t="s">
        <v>771</v>
      </c>
      <c r="B46" s="1140" t="s">
        <v>772</v>
      </c>
      <c r="C46" s="1157">
        <f t="shared" si="3"/>
        <v>0</v>
      </c>
      <c r="D46" s="1158"/>
      <c r="E46" s="1117"/>
      <c r="F46" s="1117"/>
      <c r="G46" s="1117"/>
      <c r="H46" s="1117"/>
      <c r="I46" s="1117"/>
      <c r="J46" s="1117"/>
    </row>
    <row r="47" spans="1:11" s="1142" customFormat="1" ht="12" customHeight="1" thickBot="1" x14ac:dyDescent="0.25">
      <c r="A47" s="1143" t="s">
        <v>773</v>
      </c>
      <c r="B47" s="1144" t="s">
        <v>774</v>
      </c>
      <c r="C47" s="1157">
        <f t="shared" si="3"/>
        <v>0</v>
      </c>
      <c r="D47" s="1159"/>
      <c r="E47" s="1117"/>
      <c r="F47" s="1117"/>
      <c r="G47" s="1117"/>
      <c r="H47" s="1117"/>
      <c r="I47" s="1117"/>
      <c r="J47" s="1117"/>
    </row>
    <row r="48" spans="1:11" s="1142" customFormat="1" ht="12" customHeight="1" thickBot="1" x14ac:dyDescent="0.3">
      <c r="A48" s="1128" t="s">
        <v>775</v>
      </c>
      <c r="B48" s="1129" t="s">
        <v>776</v>
      </c>
      <c r="C48" s="1130">
        <f>SUM(C49:C53)</f>
        <v>0</v>
      </c>
      <c r="D48" s="1131">
        <f>SUM(D49:D53)</f>
        <v>0</v>
      </c>
      <c r="E48" s="1117"/>
      <c r="F48" s="1117"/>
      <c r="G48" s="1117"/>
      <c r="H48" s="1117"/>
      <c r="I48" s="1117"/>
      <c r="J48" s="1117"/>
    </row>
    <row r="49" spans="1:10" s="1142" customFormat="1" ht="12" customHeight="1" x14ac:dyDescent="0.2">
      <c r="A49" s="1133" t="s">
        <v>777</v>
      </c>
      <c r="B49" s="1134" t="s">
        <v>778</v>
      </c>
      <c r="C49" s="1160">
        <f>SUM(E49:J49)</f>
        <v>0</v>
      </c>
      <c r="D49" s="1161"/>
      <c r="E49" s="1117"/>
      <c r="F49" s="1117"/>
      <c r="G49" s="1117"/>
      <c r="H49" s="1117"/>
      <c r="I49" s="1117"/>
      <c r="J49" s="1117"/>
    </row>
    <row r="50" spans="1:10" s="1142" customFormat="1" ht="12" customHeight="1" x14ac:dyDescent="0.2">
      <c r="A50" s="1139" t="s">
        <v>779</v>
      </c>
      <c r="B50" s="1140" t="s">
        <v>525</v>
      </c>
      <c r="C50" s="1160">
        <f>SUM(E50:J50)</f>
        <v>0</v>
      </c>
      <c r="D50" s="1158"/>
      <c r="E50" s="1117"/>
      <c r="F50" s="1117"/>
      <c r="G50" s="1117"/>
      <c r="H50" s="1117"/>
      <c r="I50" s="1117"/>
      <c r="J50" s="1117"/>
    </row>
    <row r="51" spans="1:10" s="1142" customFormat="1" ht="12" customHeight="1" x14ac:dyDescent="0.2">
      <c r="A51" s="1139" t="s">
        <v>780</v>
      </c>
      <c r="B51" s="1140" t="s">
        <v>781</v>
      </c>
      <c r="C51" s="1160">
        <f>SUM(E51:J51)</f>
        <v>0</v>
      </c>
      <c r="D51" s="1158"/>
      <c r="E51" s="1117"/>
      <c r="F51" s="1117"/>
      <c r="G51" s="1117"/>
      <c r="H51" s="1117"/>
      <c r="I51" s="1117"/>
      <c r="J51" s="1117"/>
    </row>
    <row r="52" spans="1:10" s="1142" customFormat="1" ht="12" customHeight="1" x14ac:dyDescent="0.2">
      <c r="A52" s="1139" t="s">
        <v>782</v>
      </c>
      <c r="B52" s="1140" t="s">
        <v>783</v>
      </c>
      <c r="C52" s="1160">
        <f>SUM(E52:J52)</f>
        <v>0</v>
      </c>
      <c r="D52" s="1158"/>
      <c r="E52" s="1117"/>
      <c r="F52" s="1117"/>
      <c r="G52" s="1117"/>
      <c r="H52" s="1117"/>
      <c r="I52" s="1117"/>
      <c r="J52" s="1117"/>
    </row>
    <row r="53" spans="1:10" s="1142" customFormat="1" ht="12" customHeight="1" thickBot="1" x14ac:dyDescent="0.25">
      <c r="A53" s="1143" t="s">
        <v>784</v>
      </c>
      <c r="B53" s="1144" t="s">
        <v>785</v>
      </c>
      <c r="C53" s="1160">
        <f>SUM(E53:J53)</f>
        <v>0</v>
      </c>
      <c r="D53" s="1159"/>
      <c r="E53" s="1117"/>
      <c r="F53" s="1117"/>
      <c r="G53" s="1117"/>
      <c r="H53" s="1117"/>
      <c r="I53" s="1117"/>
      <c r="J53" s="1117"/>
    </row>
    <row r="54" spans="1:10" s="1142" customFormat="1" ht="12" customHeight="1" thickBot="1" x14ac:dyDescent="0.3">
      <c r="A54" s="1128" t="s">
        <v>786</v>
      </c>
      <c r="B54" s="1129" t="s">
        <v>787</v>
      </c>
      <c r="C54" s="1130">
        <f>SUM(C55:C57)</f>
        <v>0</v>
      </c>
      <c r="D54" s="1131">
        <f>SUM(D55:D57)</f>
        <v>0</v>
      </c>
      <c r="E54" s="1117"/>
      <c r="F54" s="1117"/>
      <c r="G54" s="1117"/>
      <c r="H54" s="1117"/>
      <c r="I54" s="1117"/>
      <c r="J54" s="1117"/>
    </row>
    <row r="55" spans="1:10" s="1142" customFormat="1" ht="12" customHeight="1" x14ac:dyDescent="0.2">
      <c r="A55" s="1133" t="s">
        <v>788</v>
      </c>
      <c r="B55" s="1134" t="s">
        <v>789</v>
      </c>
      <c r="C55" s="1146">
        <f>SUM(E55:J55)</f>
        <v>0</v>
      </c>
      <c r="D55" s="1147"/>
      <c r="E55" s="1117"/>
      <c r="F55" s="1117"/>
      <c r="G55" s="1117"/>
      <c r="H55" s="1117"/>
      <c r="I55" s="1117"/>
      <c r="J55" s="1117"/>
    </row>
    <row r="56" spans="1:10" s="1142" customFormat="1" ht="12" customHeight="1" x14ac:dyDescent="0.2">
      <c r="A56" s="1139" t="s">
        <v>790</v>
      </c>
      <c r="B56" s="1140" t="s">
        <v>791</v>
      </c>
      <c r="C56" s="1146">
        <f>SUM(E56:J56)</f>
        <v>0</v>
      </c>
      <c r="D56" s="1148"/>
      <c r="E56" s="1117"/>
      <c r="F56" s="1117"/>
      <c r="G56" s="1117"/>
      <c r="H56" s="1117"/>
      <c r="I56" s="1117"/>
      <c r="J56" s="1117"/>
    </row>
    <row r="57" spans="1:10" s="1142" customFormat="1" ht="12" customHeight="1" x14ac:dyDescent="0.2">
      <c r="A57" s="1139" t="s">
        <v>792</v>
      </c>
      <c r="B57" s="1140" t="s">
        <v>793</v>
      </c>
      <c r="C57" s="1146">
        <f>SUM(E57:J57)</f>
        <v>0</v>
      </c>
      <c r="D57" s="1141"/>
      <c r="E57" s="1117"/>
      <c r="F57" s="1117"/>
      <c r="G57" s="1117"/>
      <c r="H57" s="1117"/>
      <c r="I57" s="1117"/>
      <c r="J57" s="1117"/>
    </row>
    <row r="58" spans="1:10" s="1142" customFormat="1" ht="12" customHeight="1" thickBot="1" x14ac:dyDescent="0.25">
      <c r="A58" s="1143" t="s">
        <v>794</v>
      </c>
      <c r="B58" s="1144" t="s">
        <v>795</v>
      </c>
      <c r="C58" s="1146">
        <f>SUM(E58:J58)</f>
        <v>0</v>
      </c>
      <c r="D58" s="1156"/>
      <c r="E58" s="1117"/>
      <c r="F58" s="1117"/>
      <c r="G58" s="1117"/>
      <c r="H58" s="1117"/>
      <c r="I58" s="1117"/>
      <c r="J58" s="1117"/>
    </row>
    <row r="59" spans="1:10" s="1142" customFormat="1" ht="12" customHeight="1" thickBot="1" x14ac:dyDescent="0.3">
      <c r="A59" s="1128" t="s">
        <v>796</v>
      </c>
      <c r="B59" s="1145" t="s">
        <v>797</v>
      </c>
      <c r="C59" s="1130">
        <f>SUM(C60:C62)</f>
        <v>0</v>
      </c>
      <c r="D59" s="1162">
        <f>SUM(D60:D62)</f>
        <v>0</v>
      </c>
      <c r="E59" s="1117"/>
      <c r="F59" s="1117"/>
      <c r="G59" s="1117"/>
      <c r="H59" s="1117"/>
      <c r="I59" s="1117"/>
      <c r="J59" s="1117"/>
    </row>
    <row r="60" spans="1:10" s="1142" customFormat="1" ht="12" customHeight="1" x14ac:dyDescent="0.2">
      <c r="A60" s="1133" t="s">
        <v>798</v>
      </c>
      <c r="B60" s="1134" t="s">
        <v>799</v>
      </c>
      <c r="C60" s="1163">
        <f>SUM(E60:J60)</f>
        <v>0</v>
      </c>
      <c r="D60" s="1141"/>
      <c r="E60" s="1117"/>
      <c r="F60" s="1117"/>
      <c r="G60" s="1117"/>
      <c r="H60" s="1117"/>
      <c r="I60" s="1117"/>
      <c r="J60" s="1117"/>
    </row>
    <row r="61" spans="1:10" s="1142" customFormat="1" ht="12" customHeight="1" x14ac:dyDescent="0.2">
      <c r="A61" s="1139" t="s">
        <v>800</v>
      </c>
      <c r="B61" s="1140" t="s">
        <v>801</v>
      </c>
      <c r="C61" s="1163">
        <f>SUM(E61:J61)</f>
        <v>0</v>
      </c>
      <c r="D61" s="1148"/>
      <c r="E61" s="1117"/>
      <c r="F61" s="1117"/>
      <c r="G61" s="1117"/>
      <c r="H61" s="1117"/>
      <c r="I61" s="1117"/>
      <c r="J61" s="1117"/>
    </row>
    <row r="62" spans="1:10" s="1142" customFormat="1" ht="12" customHeight="1" x14ac:dyDescent="0.2">
      <c r="A62" s="1139" t="s">
        <v>802</v>
      </c>
      <c r="B62" s="1140" t="s">
        <v>803</v>
      </c>
      <c r="C62" s="1163">
        <f>SUM(E62:J62)</f>
        <v>0</v>
      </c>
      <c r="D62" s="1148"/>
      <c r="E62" s="1117"/>
      <c r="F62" s="1117"/>
      <c r="G62" s="1117"/>
      <c r="H62" s="1117"/>
      <c r="I62" s="1117"/>
      <c r="J62" s="1117"/>
    </row>
    <row r="63" spans="1:10" s="1142" customFormat="1" ht="12" customHeight="1" thickBot="1" x14ac:dyDescent="0.25">
      <c r="A63" s="1143" t="s">
        <v>804</v>
      </c>
      <c r="B63" s="1144" t="s">
        <v>805</v>
      </c>
      <c r="C63" s="1163">
        <f>SUM(E63:J63)</f>
        <v>0</v>
      </c>
      <c r="D63" s="1158"/>
      <c r="E63" s="1117"/>
      <c r="F63" s="1117"/>
      <c r="G63" s="1117"/>
      <c r="H63" s="1117"/>
      <c r="I63" s="1117"/>
      <c r="J63" s="1117"/>
    </row>
    <row r="64" spans="1:10" s="1142" customFormat="1" ht="12" customHeight="1" thickBot="1" x14ac:dyDescent="0.3">
      <c r="A64" s="1128" t="s">
        <v>806</v>
      </c>
      <c r="B64" s="1129" t="s">
        <v>807</v>
      </c>
      <c r="C64" s="1150">
        <f>+C8+C15+C22+C29+C37+C48+C54+C59</f>
        <v>16478500</v>
      </c>
      <c r="D64" s="1151">
        <f>+D8+D15+D22+D29+D37+D48+D54+D59</f>
        <v>0</v>
      </c>
      <c r="E64" s="1117"/>
      <c r="F64" s="1117"/>
      <c r="G64" s="1117"/>
      <c r="H64" s="1117"/>
      <c r="I64" s="1117"/>
      <c r="J64" s="1117"/>
    </row>
    <row r="65" spans="1:10" s="1142" customFormat="1" ht="12" customHeight="1" thickBot="1" x14ac:dyDescent="0.2">
      <c r="A65" s="1164" t="s">
        <v>808</v>
      </c>
      <c r="B65" s="1145" t="s">
        <v>809</v>
      </c>
      <c r="C65" s="1130">
        <f>SUM(C66:C68)</f>
        <v>0</v>
      </c>
      <c r="D65" s="1131">
        <f>SUM(D66:D68)</f>
        <v>0</v>
      </c>
      <c r="E65" s="1117"/>
      <c r="F65" s="1117"/>
      <c r="G65" s="1117"/>
      <c r="H65" s="1117"/>
      <c r="I65" s="1117"/>
      <c r="J65" s="1117"/>
    </row>
    <row r="66" spans="1:10" s="1142" customFormat="1" ht="12" customHeight="1" x14ac:dyDescent="0.2">
      <c r="A66" s="1133" t="s">
        <v>810</v>
      </c>
      <c r="B66" s="1134" t="s">
        <v>811</v>
      </c>
      <c r="C66" s="1163">
        <f>SUM(E66:J66)</f>
        <v>0</v>
      </c>
      <c r="D66" s="1158"/>
      <c r="E66" s="1117"/>
      <c r="F66" s="1117"/>
      <c r="G66" s="1117"/>
      <c r="H66" s="1117"/>
      <c r="I66" s="1117"/>
      <c r="J66" s="1117"/>
    </row>
    <row r="67" spans="1:10" s="1142" customFormat="1" ht="12" customHeight="1" x14ac:dyDescent="0.2">
      <c r="A67" s="1139" t="s">
        <v>812</v>
      </c>
      <c r="B67" s="1140" t="s">
        <v>813</v>
      </c>
      <c r="C67" s="1163">
        <f>SUM(E67:J67)</f>
        <v>0</v>
      </c>
      <c r="D67" s="1158"/>
      <c r="E67" s="1117"/>
      <c r="F67" s="1117"/>
      <c r="G67" s="1117"/>
      <c r="H67" s="1117"/>
      <c r="I67" s="1117"/>
      <c r="J67" s="1117"/>
    </row>
    <row r="68" spans="1:10" s="1142" customFormat="1" ht="12" customHeight="1" thickBot="1" x14ac:dyDescent="0.25">
      <c r="A68" s="1143" t="s">
        <v>814</v>
      </c>
      <c r="B68" s="1165" t="s">
        <v>815</v>
      </c>
      <c r="C68" s="1163">
        <f>SUM(E68:J68)</f>
        <v>0</v>
      </c>
      <c r="D68" s="1158"/>
      <c r="E68" s="1117"/>
      <c r="F68" s="1117"/>
      <c r="G68" s="1117"/>
      <c r="H68" s="1117"/>
      <c r="I68" s="1117"/>
      <c r="J68" s="1117"/>
    </row>
    <row r="69" spans="1:10" s="1142" customFormat="1" ht="12" customHeight="1" thickBot="1" x14ac:dyDescent="0.2">
      <c r="A69" s="1164" t="s">
        <v>816</v>
      </c>
      <c r="B69" s="1145" t="s">
        <v>817</v>
      </c>
      <c r="C69" s="1130">
        <f>SUM(C70:C73)</f>
        <v>0</v>
      </c>
      <c r="D69" s="1131">
        <f>SUM(D70:D73)</f>
        <v>0</v>
      </c>
      <c r="E69" s="1117"/>
      <c r="F69" s="1117"/>
      <c r="G69" s="1117"/>
      <c r="H69" s="1117"/>
      <c r="I69" s="1117"/>
      <c r="J69" s="1117"/>
    </row>
    <row r="70" spans="1:10" s="1142" customFormat="1" ht="12" customHeight="1" x14ac:dyDescent="0.2">
      <c r="A70" s="1133" t="s">
        <v>818</v>
      </c>
      <c r="B70" s="1134" t="s">
        <v>819</v>
      </c>
      <c r="C70" s="1163">
        <f>SUM(E70:J70)</f>
        <v>0</v>
      </c>
      <c r="D70" s="1158"/>
      <c r="E70" s="1117"/>
      <c r="F70" s="1117"/>
      <c r="G70" s="1117"/>
      <c r="H70" s="1117"/>
      <c r="I70" s="1117"/>
      <c r="J70" s="1117"/>
    </row>
    <row r="71" spans="1:10" s="1142" customFormat="1" ht="12" customHeight="1" x14ac:dyDescent="0.2">
      <c r="A71" s="1139" t="s">
        <v>820</v>
      </c>
      <c r="B71" s="1140" t="s">
        <v>821</v>
      </c>
      <c r="C71" s="1163">
        <f>SUM(E71:J71)</f>
        <v>0</v>
      </c>
      <c r="D71" s="1158"/>
      <c r="E71" s="1117"/>
      <c r="F71" s="1117"/>
      <c r="G71" s="1117"/>
      <c r="H71" s="1117"/>
      <c r="I71" s="1117"/>
      <c r="J71" s="1117"/>
    </row>
    <row r="72" spans="1:10" s="1142" customFormat="1" ht="12" customHeight="1" x14ac:dyDescent="0.2">
      <c r="A72" s="1139" t="s">
        <v>822</v>
      </c>
      <c r="B72" s="1140" t="s">
        <v>823</v>
      </c>
      <c r="C72" s="1163">
        <f>SUM(E72:J72)</f>
        <v>0</v>
      </c>
      <c r="D72" s="1158"/>
      <c r="E72" s="1117"/>
      <c r="F72" s="1117"/>
      <c r="G72" s="1117"/>
      <c r="H72" s="1117"/>
      <c r="I72" s="1117"/>
      <c r="J72" s="1117"/>
    </row>
    <row r="73" spans="1:10" s="1142" customFormat="1" ht="12" customHeight="1" thickBot="1" x14ac:dyDescent="0.25">
      <c r="A73" s="1166" t="s">
        <v>824</v>
      </c>
      <c r="B73" s="1167" t="s">
        <v>825</v>
      </c>
      <c r="C73" s="1163">
        <f>SUM(E73:J73)</f>
        <v>0</v>
      </c>
      <c r="D73" s="1168"/>
      <c r="E73" s="1117"/>
      <c r="F73" s="1117"/>
      <c r="G73" s="1117"/>
      <c r="H73" s="1117"/>
      <c r="I73" s="1117"/>
      <c r="J73" s="1117"/>
    </row>
    <row r="74" spans="1:10" s="1142" customFormat="1" ht="12" customHeight="1" thickBot="1" x14ac:dyDescent="0.2">
      <c r="A74" s="1164" t="s">
        <v>826</v>
      </c>
      <c r="B74" s="1145" t="s">
        <v>827</v>
      </c>
      <c r="C74" s="1130">
        <f>SUM(C75:C76)</f>
        <v>0</v>
      </c>
      <c r="D74" s="1131">
        <f>SUM(D75:D76)</f>
        <v>0</v>
      </c>
      <c r="E74" s="1117"/>
      <c r="F74" s="1117"/>
      <c r="G74" s="1117"/>
      <c r="H74" s="1117"/>
      <c r="I74" s="1117"/>
      <c r="J74" s="1117"/>
    </row>
    <row r="75" spans="1:10" s="1142" customFormat="1" ht="12" customHeight="1" x14ac:dyDescent="0.2">
      <c r="A75" s="1133" t="s">
        <v>828</v>
      </c>
      <c r="B75" s="1134" t="s">
        <v>829</v>
      </c>
      <c r="C75" s="1163">
        <f>SUM(E75:J75)</f>
        <v>0</v>
      </c>
      <c r="D75" s="1158"/>
      <c r="E75" s="1117"/>
      <c r="F75" s="1117"/>
      <c r="G75" s="1117"/>
      <c r="H75" s="1117"/>
      <c r="I75" s="1117"/>
      <c r="J75" s="1117"/>
    </row>
    <row r="76" spans="1:10" s="1142" customFormat="1" ht="12" customHeight="1" thickBot="1" x14ac:dyDescent="0.25">
      <c r="A76" s="1143" t="s">
        <v>830</v>
      </c>
      <c r="B76" s="1144" t="s">
        <v>831</v>
      </c>
      <c r="C76" s="1163">
        <f>SUM(E76:J76)</f>
        <v>0</v>
      </c>
      <c r="D76" s="1158"/>
      <c r="E76" s="1117"/>
      <c r="F76" s="1117"/>
      <c r="G76" s="1117"/>
      <c r="H76" s="1117"/>
      <c r="I76" s="1117"/>
      <c r="J76" s="1117"/>
    </row>
    <row r="77" spans="1:10" s="1138" customFormat="1" ht="12" customHeight="1" thickBot="1" x14ac:dyDescent="0.2">
      <c r="A77" s="1164" t="s">
        <v>832</v>
      </c>
      <c r="B77" s="1145" t="s">
        <v>833</v>
      </c>
      <c r="C77" s="1130">
        <f>SUM(C78:C80)</f>
        <v>0</v>
      </c>
      <c r="D77" s="1131">
        <f>SUM(D78:D80)</f>
        <v>0</v>
      </c>
      <c r="E77" s="1117"/>
      <c r="F77" s="1137"/>
      <c r="G77" s="1137"/>
      <c r="H77" s="1137"/>
      <c r="I77" s="1137"/>
      <c r="J77" s="1137"/>
    </row>
    <row r="78" spans="1:10" s="1142" customFormat="1" ht="12" customHeight="1" x14ac:dyDescent="0.2">
      <c r="A78" s="1133" t="s">
        <v>834</v>
      </c>
      <c r="B78" s="1134" t="s">
        <v>835</v>
      </c>
      <c r="C78" s="1163">
        <f>SUM(E78:J78)</f>
        <v>0</v>
      </c>
      <c r="D78" s="1158"/>
      <c r="E78" s="1117"/>
      <c r="F78" s="1117"/>
      <c r="G78" s="1117"/>
      <c r="H78" s="1117"/>
      <c r="I78" s="1117"/>
      <c r="J78" s="1117"/>
    </row>
    <row r="79" spans="1:10" s="1142" customFormat="1" ht="12" customHeight="1" x14ac:dyDescent="0.2">
      <c r="A79" s="1139" t="s">
        <v>836</v>
      </c>
      <c r="B79" s="1140" t="s">
        <v>837</v>
      </c>
      <c r="C79" s="1163">
        <f>SUM(E79:J79)</f>
        <v>0</v>
      </c>
      <c r="D79" s="1158"/>
      <c r="E79" s="1117"/>
      <c r="F79" s="1117"/>
      <c r="G79" s="1117"/>
      <c r="H79" s="1117"/>
      <c r="I79" s="1117"/>
      <c r="J79" s="1117"/>
    </row>
    <row r="80" spans="1:10" s="1142" customFormat="1" ht="12" customHeight="1" thickBot="1" x14ac:dyDescent="0.25">
      <c r="A80" s="1143" t="s">
        <v>838</v>
      </c>
      <c r="B80" s="1144" t="s">
        <v>839</v>
      </c>
      <c r="C80" s="1163">
        <f>SUM(E80:J80)</f>
        <v>0</v>
      </c>
      <c r="D80" s="1158"/>
      <c r="E80" s="1117"/>
      <c r="F80" s="1117"/>
      <c r="G80" s="1117"/>
      <c r="H80" s="1117"/>
      <c r="I80" s="1117"/>
      <c r="J80" s="1117"/>
    </row>
    <row r="81" spans="1:16" s="1142" customFormat="1" ht="12" customHeight="1" thickBot="1" x14ac:dyDescent="0.2">
      <c r="A81" s="1164" t="s">
        <v>840</v>
      </c>
      <c r="B81" s="1145" t="s">
        <v>841</v>
      </c>
      <c r="C81" s="1130">
        <f>SUM(C82:C85)</f>
        <v>0</v>
      </c>
      <c r="D81" s="1131">
        <f>SUM(D82:D85)</f>
        <v>0</v>
      </c>
      <c r="E81" s="1117"/>
      <c r="F81" s="1117"/>
      <c r="G81" s="1117"/>
      <c r="H81" s="1117"/>
      <c r="I81" s="1117"/>
      <c r="J81" s="1117"/>
    </row>
    <row r="82" spans="1:16" s="1142" customFormat="1" ht="12" customHeight="1" x14ac:dyDescent="0.2">
      <c r="A82" s="1169" t="s">
        <v>842</v>
      </c>
      <c r="B82" s="1134" t="s">
        <v>843</v>
      </c>
      <c r="C82" s="1163">
        <f>SUM(E82:J82)</f>
        <v>0</v>
      </c>
      <c r="D82" s="1158"/>
      <c r="E82" s="1117"/>
      <c r="F82" s="1117"/>
      <c r="G82" s="1117"/>
      <c r="H82" s="1117"/>
      <c r="I82" s="1117"/>
      <c r="J82" s="1117"/>
    </row>
    <row r="83" spans="1:16" s="1142" customFormat="1" ht="12" customHeight="1" x14ac:dyDescent="0.2">
      <c r="A83" s="1170" t="s">
        <v>844</v>
      </c>
      <c r="B83" s="1140" t="s">
        <v>845</v>
      </c>
      <c r="C83" s="1163">
        <f>SUM(E83:J83)</f>
        <v>0</v>
      </c>
      <c r="D83" s="1158"/>
      <c r="E83" s="1117"/>
      <c r="F83" s="1117"/>
      <c r="G83" s="1117"/>
      <c r="H83" s="1117"/>
      <c r="I83" s="1117"/>
      <c r="J83" s="1117"/>
    </row>
    <row r="84" spans="1:16" s="1142" customFormat="1" ht="12" customHeight="1" x14ac:dyDescent="0.2">
      <c r="A84" s="1170" t="s">
        <v>846</v>
      </c>
      <c r="B84" s="1140" t="s">
        <v>847</v>
      </c>
      <c r="C84" s="1163">
        <f>SUM(E84:J84)</f>
        <v>0</v>
      </c>
      <c r="D84" s="1158"/>
      <c r="E84" s="1117"/>
      <c r="F84" s="1117"/>
      <c r="G84" s="1117"/>
      <c r="H84" s="1117"/>
      <c r="I84" s="1117"/>
      <c r="J84" s="1117"/>
    </row>
    <row r="85" spans="1:16" s="1138" customFormat="1" ht="12" customHeight="1" thickBot="1" x14ac:dyDescent="0.25">
      <c r="A85" s="1171" t="s">
        <v>848</v>
      </c>
      <c r="B85" s="1144" t="s">
        <v>849</v>
      </c>
      <c r="C85" s="1163">
        <f>SUM(E85:J85)</f>
        <v>0</v>
      </c>
      <c r="D85" s="1158"/>
      <c r="E85" s="1117"/>
      <c r="F85" s="1137"/>
      <c r="G85" s="1137"/>
      <c r="H85" s="1137"/>
      <c r="I85" s="1137"/>
      <c r="J85" s="1137"/>
    </row>
    <row r="86" spans="1:16" s="1138" customFormat="1" ht="12" customHeight="1" thickBot="1" x14ac:dyDescent="0.2">
      <c r="A86" s="1164" t="s">
        <v>850</v>
      </c>
      <c r="B86" s="1145" t="s">
        <v>851</v>
      </c>
      <c r="C86" s="1172"/>
      <c r="D86" s="1173"/>
      <c r="E86" s="1117"/>
      <c r="F86" s="1137"/>
      <c r="G86" s="1137"/>
      <c r="H86" s="1137"/>
      <c r="I86" s="1137"/>
      <c r="J86" s="1137"/>
    </row>
    <row r="87" spans="1:16" s="1138" customFormat="1" ht="12" customHeight="1" thickBot="1" x14ac:dyDescent="0.2">
      <c r="A87" s="1164" t="s">
        <v>852</v>
      </c>
      <c r="B87" s="1174" t="s">
        <v>853</v>
      </c>
      <c r="C87" s="1150">
        <f>+C65+C69+C74+C77+C81+C86</f>
        <v>0</v>
      </c>
      <c r="D87" s="1151">
        <f>+D65+D69+D74+D77+D81+D86</f>
        <v>0</v>
      </c>
      <c r="E87" s="1117"/>
      <c r="F87" s="1137"/>
      <c r="G87" s="1137"/>
      <c r="H87" s="1137"/>
      <c r="I87" s="1137"/>
      <c r="J87" s="1137"/>
    </row>
    <row r="88" spans="1:16" s="1138" customFormat="1" ht="12" customHeight="1" thickBot="1" x14ac:dyDescent="0.2">
      <c r="A88" s="1175" t="s">
        <v>854</v>
      </c>
      <c r="B88" s="1176" t="s">
        <v>855</v>
      </c>
      <c r="C88" s="1150">
        <f>+C64+C87</f>
        <v>16478500</v>
      </c>
      <c r="D88" s="1151"/>
      <c r="E88" s="1177">
        <f t="shared" ref="E88:J88" si="4">SUM(E8:E87)</f>
        <v>2540000</v>
      </c>
      <c r="F88" s="1177">
        <f t="shared" si="4"/>
        <v>0</v>
      </c>
      <c r="G88" s="1177">
        <f t="shared" si="4"/>
        <v>0</v>
      </c>
      <c r="H88" s="1177">
        <f t="shared" si="4"/>
        <v>0</v>
      </c>
      <c r="I88" s="1177">
        <f t="shared" si="4"/>
        <v>0</v>
      </c>
      <c r="J88" s="1177">
        <f t="shared" si="4"/>
        <v>0</v>
      </c>
      <c r="K88" s="1177"/>
      <c r="L88" s="1177"/>
      <c r="M88" s="1177"/>
      <c r="N88" s="1177"/>
      <c r="O88" s="1177"/>
      <c r="P88" s="1177"/>
    </row>
    <row r="89" spans="1:16" s="1142" customFormat="1" ht="15" customHeight="1" x14ac:dyDescent="0.25">
      <c r="A89" s="1178"/>
      <c r="B89" s="1179"/>
      <c r="C89" s="1180"/>
      <c r="D89" s="1180"/>
      <c r="E89" s="1181"/>
      <c r="F89" s="1182"/>
      <c r="G89" s="1182"/>
      <c r="H89" s="1182"/>
      <c r="I89" s="1182"/>
      <c r="J89" s="1182"/>
    </row>
    <row r="90" spans="1:16" ht="13.5" thickBot="1" x14ac:dyDescent="0.3">
      <c r="A90" s="1178"/>
      <c r="B90" s="1183"/>
      <c r="C90" s="1184"/>
      <c r="D90" s="1184"/>
    </row>
    <row r="91" spans="1:16" s="1125" customFormat="1" ht="16.5" customHeight="1" thickBot="1" x14ac:dyDescent="0.3">
      <c r="A91" s="1814" t="s">
        <v>856</v>
      </c>
      <c r="B91" s="1815"/>
      <c r="C91" s="1815"/>
      <c r="D91" s="1816"/>
      <c r="E91" s="1123"/>
      <c r="F91" s="1124"/>
      <c r="G91" s="1124"/>
      <c r="H91" s="1124"/>
      <c r="I91" s="1124"/>
      <c r="J91" s="1124"/>
    </row>
    <row r="92" spans="1:16" s="1189" customFormat="1" ht="12" customHeight="1" thickBot="1" x14ac:dyDescent="0.3">
      <c r="A92" s="1185" t="s">
        <v>696</v>
      </c>
      <c r="B92" s="1186" t="s">
        <v>857</v>
      </c>
      <c r="C92" s="1187">
        <f>SUM(C93:C97)</f>
        <v>16478500</v>
      </c>
      <c r="D92" s="1188">
        <f>SUM(D93:D97)</f>
        <v>0</v>
      </c>
      <c r="E92" s="1117"/>
      <c r="F92" s="1137"/>
      <c r="G92" s="1137"/>
      <c r="H92" s="1137"/>
      <c r="I92" s="1137"/>
      <c r="J92" s="1137"/>
    </row>
    <row r="93" spans="1:16" ht="12" customHeight="1" x14ac:dyDescent="0.25">
      <c r="A93" s="1190" t="s">
        <v>698</v>
      </c>
      <c r="B93" s="1191" t="s">
        <v>858</v>
      </c>
      <c r="C93" s="1192">
        <f>SUM(E93:J93)</f>
        <v>500000</v>
      </c>
      <c r="D93" s="1193"/>
      <c r="E93" s="1117">
        <v>500000</v>
      </c>
    </row>
    <row r="94" spans="1:16" ht="12" customHeight="1" x14ac:dyDescent="0.25">
      <c r="A94" s="1139" t="s">
        <v>700</v>
      </c>
      <c r="B94" s="1194" t="s">
        <v>25</v>
      </c>
      <c r="C94" s="1195">
        <f>SUM(E94:J94)</f>
        <v>87500</v>
      </c>
      <c r="D94" s="1148"/>
      <c r="E94" s="1117">
        <v>87500</v>
      </c>
    </row>
    <row r="95" spans="1:16" ht="12" customHeight="1" x14ac:dyDescent="0.25">
      <c r="A95" s="1139" t="s">
        <v>702</v>
      </c>
      <c r="B95" s="1194" t="s">
        <v>859</v>
      </c>
      <c r="C95" s="1196">
        <f>SUM(E95:J95)</f>
        <v>1651000</v>
      </c>
      <c r="D95" s="1149"/>
      <c r="E95" s="1117">
        <v>1651000</v>
      </c>
    </row>
    <row r="96" spans="1:16" ht="12" customHeight="1" x14ac:dyDescent="0.25">
      <c r="A96" s="1139" t="s">
        <v>704</v>
      </c>
      <c r="B96" s="1197" t="s">
        <v>216</v>
      </c>
      <c r="C96" s="1196">
        <f>SUM(E96:J96)</f>
        <v>0</v>
      </c>
      <c r="D96" s="1149"/>
    </row>
    <row r="97" spans="1:10" ht="12" customHeight="1" x14ac:dyDescent="0.25">
      <c r="A97" s="1139" t="s">
        <v>860</v>
      </c>
      <c r="B97" s="1198" t="s">
        <v>55</v>
      </c>
      <c r="C97" s="1199">
        <f>SUM(C98:C107)</f>
        <v>14240000</v>
      </c>
      <c r="D97" s="1149">
        <f>SUM(D98:D107)</f>
        <v>0</v>
      </c>
    </row>
    <row r="98" spans="1:10" ht="12" customHeight="1" x14ac:dyDescent="0.25">
      <c r="A98" s="1139" t="s">
        <v>708</v>
      </c>
      <c r="B98" s="1194" t="s">
        <v>861</v>
      </c>
      <c r="C98" s="1200">
        <f t="shared" ref="C98:C107" si="5">SUM(E98:J98)</f>
        <v>0</v>
      </c>
      <c r="D98" s="1149"/>
    </row>
    <row r="99" spans="1:10" ht="12" customHeight="1" x14ac:dyDescent="0.2">
      <c r="A99" s="1139" t="s">
        <v>862</v>
      </c>
      <c r="B99" s="1201" t="s">
        <v>863</v>
      </c>
      <c r="C99" s="1200">
        <f t="shared" si="5"/>
        <v>0</v>
      </c>
      <c r="D99" s="1149"/>
    </row>
    <row r="100" spans="1:10" ht="12" customHeight="1" x14ac:dyDescent="0.25">
      <c r="A100" s="1139" t="s">
        <v>864</v>
      </c>
      <c r="B100" s="1202" t="s">
        <v>865</v>
      </c>
      <c r="C100" s="1200">
        <f t="shared" si="5"/>
        <v>0</v>
      </c>
      <c r="D100" s="1149"/>
    </row>
    <row r="101" spans="1:10" ht="20.25" customHeight="1" x14ac:dyDescent="0.25">
      <c r="A101" s="1139" t="s">
        <v>866</v>
      </c>
      <c r="B101" s="1202" t="s">
        <v>867</v>
      </c>
      <c r="C101" s="1200">
        <f t="shared" si="5"/>
        <v>0</v>
      </c>
      <c r="D101" s="1149"/>
    </row>
    <row r="102" spans="1:10" ht="12" customHeight="1" x14ac:dyDescent="0.2">
      <c r="A102" s="1139" t="s">
        <v>868</v>
      </c>
      <c r="B102" s="1201" t="s">
        <v>869</v>
      </c>
      <c r="C102" s="1200">
        <f t="shared" si="5"/>
        <v>0</v>
      </c>
      <c r="D102" s="1149"/>
    </row>
    <row r="103" spans="1:10" ht="12" customHeight="1" x14ac:dyDescent="0.2">
      <c r="A103" s="1139" t="s">
        <v>870</v>
      </c>
      <c r="B103" s="1201" t="s">
        <v>871</v>
      </c>
      <c r="C103" s="1200">
        <f t="shared" si="5"/>
        <v>0</v>
      </c>
      <c r="D103" s="1149"/>
    </row>
    <row r="104" spans="1:10" ht="12" customHeight="1" x14ac:dyDescent="0.25">
      <c r="A104" s="1139" t="s">
        <v>872</v>
      </c>
      <c r="B104" s="1202" t="s">
        <v>873</v>
      </c>
      <c r="C104" s="1200">
        <f t="shared" si="5"/>
        <v>0</v>
      </c>
      <c r="D104" s="1149"/>
    </row>
    <row r="105" spans="1:10" ht="12" customHeight="1" x14ac:dyDescent="0.25">
      <c r="A105" s="1203" t="s">
        <v>874</v>
      </c>
      <c r="B105" s="1204" t="s">
        <v>875</v>
      </c>
      <c r="C105" s="1200">
        <f t="shared" si="5"/>
        <v>0</v>
      </c>
      <c r="D105" s="1149"/>
    </row>
    <row r="106" spans="1:10" ht="12" customHeight="1" x14ac:dyDescent="0.25">
      <c r="A106" s="1139" t="s">
        <v>876</v>
      </c>
      <c r="B106" s="1204" t="s">
        <v>877</v>
      </c>
      <c r="C106" s="1200">
        <f t="shared" si="5"/>
        <v>0</v>
      </c>
      <c r="D106" s="1149"/>
    </row>
    <row r="107" spans="1:10" ht="12" customHeight="1" thickBot="1" x14ac:dyDescent="0.3">
      <c r="A107" s="1166" t="s">
        <v>878</v>
      </c>
      <c r="B107" s="1205" t="s">
        <v>879</v>
      </c>
      <c r="C107" s="1200">
        <f t="shared" si="5"/>
        <v>14240000</v>
      </c>
      <c r="D107" s="1206"/>
      <c r="F107" s="1117">
        <v>1850000</v>
      </c>
      <c r="G107" s="1117">
        <v>450000</v>
      </c>
      <c r="H107" s="1117">
        <v>6120000</v>
      </c>
      <c r="I107" s="1117">
        <v>1020000</v>
      </c>
      <c r="J107" s="1117">
        <v>4800000</v>
      </c>
    </row>
    <row r="108" spans="1:10" ht="12" customHeight="1" thickBot="1" x14ac:dyDescent="0.3">
      <c r="A108" s="1128" t="s">
        <v>710</v>
      </c>
      <c r="B108" s="1207" t="s">
        <v>880</v>
      </c>
      <c r="C108" s="1130">
        <f>+C109+C111+C113</f>
        <v>0</v>
      </c>
      <c r="D108" s="1131">
        <f>+D109+D111+D113</f>
        <v>0</v>
      </c>
    </row>
    <row r="109" spans="1:10" ht="12" customHeight="1" x14ac:dyDescent="0.25">
      <c r="A109" s="1133" t="s">
        <v>712</v>
      </c>
      <c r="B109" s="1194" t="s">
        <v>63</v>
      </c>
      <c r="C109" s="1146">
        <f>SUM(E109:J109)</f>
        <v>0</v>
      </c>
      <c r="D109" s="1147"/>
    </row>
    <row r="110" spans="1:10" ht="12" customHeight="1" x14ac:dyDescent="0.25">
      <c r="A110" s="1133" t="s">
        <v>714</v>
      </c>
      <c r="B110" s="1208" t="s">
        <v>881</v>
      </c>
      <c r="C110" s="1146">
        <f>SUM(E110:J110)</f>
        <v>0</v>
      </c>
      <c r="D110" s="1147"/>
    </row>
    <row r="111" spans="1:10" ht="12" customHeight="1" x14ac:dyDescent="0.25">
      <c r="A111" s="1133" t="s">
        <v>716</v>
      </c>
      <c r="B111" s="1208" t="s">
        <v>153</v>
      </c>
      <c r="C111" s="1146">
        <f>SUM(E111:J111)</f>
        <v>0</v>
      </c>
      <c r="D111" s="1148"/>
    </row>
    <row r="112" spans="1:10" ht="12" customHeight="1" x14ac:dyDescent="0.25">
      <c r="A112" s="1133" t="s">
        <v>718</v>
      </c>
      <c r="B112" s="1208" t="s">
        <v>882</v>
      </c>
      <c r="C112" s="1146">
        <f>SUM(E112:J112)</f>
        <v>0</v>
      </c>
      <c r="D112" s="1148"/>
    </row>
    <row r="113" spans="1:10" ht="12" customHeight="1" x14ac:dyDescent="0.25">
      <c r="A113" s="1133" t="s">
        <v>720</v>
      </c>
      <c r="B113" s="1209" t="s">
        <v>883</v>
      </c>
      <c r="C113" s="1210">
        <f>SUM(C114:C121)</f>
        <v>0</v>
      </c>
      <c r="D113" s="1148">
        <f>SUM(D114:D121)</f>
        <v>0</v>
      </c>
    </row>
    <row r="114" spans="1:10" ht="12" customHeight="1" x14ac:dyDescent="0.25">
      <c r="A114" s="1133" t="s">
        <v>722</v>
      </c>
      <c r="B114" s="1211" t="s">
        <v>884</v>
      </c>
      <c r="C114" s="1210">
        <f t="shared" ref="C114:C121" si="6">SUM(E114:J114)</f>
        <v>0</v>
      </c>
      <c r="D114" s="1148"/>
    </row>
    <row r="115" spans="1:10" ht="12" customHeight="1" x14ac:dyDescent="0.25">
      <c r="A115" s="1133" t="s">
        <v>885</v>
      </c>
      <c r="B115" s="1212" t="s">
        <v>886</v>
      </c>
      <c r="C115" s="1210">
        <f t="shared" si="6"/>
        <v>0</v>
      </c>
      <c r="D115" s="1148"/>
    </row>
    <row r="116" spans="1:10" ht="12" customHeight="1" x14ac:dyDescent="0.25">
      <c r="A116" s="1133" t="s">
        <v>887</v>
      </c>
      <c r="B116" s="1202" t="s">
        <v>867</v>
      </c>
      <c r="C116" s="1210">
        <f t="shared" si="6"/>
        <v>0</v>
      </c>
      <c r="D116" s="1148"/>
    </row>
    <row r="117" spans="1:10" ht="12" customHeight="1" x14ac:dyDescent="0.25">
      <c r="A117" s="1133" t="s">
        <v>888</v>
      </c>
      <c r="B117" s="1202" t="s">
        <v>889</v>
      </c>
      <c r="C117" s="1210">
        <f t="shared" si="6"/>
        <v>0</v>
      </c>
      <c r="D117" s="1148"/>
    </row>
    <row r="118" spans="1:10" ht="12" customHeight="1" x14ac:dyDescent="0.25">
      <c r="A118" s="1133" t="s">
        <v>890</v>
      </c>
      <c r="B118" s="1202" t="s">
        <v>891</v>
      </c>
      <c r="C118" s="1210">
        <f t="shared" si="6"/>
        <v>0</v>
      </c>
      <c r="D118" s="1148"/>
    </row>
    <row r="119" spans="1:10" ht="12" customHeight="1" x14ac:dyDescent="0.25">
      <c r="A119" s="1133" t="s">
        <v>892</v>
      </c>
      <c r="B119" s="1202" t="s">
        <v>873</v>
      </c>
      <c r="C119" s="1210">
        <f t="shared" si="6"/>
        <v>0</v>
      </c>
      <c r="D119" s="1148"/>
    </row>
    <row r="120" spans="1:10" ht="12" customHeight="1" x14ac:dyDescent="0.25">
      <c r="A120" s="1133" t="s">
        <v>893</v>
      </c>
      <c r="B120" s="1202" t="s">
        <v>894</v>
      </c>
      <c r="C120" s="1210">
        <f t="shared" si="6"/>
        <v>0</v>
      </c>
      <c r="D120" s="1148"/>
    </row>
    <row r="121" spans="1:10" ht="12" customHeight="1" thickBot="1" x14ac:dyDescent="0.3">
      <c r="A121" s="1203" t="s">
        <v>895</v>
      </c>
      <c r="B121" s="1202" t="s">
        <v>896</v>
      </c>
      <c r="C121" s="1210">
        <f t="shared" si="6"/>
        <v>0</v>
      </c>
      <c r="D121" s="1149"/>
    </row>
    <row r="122" spans="1:10" ht="12" customHeight="1" thickBot="1" x14ac:dyDescent="0.3">
      <c r="A122" s="1128" t="s">
        <v>724</v>
      </c>
      <c r="B122" s="1213" t="s">
        <v>897</v>
      </c>
      <c r="C122" s="1130">
        <f>+C123+C124</f>
        <v>0</v>
      </c>
      <c r="D122" s="1131">
        <f>+D123+D124</f>
        <v>0</v>
      </c>
    </row>
    <row r="123" spans="1:10" ht="12" customHeight="1" x14ac:dyDescent="0.25">
      <c r="A123" s="1133" t="s">
        <v>726</v>
      </c>
      <c r="B123" s="1214" t="s">
        <v>898</v>
      </c>
      <c r="C123" s="1146">
        <f>SUM(E123:J123)</f>
        <v>0</v>
      </c>
      <c r="D123" s="1147"/>
    </row>
    <row r="124" spans="1:10" ht="12" customHeight="1" thickBot="1" x14ac:dyDescent="0.3">
      <c r="A124" s="1143" t="s">
        <v>728</v>
      </c>
      <c r="B124" s="1208" t="s">
        <v>899</v>
      </c>
      <c r="C124" s="1146">
        <f>SUM(E124:J124)</f>
        <v>0</v>
      </c>
      <c r="D124" s="1149"/>
    </row>
    <row r="125" spans="1:10" ht="12" customHeight="1" thickBot="1" x14ac:dyDescent="0.3">
      <c r="A125" s="1128" t="s">
        <v>900</v>
      </c>
      <c r="B125" s="1213" t="s">
        <v>901</v>
      </c>
      <c r="C125" s="1130">
        <f>+C92+C108+C122</f>
        <v>16478500</v>
      </c>
      <c r="D125" s="1131">
        <f>+D92+D108+D122</f>
        <v>0</v>
      </c>
    </row>
    <row r="126" spans="1:10" ht="12" customHeight="1" thickBot="1" x14ac:dyDescent="0.3">
      <c r="A126" s="1128" t="s">
        <v>753</v>
      </c>
      <c r="B126" s="1213" t="s">
        <v>902</v>
      </c>
      <c r="C126" s="1130">
        <f>+C127+C128+C129</f>
        <v>0</v>
      </c>
      <c r="D126" s="1131">
        <f>+D127+D128+D129</f>
        <v>0</v>
      </c>
    </row>
    <row r="127" spans="1:10" s="1189" customFormat="1" ht="12" customHeight="1" x14ac:dyDescent="0.25">
      <c r="A127" s="1133" t="s">
        <v>755</v>
      </c>
      <c r="B127" s="1214" t="s">
        <v>903</v>
      </c>
      <c r="C127" s="1210">
        <f>SUM(E127:J127)</f>
        <v>0</v>
      </c>
      <c r="D127" s="1148"/>
      <c r="E127" s="1117"/>
      <c r="F127" s="1137"/>
      <c r="G127" s="1137"/>
      <c r="H127" s="1137"/>
      <c r="I127" s="1137"/>
      <c r="J127" s="1137"/>
    </row>
    <row r="128" spans="1:10" ht="12" customHeight="1" x14ac:dyDescent="0.25">
      <c r="A128" s="1133" t="s">
        <v>757</v>
      </c>
      <c r="B128" s="1214" t="s">
        <v>904</v>
      </c>
      <c r="C128" s="1210">
        <f>SUM(E128:J128)</f>
        <v>0</v>
      </c>
      <c r="D128" s="1148"/>
    </row>
    <row r="129" spans="1:10" ht="12" customHeight="1" thickBot="1" x14ac:dyDescent="0.3">
      <c r="A129" s="1203" t="s">
        <v>759</v>
      </c>
      <c r="B129" s="1215" t="s">
        <v>905</v>
      </c>
      <c r="C129" s="1210">
        <f>SUM(E129:J129)</f>
        <v>0</v>
      </c>
      <c r="D129" s="1148"/>
    </row>
    <row r="130" spans="1:10" ht="12" customHeight="1" thickBot="1" x14ac:dyDescent="0.3">
      <c r="A130" s="1128" t="s">
        <v>775</v>
      </c>
      <c r="B130" s="1213" t="s">
        <v>906</v>
      </c>
      <c r="C130" s="1130">
        <f>+C131+C132+C133+C134</f>
        <v>0</v>
      </c>
      <c r="D130" s="1131">
        <f>+D131+D132+D133+D134</f>
        <v>0</v>
      </c>
    </row>
    <row r="131" spans="1:10" ht="12" customHeight="1" x14ac:dyDescent="0.25">
      <c r="A131" s="1133" t="s">
        <v>777</v>
      </c>
      <c r="B131" s="1214" t="s">
        <v>907</v>
      </c>
      <c r="C131" s="1210">
        <f>SUM(E131:J131)</f>
        <v>0</v>
      </c>
      <c r="D131" s="1148"/>
    </row>
    <row r="132" spans="1:10" ht="12" customHeight="1" x14ac:dyDescent="0.25">
      <c r="A132" s="1133" t="s">
        <v>779</v>
      </c>
      <c r="B132" s="1214" t="s">
        <v>908</v>
      </c>
      <c r="C132" s="1210">
        <f>SUM(E132:J132)</f>
        <v>0</v>
      </c>
      <c r="D132" s="1148"/>
    </row>
    <row r="133" spans="1:10" ht="12" customHeight="1" x14ac:dyDescent="0.25">
      <c r="A133" s="1133" t="s">
        <v>780</v>
      </c>
      <c r="B133" s="1214" t="s">
        <v>909</v>
      </c>
      <c r="C133" s="1210">
        <f>SUM(E133:J133)</f>
        <v>0</v>
      </c>
      <c r="D133" s="1148"/>
    </row>
    <row r="134" spans="1:10" s="1189" customFormat="1" ht="12" customHeight="1" thickBot="1" x14ac:dyDescent="0.3">
      <c r="A134" s="1203" t="s">
        <v>782</v>
      </c>
      <c r="B134" s="1215" t="s">
        <v>910</v>
      </c>
      <c r="C134" s="1210">
        <f>SUM(E134:J134)</f>
        <v>0</v>
      </c>
      <c r="D134" s="1148"/>
      <c r="E134" s="1117"/>
      <c r="F134" s="1137"/>
      <c r="G134" s="1137"/>
      <c r="H134" s="1137"/>
      <c r="I134" s="1137"/>
      <c r="J134" s="1137"/>
    </row>
    <row r="135" spans="1:10" ht="12" customHeight="1" thickBot="1" x14ac:dyDescent="0.3">
      <c r="A135" s="1128" t="s">
        <v>911</v>
      </c>
      <c r="B135" s="1213" t="s">
        <v>912</v>
      </c>
      <c r="C135" s="1150">
        <f>+C136+C137+C138+C139</f>
        <v>0</v>
      </c>
      <c r="D135" s="1151">
        <f>+D136+D137+D138+D139</f>
        <v>0</v>
      </c>
    </row>
    <row r="136" spans="1:10" x14ac:dyDescent="0.25">
      <c r="A136" s="1133" t="s">
        <v>788</v>
      </c>
      <c r="B136" s="1214" t="s">
        <v>913</v>
      </c>
      <c r="C136" s="1210">
        <f>SUM(E136:J136)</f>
        <v>0</v>
      </c>
      <c r="D136" s="1148"/>
    </row>
    <row r="137" spans="1:10" ht="12" customHeight="1" x14ac:dyDescent="0.25">
      <c r="A137" s="1133" t="s">
        <v>790</v>
      </c>
      <c r="B137" s="1214" t="s">
        <v>914</v>
      </c>
      <c r="C137" s="1210">
        <f>SUM(E137:J137)</f>
        <v>0</v>
      </c>
      <c r="D137" s="1148"/>
    </row>
    <row r="138" spans="1:10" s="1189" customFormat="1" ht="12" customHeight="1" x14ac:dyDescent="0.25">
      <c r="A138" s="1133" t="s">
        <v>792</v>
      </c>
      <c r="B138" s="1214" t="s">
        <v>915</v>
      </c>
      <c r="C138" s="1210">
        <f>SUM(E138:J138)</f>
        <v>0</v>
      </c>
      <c r="D138" s="1148"/>
      <c r="E138" s="1117"/>
      <c r="F138" s="1137"/>
      <c r="G138" s="1137"/>
      <c r="H138" s="1137"/>
      <c r="I138" s="1137"/>
      <c r="J138" s="1137"/>
    </row>
    <row r="139" spans="1:10" s="1189" customFormat="1" ht="12" customHeight="1" thickBot="1" x14ac:dyDescent="0.3">
      <c r="A139" s="1203" t="s">
        <v>794</v>
      </c>
      <c r="B139" s="1215" t="s">
        <v>916</v>
      </c>
      <c r="C139" s="1210">
        <f>SUM(E139:J139)</f>
        <v>0</v>
      </c>
      <c r="D139" s="1148"/>
      <c r="E139" s="1117"/>
      <c r="F139" s="1137"/>
      <c r="G139" s="1137"/>
      <c r="H139" s="1137"/>
      <c r="I139" s="1137"/>
      <c r="J139" s="1137"/>
    </row>
    <row r="140" spans="1:10" s="1189" customFormat="1" ht="12" customHeight="1" thickBot="1" x14ac:dyDescent="0.3">
      <c r="A140" s="1128" t="s">
        <v>796</v>
      </c>
      <c r="B140" s="1213" t="s">
        <v>917</v>
      </c>
      <c r="C140" s="1216">
        <f>+C141+C142+C143+C144</f>
        <v>0</v>
      </c>
      <c r="D140" s="1217">
        <f>+D141+D142+D143+D144</f>
        <v>0</v>
      </c>
      <c r="E140" s="1117"/>
      <c r="F140" s="1137"/>
      <c r="G140" s="1137"/>
      <c r="H140" s="1137"/>
      <c r="I140" s="1137"/>
      <c r="J140" s="1137"/>
    </row>
    <row r="141" spans="1:10" s="1189" customFormat="1" ht="12" customHeight="1" x14ac:dyDescent="0.25">
      <c r="A141" s="1133" t="s">
        <v>798</v>
      </c>
      <c r="B141" s="1214" t="s">
        <v>918</v>
      </c>
      <c r="C141" s="1210">
        <f>SUM(E141:J141)</f>
        <v>0</v>
      </c>
      <c r="D141" s="1148"/>
      <c r="E141" s="1117"/>
      <c r="F141" s="1137"/>
      <c r="G141" s="1137"/>
      <c r="H141" s="1137"/>
      <c r="I141" s="1137"/>
      <c r="J141" s="1137"/>
    </row>
    <row r="142" spans="1:10" s="1189" customFormat="1" ht="12" customHeight="1" x14ac:dyDescent="0.25">
      <c r="A142" s="1133" t="s">
        <v>800</v>
      </c>
      <c r="B142" s="1214" t="s">
        <v>919</v>
      </c>
      <c r="C142" s="1210">
        <f>SUM(E142:J142)</f>
        <v>0</v>
      </c>
      <c r="D142" s="1148"/>
      <c r="E142" s="1117"/>
      <c r="F142" s="1137"/>
      <c r="G142" s="1137"/>
      <c r="H142" s="1137"/>
      <c r="I142" s="1137"/>
      <c r="J142" s="1137"/>
    </row>
    <row r="143" spans="1:10" s="1189" customFormat="1" ht="12" customHeight="1" x14ac:dyDescent="0.25">
      <c r="A143" s="1133" t="s">
        <v>802</v>
      </c>
      <c r="B143" s="1214" t="s">
        <v>920</v>
      </c>
      <c r="C143" s="1210">
        <f>SUM(E143:J143)</f>
        <v>0</v>
      </c>
      <c r="D143" s="1148"/>
      <c r="E143" s="1117"/>
      <c r="F143" s="1137"/>
      <c r="G143" s="1137"/>
      <c r="H143" s="1137"/>
      <c r="I143" s="1137"/>
      <c r="J143" s="1137"/>
    </row>
    <row r="144" spans="1:10" ht="12.75" customHeight="1" thickBot="1" x14ac:dyDescent="0.3">
      <c r="A144" s="1133" t="s">
        <v>804</v>
      </c>
      <c r="B144" s="1214" t="s">
        <v>921</v>
      </c>
      <c r="C144" s="1210">
        <f>SUM(E144:J144)</f>
        <v>0</v>
      </c>
      <c r="D144" s="1148"/>
    </row>
    <row r="145" spans="1:16" ht="12" customHeight="1" thickBot="1" x14ac:dyDescent="0.3">
      <c r="A145" s="1128" t="s">
        <v>806</v>
      </c>
      <c r="B145" s="1213" t="s">
        <v>922</v>
      </c>
      <c r="C145" s="1218">
        <f>+C126+C130+C135+C140</f>
        <v>0</v>
      </c>
      <c r="D145" s="1219">
        <f>+D126+D130+D135+D140</f>
        <v>0</v>
      </c>
    </row>
    <row r="146" spans="1:16" s="1223" customFormat="1" ht="15" customHeight="1" thickBot="1" x14ac:dyDescent="0.3">
      <c r="A146" s="1220" t="s">
        <v>923</v>
      </c>
      <c r="B146" s="1221" t="s">
        <v>924</v>
      </c>
      <c r="C146" s="1218">
        <f>+C125+C145</f>
        <v>16478500</v>
      </c>
      <c r="D146" s="1219"/>
      <c r="E146" s="1222">
        <f t="shared" ref="E146:J146" si="7">SUM(E93:E145)</f>
        <v>2238500</v>
      </c>
      <c r="F146" s="1222">
        <f t="shared" si="7"/>
        <v>1850000</v>
      </c>
      <c r="G146" s="1222">
        <f t="shared" si="7"/>
        <v>450000</v>
      </c>
      <c r="H146" s="1222">
        <f t="shared" si="7"/>
        <v>6120000</v>
      </c>
      <c r="I146" s="1222">
        <f t="shared" si="7"/>
        <v>1020000</v>
      </c>
      <c r="J146" s="1222">
        <f t="shared" si="7"/>
        <v>4800000</v>
      </c>
      <c r="K146" s="1222"/>
      <c r="L146" s="1222"/>
      <c r="M146" s="1222"/>
      <c r="N146" s="1222"/>
      <c r="O146" s="1222"/>
      <c r="P146" s="1222"/>
    </row>
    <row r="147" spans="1:16" ht="13.5" thickBot="1" x14ac:dyDescent="0.3"/>
    <row r="148" spans="1:16" ht="15" customHeight="1" thickBot="1" x14ac:dyDescent="0.3">
      <c r="A148" s="1227" t="s">
        <v>925</v>
      </c>
      <c r="B148" s="1228"/>
      <c r="C148" s="1229"/>
      <c r="D148" s="1230"/>
    </row>
    <row r="149" spans="1:16" ht="14.25" customHeight="1" thickBot="1" x14ac:dyDescent="0.3">
      <c r="A149" s="1227" t="s">
        <v>926</v>
      </c>
      <c r="B149" s="1228"/>
      <c r="C149" s="1229"/>
      <c r="D149" s="1230"/>
    </row>
    <row r="150" spans="1:16" x14ac:dyDescent="0.2">
      <c r="A150" s="1231"/>
    </row>
    <row r="153" spans="1:16" x14ac:dyDescent="0.25">
      <c r="C153" s="1232">
        <f>C88-C146</f>
        <v>0</v>
      </c>
    </row>
  </sheetData>
  <sheetProtection selectLockedCells="1" selectUnlockedCells="1"/>
  <mergeCells count="5">
    <mergeCell ref="A1:D1"/>
    <mergeCell ref="C2:D3"/>
    <mergeCell ref="C4:D4"/>
    <mergeCell ref="A7:D7"/>
    <mergeCell ref="A91:D9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2" manualBreakCount="2">
    <brk id="69" max="3" man="1"/>
    <brk id="8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N146"/>
  <sheetViews>
    <sheetView view="pageBreakPreview" zoomScaleNormal="100" zoomScaleSheetLayoutView="100" workbookViewId="0">
      <selection activeCell="G33" sqref="G33"/>
    </sheetView>
  </sheetViews>
  <sheetFormatPr defaultRowHeight="12.75" x14ac:dyDescent="0.25"/>
  <cols>
    <col min="1" max="1" width="11.85546875" style="1224" customWidth="1"/>
    <col min="2" max="2" width="56.28515625" style="1225" customWidth="1"/>
    <col min="3" max="3" width="14.7109375" style="1225" customWidth="1"/>
    <col min="4" max="4" width="15.140625" style="1225" customWidth="1"/>
    <col min="5" max="11" width="9.140625" style="1118" hidden="1" customWidth="1"/>
    <col min="12" max="19" width="9.140625" style="1118" customWidth="1"/>
    <col min="20" max="256" width="9.140625" style="1118"/>
    <col min="257" max="257" width="11.85546875" style="1118" customWidth="1"/>
    <col min="258" max="258" width="56.28515625" style="1118" customWidth="1"/>
    <col min="259" max="259" width="14.7109375" style="1118" customWidth="1"/>
    <col min="260" max="260" width="15.140625" style="1118" customWidth="1"/>
    <col min="261" max="268" width="9.140625" style="1118" customWidth="1"/>
    <col min="269" max="512" width="9.140625" style="1118"/>
    <col min="513" max="513" width="11.85546875" style="1118" customWidth="1"/>
    <col min="514" max="514" width="56.28515625" style="1118" customWidth="1"/>
    <col min="515" max="515" width="14.7109375" style="1118" customWidth="1"/>
    <col min="516" max="516" width="15.140625" style="1118" customWidth="1"/>
    <col min="517" max="524" width="9.140625" style="1118" customWidth="1"/>
    <col min="525" max="768" width="9.140625" style="1118"/>
    <col min="769" max="769" width="11.85546875" style="1118" customWidth="1"/>
    <col min="770" max="770" width="56.28515625" style="1118" customWidth="1"/>
    <col min="771" max="771" width="14.7109375" style="1118" customWidth="1"/>
    <col min="772" max="772" width="15.140625" style="1118" customWidth="1"/>
    <col min="773" max="780" width="9.140625" style="1118" customWidth="1"/>
    <col min="781" max="1024" width="9.140625" style="1118"/>
    <col min="1025" max="1025" width="11.85546875" style="1118" customWidth="1"/>
    <col min="1026" max="1026" width="56.28515625" style="1118" customWidth="1"/>
    <col min="1027" max="1027" width="14.7109375" style="1118" customWidth="1"/>
    <col min="1028" max="1028" width="15.140625" style="1118" customWidth="1"/>
    <col min="1029" max="1036" width="9.140625" style="1118" customWidth="1"/>
    <col min="1037" max="1280" width="9.140625" style="1118"/>
    <col min="1281" max="1281" width="11.85546875" style="1118" customWidth="1"/>
    <col min="1282" max="1282" width="56.28515625" style="1118" customWidth="1"/>
    <col min="1283" max="1283" width="14.7109375" style="1118" customWidth="1"/>
    <col min="1284" max="1284" width="15.140625" style="1118" customWidth="1"/>
    <col min="1285" max="1292" width="9.140625" style="1118" customWidth="1"/>
    <col min="1293" max="1536" width="9.140625" style="1118"/>
    <col min="1537" max="1537" width="11.85546875" style="1118" customWidth="1"/>
    <col min="1538" max="1538" width="56.28515625" style="1118" customWidth="1"/>
    <col min="1539" max="1539" width="14.7109375" style="1118" customWidth="1"/>
    <col min="1540" max="1540" width="15.140625" style="1118" customWidth="1"/>
    <col min="1541" max="1548" width="9.140625" style="1118" customWidth="1"/>
    <col min="1549" max="1792" width="9.140625" style="1118"/>
    <col min="1793" max="1793" width="11.85546875" style="1118" customWidth="1"/>
    <col min="1794" max="1794" width="56.28515625" style="1118" customWidth="1"/>
    <col min="1795" max="1795" width="14.7109375" style="1118" customWidth="1"/>
    <col min="1796" max="1796" width="15.140625" style="1118" customWidth="1"/>
    <col min="1797" max="1804" width="9.140625" style="1118" customWidth="1"/>
    <col min="1805" max="2048" width="9.140625" style="1118"/>
    <col min="2049" max="2049" width="11.85546875" style="1118" customWidth="1"/>
    <col min="2050" max="2050" width="56.28515625" style="1118" customWidth="1"/>
    <col min="2051" max="2051" width="14.7109375" style="1118" customWidth="1"/>
    <col min="2052" max="2052" width="15.140625" style="1118" customWidth="1"/>
    <col min="2053" max="2060" width="9.140625" style="1118" customWidth="1"/>
    <col min="2061" max="2304" width="9.140625" style="1118"/>
    <col min="2305" max="2305" width="11.85546875" style="1118" customWidth="1"/>
    <col min="2306" max="2306" width="56.28515625" style="1118" customWidth="1"/>
    <col min="2307" max="2307" width="14.7109375" style="1118" customWidth="1"/>
    <col min="2308" max="2308" width="15.140625" style="1118" customWidth="1"/>
    <col min="2309" max="2316" width="9.140625" style="1118" customWidth="1"/>
    <col min="2317" max="2560" width="9.140625" style="1118"/>
    <col min="2561" max="2561" width="11.85546875" style="1118" customWidth="1"/>
    <col min="2562" max="2562" width="56.28515625" style="1118" customWidth="1"/>
    <col min="2563" max="2563" width="14.7109375" style="1118" customWidth="1"/>
    <col min="2564" max="2564" width="15.140625" style="1118" customWidth="1"/>
    <col min="2565" max="2572" width="9.140625" style="1118" customWidth="1"/>
    <col min="2573" max="2816" width="9.140625" style="1118"/>
    <col min="2817" max="2817" width="11.85546875" style="1118" customWidth="1"/>
    <col min="2818" max="2818" width="56.28515625" style="1118" customWidth="1"/>
    <col min="2819" max="2819" width="14.7109375" style="1118" customWidth="1"/>
    <col min="2820" max="2820" width="15.140625" style="1118" customWidth="1"/>
    <col min="2821" max="2828" width="9.140625" style="1118" customWidth="1"/>
    <col min="2829" max="3072" width="9.140625" style="1118"/>
    <col min="3073" max="3073" width="11.85546875" style="1118" customWidth="1"/>
    <col min="3074" max="3074" width="56.28515625" style="1118" customWidth="1"/>
    <col min="3075" max="3075" width="14.7109375" style="1118" customWidth="1"/>
    <col min="3076" max="3076" width="15.140625" style="1118" customWidth="1"/>
    <col min="3077" max="3084" width="9.140625" style="1118" customWidth="1"/>
    <col min="3085" max="3328" width="9.140625" style="1118"/>
    <col min="3329" max="3329" width="11.85546875" style="1118" customWidth="1"/>
    <col min="3330" max="3330" width="56.28515625" style="1118" customWidth="1"/>
    <col min="3331" max="3331" width="14.7109375" style="1118" customWidth="1"/>
    <col min="3332" max="3332" width="15.140625" style="1118" customWidth="1"/>
    <col min="3333" max="3340" width="9.140625" style="1118" customWidth="1"/>
    <col min="3341" max="3584" width="9.140625" style="1118"/>
    <col min="3585" max="3585" width="11.85546875" style="1118" customWidth="1"/>
    <col min="3586" max="3586" width="56.28515625" style="1118" customWidth="1"/>
    <col min="3587" max="3587" width="14.7109375" style="1118" customWidth="1"/>
    <col min="3588" max="3588" width="15.140625" style="1118" customWidth="1"/>
    <col min="3589" max="3596" width="9.140625" style="1118" customWidth="1"/>
    <col min="3597" max="3840" width="9.140625" style="1118"/>
    <col min="3841" max="3841" width="11.85546875" style="1118" customWidth="1"/>
    <col min="3842" max="3842" width="56.28515625" style="1118" customWidth="1"/>
    <col min="3843" max="3843" width="14.7109375" style="1118" customWidth="1"/>
    <col min="3844" max="3844" width="15.140625" style="1118" customWidth="1"/>
    <col min="3845" max="3852" width="9.140625" style="1118" customWidth="1"/>
    <col min="3853" max="4096" width="9.140625" style="1118"/>
    <col min="4097" max="4097" width="11.85546875" style="1118" customWidth="1"/>
    <col min="4098" max="4098" width="56.28515625" style="1118" customWidth="1"/>
    <col min="4099" max="4099" width="14.7109375" style="1118" customWidth="1"/>
    <col min="4100" max="4100" width="15.140625" style="1118" customWidth="1"/>
    <col min="4101" max="4108" width="9.140625" style="1118" customWidth="1"/>
    <col min="4109" max="4352" width="9.140625" style="1118"/>
    <col min="4353" max="4353" width="11.85546875" style="1118" customWidth="1"/>
    <col min="4354" max="4354" width="56.28515625" style="1118" customWidth="1"/>
    <col min="4355" max="4355" width="14.7109375" style="1118" customWidth="1"/>
    <col min="4356" max="4356" width="15.140625" style="1118" customWidth="1"/>
    <col min="4357" max="4364" width="9.140625" style="1118" customWidth="1"/>
    <col min="4365" max="4608" width="9.140625" style="1118"/>
    <col min="4609" max="4609" width="11.85546875" style="1118" customWidth="1"/>
    <col min="4610" max="4610" width="56.28515625" style="1118" customWidth="1"/>
    <col min="4611" max="4611" width="14.7109375" style="1118" customWidth="1"/>
    <col min="4612" max="4612" width="15.140625" style="1118" customWidth="1"/>
    <col min="4613" max="4620" width="9.140625" style="1118" customWidth="1"/>
    <col min="4621" max="4864" width="9.140625" style="1118"/>
    <col min="4865" max="4865" width="11.85546875" style="1118" customWidth="1"/>
    <col min="4866" max="4866" width="56.28515625" style="1118" customWidth="1"/>
    <col min="4867" max="4867" width="14.7109375" style="1118" customWidth="1"/>
    <col min="4868" max="4868" width="15.140625" style="1118" customWidth="1"/>
    <col min="4869" max="4876" width="9.140625" style="1118" customWidth="1"/>
    <col min="4877" max="5120" width="9.140625" style="1118"/>
    <col min="5121" max="5121" width="11.85546875" style="1118" customWidth="1"/>
    <col min="5122" max="5122" width="56.28515625" style="1118" customWidth="1"/>
    <col min="5123" max="5123" width="14.7109375" style="1118" customWidth="1"/>
    <col min="5124" max="5124" width="15.140625" style="1118" customWidth="1"/>
    <col min="5125" max="5132" width="9.140625" style="1118" customWidth="1"/>
    <col min="5133" max="5376" width="9.140625" style="1118"/>
    <col min="5377" max="5377" width="11.85546875" style="1118" customWidth="1"/>
    <col min="5378" max="5378" width="56.28515625" style="1118" customWidth="1"/>
    <col min="5379" max="5379" width="14.7109375" style="1118" customWidth="1"/>
    <col min="5380" max="5380" width="15.140625" style="1118" customWidth="1"/>
    <col min="5381" max="5388" width="9.140625" style="1118" customWidth="1"/>
    <col min="5389" max="5632" width="9.140625" style="1118"/>
    <col min="5633" max="5633" width="11.85546875" style="1118" customWidth="1"/>
    <col min="5634" max="5634" width="56.28515625" style="1118" customWidth="1"/>
    <col min="5635" max="5635" width="14.7109375" style="1118" customWidth="1"/>
    <col min="5636" max="5636" width="15.140625" style="1118" customWidth="1"/>
    <col min="5637" max="5644" width="9.140625" style="1118" customWidth="1"/>
    <col min="5645" max="5888" width="9.140625" style="1118"/>
    <col min="5889" max="5889" width="11.85546875" style="1118" customWidth="1"/>
    <col min="5890" max="5890" width="56.28515625" style="1118" customWidth="1"/>
    <col min="5891" max="5891" width="14.7109375" style="1118" customWidth="1"/>
    <col min="5892" max="5892" width="15.140625" style="1118" customWidth="1"/>
    <col min="5893" max="5900" width="9.140625" style="1118" customWidth="1"/>
    <col min="5901" max="6144" width="9.140625" style="1118"/>
    <col min="6145" max="6145" width="11.85546875" style="1118" customWidth="1"/>
    <col min="6146" max="6146" width="56.28515625" style="1118" customWidth="1"/>
    <col min="6147" max="6147" width="14.7109375" style="1118" customWidth="1"/>
    <col min="6148" max="6148" width="15.140625" style="1118" customWidth="1"/>
    <col min="6149" max="6156" width="9.140625" style="1118" customWidth="1"/>
    <col min="6157" max="6400" width="9.140625" style="1118"/>
    <col min="6401" max="6401" width="11.85546875" style="1118" customWidth="1"/>
    <col min="6402" max="6402" width="56.28515625" style="1118" customWidth="1"/>
    <col min="6403" max="6403" width="14.7109375" style="1118" customWidth="1"/>
    <col min="6404" max="6404" width="15.140625" style="1118" customWidth="1"/>
    <col min="6405" max="6412" width="9.140625" style="1118" customWidth="1"/>
    <col min="6413" max="6656" width="9.140625" style="1118"/>
    <col min="6657" max="6657" width="11.85546875" style="1118" customWidth="1"/>
    <col min="6658" max="6658" width="56.28515625" style="1118" customWidth="1"/>
    <col min="6659" max="6659" width="14.7109375" style="1118" customWidth="1"/>
    <col min="6660" max="6660" width="15.140625" style="1118" customWidth="1"/>
    <col min="6661" max="6668" width="9.140625" style="1118" customWidth="1"/>
    <col min="6669" max="6912" width="9.140625" style="1118"/>
    <col min="6913" max="6913" width="11.85546875" style="1118" customWidth="1"/>
    <col min="6914" max="6914" width="56.28515625" style="1118" customWidth="1"/>
    <col min="6915" max="6915" width="14.7109375" style="1118" customWidth="1"/>
    <col min="6916" max="6916" width="15.140625" style="1118" customWidth="1"/>
    <col min="6917" max="6924" width="9.140625" style="1118" customWidth="1"/>
    <col min="6925" max="7168" width="9.140625" style="1118"/>
    <col min="7169" max="7169" width="11.85546875" style="1118" customWidth="1"/>
    <col min="7170" max="7170" width="56.28515625" style="1118" customWidth="1"/>
    <col min="7171" max="7171" width="14.7109375" style="1118" customWidth="1"/>
    <col min="7172" max="7172" width="15.140625" style="1118" customWidth="1"/>
    <col min="7173" max="7180" width="9.140625" style="1118" customWidth="1"/>
    <col min="7181" max="7424" width="9.140625" style="1118"/>
    <col min="7425" max="7425" width="11.85546875" style="1118" customWidth="1"/>
    <col min="7426" max="7426" width="56.28515625" style="1118" customWidth="1"/>
    <col min="7427" max="7427" width="14.7109375" style="1118" customWidth="1"/>
    <col min="7428" max="7428" width="15.140625" style="1118" customWidth="1"/>
    <col min="7429" max="7436" width="9.140625" style="1118" customWidth="1"/>
    <col min="7437" max="7680" width="9.140625" style="1118"/>
    <col min="7681" max="7681" width="11.85546875" style="1118" customWidth="1"/>
    <col min="7682" max="7682" width="56.28515625" style="1118" customWidth="1"/>
    <col min="7683" max="7683" width="14.7109375" style="1118" customWidth="1"/>
    <col min="7684" max="7684" width="15.140625" style="1118" customWidth="1"/>
    <col min="7685" max="7692" width="9.140625" style="1118" customWidth="1"/>
    <col min="7693" max="7936" width="9.140625" style="1118"/>
    <col min="7937" max="7937" width="11.85546875" style="1118" customWidth="1"/>
    <col min="7938" max="7938" width="56.28515625" style="1118" customWidth="1"/>
    <col min="7939" max="7939" width="14.7109375" style="1118" customWidth="1"/>
    <col min="7940" max="7940" width="15.140625" style="1118" customWidth="1"/>
    <col min="7941" max="7948" width="9.140625" style="1118" customWidth="1"/>
    <col min="7949" max="8192" width="9.140625" style="1118"/>
    <col min="8193" max="8193" width="11.85546875" style="1118" customWidth="1"/>
    <col min="8194" max="8194" width="56.28515625" style="1118" customWidth="1"/>
    <col min="8195" max="8195" width="14.7109375" style="1118" customWidth="1"/>
    <col min="8196" max="8196" width="15.140625" style="1118" customWidth="1"/>
    <col min="8197" max="8204" width="9.140625" style="1118" customWidth="1"/>
    <col min="8205" max="8448" width="9.140625" style="1118"/>
    <col min="8449" max="8449" width="11.85546875" style="1118" customWidth="1"/>
    <col min="8450" max="8450" width="56.28515625" style="1118" customWidth="1"/>
    <col min="8451" max="8451" width="14.7109375" style="1118" customWidth="1"/>
    <col min="8452" max="8452" width="15.140625" style="1118" customWidth="1"/>
    <col min="8453" max="8460" width="9.140625" style="1118" customWidth="1"/>
    <col min="8461" max="8704" width="9.140625" style="1118"/>
    <col min="8705" max="8705" width="11.85546875" style="1118" customWidth="1"/>
    <col min="8706" max="8706" width="56.28515625" style="1118" customWidth="1"/>
    <col min="8707" max="8707" width="14.7109375" style="1118" customWidth="1"/>
    <col min="8708" max="8708" width="15.140625" style="1118" customWidth="1"/>
    <col min="8709" max="8716" width="9.140625" style="1118" customWidth="1"/>
    <col min="8717" max="8960" width="9.140625" style="1118"/>
    <col min="8961" max="8961" width="11.85546875" style="1118" customWidth="1"/>
    <col min="8962" max="8962" width="56.28515625" style="1118" customWidth="1"/>
    <col min="8963" max="8963" width="14.7109375" style="1118" customWidth="1"/>
    <col min="8964" max="8964" width="15.140625" style="1118" customWidth="1"/>
    <col min="8965" max="8972" width="9.140625" style="1118" customWidth="1"/>
    <col min="8973" max="9216" width="9.140625" style="1118"/>
    <col min="9217" max="9217" width="11.85546875" style="1118" customWidth="1"/>
    <col min="9218" max="9218" width="56.28515625" style="1118" customWidth="1"/>
    <col min="9219" max="9219" width="14.7109375" style="1118" customWidth="1"/>
    <col min="9220" max="9220" width="15.140625" style="1118" customWidth="1"/>
    <col min="9221" max="9228" width="9.140625" style="1118" customWidth="1"/>
    <col min="9229" max="9472" width="9.140625" style="1118"/>
    <col min="9473" max="9473" width="11.85546875" style="1118" customWidth="1"/>
    <col min="9474" max="9474" width="56.28515625" style="1118" customWidth="1"/>
    <col min="9475" max="9475" width="14.7109375" style="1118" customWidth="1"/>
    <col min="9476" max="9476" width="15.140625" style="1118" customWidth="1"/>
    <col min="9477" max="9484" width="9.140625" style="1118" customWidth="1"/>
    <col min="9485" max="9728" width="9.140625" style="1118"/>
    <col min="9729" max="9729" width="11.85546875" style="1118" customWidth="1"/>
    <col min="9730" max="9730" width="56.28515625" style="1118" customWidth="1"/>
    <col min="9731" max="9731" width="14.7109375" style="1118" customWidth="1"/>
    <col min="9732" max="9732" width="15.140625" style="1118" customWidth="1"/>
    <col min="9733" max="9740" width="9.140625" style="1118" customWidth="1"/>
    <col min="9741" max="9984" width="9.140625" style="1118"/>
    <col min="9985" max="9985" width="11.85546875" style="1118" customWidth="1"/>
    <col min="9986" max="9986" width="56.28515625" style="1118" customWidth="1"/>
    <col min="9987" max="9987" width="14.7109375" style="1118" customWidth="1"/>
    <col min="9988" max="9988" width="15.140625" style="1118" customWidth="1"/>
    <col min="9989" max="9996" width="9.140625" style="1118" customWidth="1"/>
    <col min="9997" max="10240" width="9.140625" style="1118"/>
    <col min="10241" max="10241" width="11.85546875" style="1118" customWidth="1"/>
    <col min="10242" max="10242" width="56.28515625" style="1118" customWidth="1"/>
    <col min="10243" max="10243" width="14.7109375" style="1118" customWidth="1"/>
    <col min="10244" max="10244" width="15.140625" style="1118" customWidth="1"/>
    <col min="10245" max="10252" width="9.140625" style="1118" customWidth="1"/>
    <col min="10253" max="10496" width="9.140625" style="1118"/>
    <col min="10497" max="10497" width="11.85546875" style="1118" customWidth="1"/>
    <col min="10498" max="10498" width="56.28515625" style="1118" customWidth="1"/>
    <col min="10499" max="10499" width="14.7109375" style="1118" customWidth="1"/>
    <col min="10500" max="10500" width="15.140625" style="1118" customWidth="1"/>
    <col min="10501" max="10508" width="9.140625" style="1118" customWidth="1"/>
    <col min="10509" max="10752" width="9.140625" style="1118"/>
    <col min="10753" max="10753" width="11.85546875" style="1118" customWidth="1"/>
    <col min="10754" max="10754" width="56.28515625" style="1118" customWidth="1"/>
    <col min="10755" max="10755" width="14.7109375" style="1118" customWidth="1"/>
    <col min="10756" max="10756" width="15.140625" style="1118" customWidth="1"/>
    <col min="10757" max="10764" width="9.140625" style="1118" customWidth="1"/>
    <col min="10765" max="11008" width="9.140625" style="1118"/>
    <col min="11009" max="11009" width="11.85546875" style="1118" customWidth="1"/>
    <col min="11010" max="11010" width="56.28515625" style="1118" customWidth="1"/>
    <col min="11011" max="11011" width="14.7109375" style="1118" customWidth="1"/>
    <col min="11012" max="11012" width="15.140625" style="1118" customWidth="1"/>
    <col min="11013" max="11020" width="9.140625" style="1118" customWidth="1"/>
    <col min="11021" max="11264" width="9.140625" style="1118"/>
    <col min="11265" max="11265" width="11.85546875" style="1118" customWidth="1"/>
    <col min="11266" max="11266" width="56.28515625" style="1118" customWidth="1"/>
    <col min="11267" max="11267" width="14.7109375" style="1118" customWidth="1"/>
    <col min="11268" max="11268" width="15.140625" style="1118" customWidth="1"/>
    <col min="11269" max="11276" width="9.140625" style="1118" customWidth="1"/>
    <col min="11277" max="11520" width="9.140625" style="1118"/>
    <col min="11521" max="11521" width="11.85546875" style="1118" customWidth="1"/>
    <col min="11522" max="11522" width="56.28515625" style="1118" customWidth="1"/>
    <col min="11523" max="11523" width="14.7109375" style="1118" customWidth="1"/>
    <col min="11524" max="11524" width="15.140625" style="1118" customWidth="1"/>
    <col min="11525" max="11532" width="9.140625" style="1118" customWidth="1"/>
    <col min="11533" max="11776" width="9.140625" style="1118"/>
    <col min="11777" max="11777" width="11.85546875" style="1118" customWidth="1"/>
    <col min="11778" max="11778" width="56.28515625" style="1118" customWidth="1"/>
    <col min="11779" max="11779" width="14.7109375" style="1118" customWidth="1"/>
    <col min="11780" max="11780" width="15.140625" style="1118" customWidth="1"/>
    <col min="11781" max="11788" width="9.140625" style="1118" customWidth="1"/>
    <col min="11789" max="12032" width="9.140625" style="1118"/>
    <col min="12033" max="12033" width="11.85546875" style="1118" customWidth="1"/>
    <col min="12034" max="12034" width="56.28515625" style="1118" customWidth="1"/>
    <col min="12035" max="12035" width="14.7109375" style="1118" customWidth="1"/>
    <col min="12036" max="12036" width="15.140625" style="1118" customWidth="1"/>
    <col min="12037" max="12044" width="9.140625" style="1118" customWidth="1"/>
    <col min="12045" max="12288" width="9.140625" style="1118"/>
    <col min="12289" max="12289" width="11.85546875" style="1118" customWidth="1"/>
    <col min="12290" max="12290" width="56.28515625" style="1118" customWidth="1"/>
    <col min="12291" max="12291" width="14.7109375" style="1118" customWidth="1"/>
    <col min="12292" max="12292" width="15.140625" style="1118" customWidth="1"/>
    <col min="12293" max="12300" width="9.140625" style="1118" customWidth="1"/>
    <col min="12301" max="12544" width="9.140625" style="1118"/>
    <col min="12545" max="12545" width="11.85546875" style="1118" customWidth="1"/>
    <col min="12546" max="12546" width="56.28515625" style="1118" customWidth="1"/>
    <col min="12547" max="12547" width="14.7109375" style="1118" customWidth="1"/>
    <col min="12548" max="12548" width="15.140625" style="1118" customWidth="1"/>
    <col min="12549" max="12556" width="9.140625" style="1118" customWidth="1"/>
    <col min="12557" max="12800" width="9.140625" style="1118"/>
    <col min="12801" max="12801" width="11.85546875" style="1118" customWidth="1"/>
    <col min="12802" max="12802" width="56.28515625" style="1118" customWidth="1"/>
    <col min="12803" max="12803" width="14.7109375" style="1118" customWidth="1"/>
    <col min="12804" max="12804" width="15.140625" style="1118" customWidth="1"/>
    <col min="12805" max="12812" width="9.140625" style="1118" customWidth="1"/>
    <col min="12813" max="13056" width="9.140625" style="1118"/>
    <col min="13057" max="13057" width="11.85546875" style="1118" customWidth="1"/>
    <col min="13058" max="13058" width="56.28515625" style="1118" customWidth="1"/>
    <col min="13059" max="13059" width="14.7109375" style="1118" customWidth="1"/>
    <col min="13060" max="13060" width="15.140625" style="1118" customWidth="1"/>
    <col min="13061" max="13068" width="9.140625" style="1118" customWidth="1"/>
    <col min="13069" max="13312" width="9.140625" style="1118"/>
    <col min="13313" max="13313" width="11.85546875" style="1118" customWidth="1"/>
    <col min="13314" max="13314" width="56.28515625" style="1118" customWidth="1"/>
    <col min="13315" max="13315" width="14.7109375" style="1118" customWidth="1"/>
    <col min="13316" max="13316" width="15.140625" style="1118" customWidth="1"/>
    <col min="13317" max="13324" width="9.140625" style="1118" customWidth="1"/>
    <col min="13325" max="13568" width="9.140625" style="1118"/>
    <col min="13569" max="13569" width="11.85546875" style="1118" customWidth="1"/>
    <col min="13570" max="13570" width="56.28515625" style="1118" customWidth="1"/>
    <col min="13571" max="13571" width="14.7109375" style="1118" customWidth="1"/>
    <col min="13572" max="13572" width="15.140625" style="1118" customWidth="1"/>
    <col min="13573" max="13580" width="9.140625" style="1118" customWidth="1"/>
    <col min="13581" max="13824" width="9.140625" style="1118"/>
    <col min="13825" max="13825" width="11.85546875" style="1118" customWidth="1"/>
    <col min="13826" max="13826" width="56.28515625" style="1118" customWidth="1"/>
    <col min="13827" max="13827" width="14.7109375" style="1118" customWidth="1"/>
    <col min="13828" max="13828" width="15.140625" style="1118" customWidth="1"/>
    <col min="13829" max="13836" width="9.140625" style="1118" customWidth="1"/>
    <col min="13837" max="14080" width="9.140625" style="1118"/>
    <col min="14081" max="14081" width="11.85546875" style="1118" customWidth="1"/>
    <col min="14082" max="14082" width="56.28515625" style="1118" customWidth="1"/>
    <col min="14083" max="14083" width="14.7109375" style="1118" customWidth="1"/>
    <col min="14084" max="14084" width="15.140625" style="1118" customWidth="1"/>
    <col min="14085" max="14092" width="9.140625" style="1118" customWidth="1"/>
    <col min="14093" max="14336" width="9.140625" style="1118"/>
    <col min="14337" max="14337" width="11.85546875" style="1118" customWidth="1"/>
    <col min="14338" max="14338" width="56.28515625" style="1118" customWidth="1"/>
    <col min="14339" max="14339" width="14.7109375" style="1118" customWidth="1"/>
    <col min="14340" max="14340" width="15.140625" style="1118" customWidth="1"/>
    <col min="14341" max="14348" width="9.140625" style="1118" customWidth="1"/>
    <col min="14349" max="14592" width="9.140625" style="1118"/>
    <col min="14593" max="14593" width="11.85546875" style="1118" customWidth="1"/>
    <col min="14594" max="14594" width="56.28515625" style="1118" customWidth="1"/>
    <col min="14595" max="14595" width="14.7109375" style="1118" customWidth="1"/>
    <col min="14596" max="14596" width="15.140625" style="1118" customWidth="1"/>
    <col min="14597" max="14604" width="9.140625" style="1118" customWidth="1"/>
    <col min="14605" max="14848" width="9.140625" style="1118"/>
    <col min="14849" max="14849" width="11.85546875" style="1118" customWidth="1"/>
    <col min="14850" max="14850" width="56.28515625" style="1118" customWidth="1"/>
    <col min="14851" max="14851" width="14.7109375" style="1118" customWidth="1"/>
    <col min="14852" max="14852" width="15.140625" style="1118" customWidth="1"/>
    <col min="14853" max="14860" width="9.140625" style="1118" customWidth="1"/>
    <col min="14861" max="15104" width="9.140625" style="1118"/>
    <col min="15105" max="15105" width="11.85546875" style="1118" customWidth="1"/>
    <col min="15106" max="15106" width="56.28515625" style="1118" customWidth="1"/>
    <col min="15107" max="15107" width="14.7109375" style="1118" customWidth="1"/>
    <col min="15108" max="15108" width="15.140625" style="1118" customWidth="1"/>
    <col min="15109" max="15116" width="9.140625" style="1118" customWidth="1"/>
    <col min="15117" max="15360" width="9.140625" style="1118"/>
    <col min="15361" max="15361" width="11.85546875" style="1118" customWidth="1"/>
    <col min="15362" max="15362" width="56.28515625" style="1118" customWidth="1"/>
    <col min="15363" max="15363" width="14.7109375" style="1118" customWidth="1"/>
    <col min="15364" max="15364" width="15.140625" style="1118" customWidth="1"/>
    <col min="15365" max="15372" width="9.140625" style="1118" customWidth="1"/>
    <col min="15373" max="15616" width="9.140625" style="1118"/>
    <col min="15617" max="15617" width="11.85546875" style="1118" customWidth="1"/>
    <col min="15618" max="15618" width="56.28515625" style="1118" customWidth="1"/>
    <col min="15619" max="15619" width="14.7109375" style="1118" customWidth="1"/>
    <col min="15620" max="15620" width="15.140625" style="1118" customWidth="1"/>
    <col min="15621" max="15628" width="9.140625" style="1118" customWidth="1"/>
    <col min="15629" max="15872" width="9.140625" style="1118"/>
    <col min="15873" max="15873" width="11.85546875" style="1118" customWidth="1"/>
    <col min="15874" max="15874" width="56.28515625" style="1118" customWidth="1"/>
    <col min="15875" max="15875" width="14.7109375" style="1118" customWidth="1"/>
    <col min="15876" max="15876" width="15.140625" style="1118" customWidth="1"/>
    <col min="15877" max="15884" width="9.140625" style="1118" customWidth="1"/>
    <col min="15885" max="16128" width="9.140625" style="1118"/>
    <col min="16129" max="16129" width="11.85546875" style="1118" customWidth="1"/>
    <col min="16130" max="16130" width="56.28515625" style="1118" customWidth="1"/>
    <col min="16131" max="16131" width="14.7109375" style="1118" customWidth="1"/>
    <col min="16132" max="16132" width="15.140625" style="1118" customWidth="1"/>
    <col min="16133" max="16140" width="9.140625" style="1118" customWidth="1"/>
    <col min="16141" max="16384" width="9.140625" style="1118"/>
  </cols>
  <sheetData>
    <row r="1" spans="1:14" s="1101" customFormat="1" ht="21" customHeight="1" thickBot="1" x14ac:dyDescent="0.3">
      <c r="A1" s="1857" t="s">
        <v>1243</v>
      </c>
      <c r="B1" s="1857"/>
      <c r="C1" s="1857"/>
      <c r="D1" s="1857"/>
      <c r="E1" s="1245"/>
      <c r="F1" s="1245"/>
      <c r="G1" s="1245"/>
      <c r="H1" s="1245"/>
      <c r="I1" s="1245"/>
      <c r="J1" s="1245"/>
      <c r="K1" s="1245"/>
      <c r="L1" s="1245"/>
    </row>
    <row r="2" spans="1:14" s="1106" customFormat="1" ht="25.5" customHeight="1" x14ac:dyDescent="0.25">
      <c r="A2" s="1246" t="s">
        <v>943</v>
      </c>
      <c r="B2" s="1103" t="s">
        <v>944</v>
      </c>
      <c r="C2" s="1858" t="s">
        <v>945</v>
      </c>
      <c r="D2" s="1859"/>
      <c r="E2" s="1247"/>
      <c r="F2" s="1247"/>
      <c r="G2" s="1247"/>
      <c r="H2" s="1247"/>
      <c r="I2" s="1247"/>
      <c r="J2" s="1247"/>
      <c r="K2" s="1247"/>
      <c r="L2" s="1247"/>
    </row>
    <row r="3" spans="1:14" s="1106" customFormat="1" ht="24.75" thickBot="1" x14ac:dyDescent="0.3">
      <c r="A3" s="1248" t="s">
        <v>652</v>
      </c>
      <c r="B3" s="1108" t="s">
        <v>653</v>
      </c>
      <c r="C3" s="1860"/>
      <c r="D3" s="1861"/>
      <c r="E3" s="1247"/>
      <c r="F3" s="1247"/>
      <c r="G3" s="1247"/>
      <c r="H3" s="1247"/>
      <c r="I3" s="1247"/>
      <c r="J3" s="1247"/>
      <c r="K3" s="1247"/>
      <c r="L3" s="1247"/>
    </row>
    <row r="4" spans="1:14" s="1113" customFormat="1" ht="15.95" customHeight="1" thickBot="1" x14ac:dyDescent="0.3">
      <c r="A4" s="1109"/>
      <c r="B4" s="1708"/>
      <c r="C4" s="1812" t="s">
        <v>654</v>
      </c>
      <c r="D4" s="1813"/>
      <c r="E4" s="1247"/>
      <c r="F4" s="1247"/>
      <c r="G4" s="1247"/>
      <c r="H4" s="1247"/>
      <c r="I4" s="1247"/>
      <c r="J4" s="1247"/>
      <c r="K4" s="1247"/>
      <c r="L4" s="1247"/>
    </row>
    <row r="5" spans="1:14" ht="36.75" thickBot="1" x14ac:dyDescent="0.3">
      <c r="A5" s="1701" t="s">
        <v>655</v>
      </c>
      <c r="B5" s="1114" t="s">
        <v>656</v>
      </c>
      <c r="C5" s="1115" t="s">
        <v>927</v>
      </c>
      <c r="D5" s="1116" t="s">
        <v>928</v>
      </c>
      <c r="E5" s="1249" t="s">
        <v>658</v>
      </c>
      <c r="F5" s="1249" t="s">
        <v>946</v>
      </c>
      <c r="G5" s="1249" t="s">
        <v>661</v>
      </c>
      <c r="H5" s="1249" t="s">
        <v>665</v>
      </c>
      <c r="I5" s="1249" t="s">
        <v>687</v>
      </c>
      <c r="J5" s="1249" t="s">
        <v>690</v>
      </c>
      <c r="K5" s="1249" t="s">
        <v>947</v>
      </c>
      <c r="L5" s="1250"/>
      <c r="M5" s="1250"/>
      <c r="N5" s="1250"/>
    </row>
    <row r="6" spans="1:14" s="1125" customFormat="1" ht="12.95" customHeight="1" thickBot="1" x14ac:dyDescent="0.3">
      <c r="A6" s="1119">
        <v>1</v>
      </c>
      <c r="B6" s="1120">
        <v>2</v>
      </c>
      <c r="C6" s="1122">
        <v>3</v>
      </c>
      <c r="D6" s="1122">
        <v>4</v>
      </c>
      <c r="E6" s="1251"/>
      <c r="F6" s="1251"/>
      <c r="G6" s="1251"/>
      <c r="H6" s="1251"/>
      <c r="I6" s="1251"/>
      <c r="J6" s="1251"/>
      <c r="K6" s="1251"/>
      <c r="L6" s="1251"/>
    </row>
    <row r="7" spans="1:14" s="1125" customFormat="1" ht="15.95" customHeight="1" thickBot="1" x14ac:dyDescent="0.3">
      <c r="A7" s="1814" t="s">
        <v>657</v>
      </c>
      <c r="B7" s="1815"/>
      <c r="C7" s="1815"/>
      <c r="D7" s="1816"/>
      <c r="E7" s="1251"/>
      <c r="F7" s="1251"/>
      <c r="G7" s="1251"/>
      <c r="H7" s="1251"/>
      <c r="I7" s="1251"/>
      <c r="J7" s="1251"/>
      <c r="K7" s="1251"/>
      <c r="L7" s="1251"/>
    </row>
    <row r="8" spans="1:14" s="1138" customFormat="1" ht="12" customHeight="1" thickBot="1" x14ac:dyDescent="0.3">
      <c r="A8" s="1119" t="s">
        <v>696</v>
      </c>
      <c r="B8" s="1252" t="s">
        <v>948</v>
      </c>
      <c r="C8" s="1253">
        <f>SUM(C9:C18)</f>
        <v>26497238</v>
      </c>
      <c r="D8" s="1253">
        <f>SUM(D9:D18)</f>
        <v>26497238</v>
      </c>
      <c r="E8" s="1254"/>
      <c r="F8" s="1254"/>
      <c r="G8" s="1254"/>
      <c r="H8" s="1254"/>
      <c r="I8" s="1254"/>
      <c r="J8" s="1254"/>
      <c r="K8" s="1254"/>
      <c r="L8" s="1254"/>
    </row>
    <row r="9" spans="1:14" s="1138" customFormat="1" ht="12" customHeight="1" x14ac:dyDescent="0.25">
      <c r="A9" s="1255" t="s">
        <v>698</v>
      </c>
      <c r="B9" s="1191" t="s">
        <v>756</v>
      </c>
      <c r="C9" s="1256">
        <f>SUM(E9:R9)</f>
        <v>0</v>
      </c>
      <c r="D9" s="1257">
        <f>C9</f>
        <v>0</v>
      </c>
      <c r="E9" s="1117"/>
      <c r="F9" s="1117"/>
      <c r="G9" s="1117"/>
      <c r="H9" s="1117"/>
      <c r="I9" s="1117"/>
      <c r="J9" s="1117"/>
      <c r="K9" s="1117"/>
      <c r="L9" s="1117"/>
    </row>
    <row r="10" spans="1:14" s="1138" customFormat="1" ht="12" customHeight="1" x14ac:dyDescent="0.25">
      <c r="A10" s="1258" t="s">
        <v>700</v>
      </c>
      <c r="B10" s="1194" t="s">
        <v>758</v>
      </c>
      <c r="C10" s="1256">
        <f t="shared" ref="C10:C18" si="0">SUM(E10:R10)</f>
        <v>9330000</v>
      </c>
      <c r="D10" s="1259">
        <f>C10</f>
        <v>9330000</v>
      </c>
      <c r="E10" s="1117">
        <v>350000</v>
      </c>
      <c r="F10" s="1117"/>
      <c r="G10" s="1117"/>
      <c r="H10" s="1117"/>
      <c r="I10" s="1117">
        <v>8980000</v>
      </c>
      <c r="J10" s="1117"/>
      <c r="K10" s="1117"/>
      <c r="L10" s="1117"/>
    </row>
    <row r="11" spans="1:14" s="1138" customFormat="1" ht="12" customHeight="1" x14ac:dyDescent="0.25">
      <c r="A11" s="1258" t="s">
        <v>702</v>
      </c>
      <c r="B11" s="1194" t="s">
        <v>760</v>
      </c>
      <c r="C11" s="1256">
        <f t="shared" si="0"/>
        <v>50000</v>
      </c>
      <c r="D11" s="1259">
        <f t="shared" ref="D11:D17" si="1">C11</f>
        <v>50000</v>
      </c>
      <c r="E11" s="1117">
        <v>50000</v>
      </c>
      <c r="F11" s="1117"/>
      <c r="G11" s="1117"/>
      <c r="H11" s="1117"/>
      <c r="I11" s="1117"/>
      <c r="J11" s="1117"/>
      <c r="K11" s="1117"/>
      <c r="L11" s="1117"/>
    </row>
    <row r="12" spans="1:14" s="1138" customFormat="1" ht="12" customHeight="1" x14ac:dyDescent="0.25">
      <c r="A12" s="1258" t="s">
        <v>704</v>
      </c>
      <c r="B12" s="1194" t="s">
        <v>762</v>
      </c>
      <c r="C12" s="1256">
        <f t="shared" si="0"/>
        <v>0</v>
      </c>
      <c r="D12" s="1259">
        <f t="shared" si="1"/>
        <v>0</v>
      </c>
      <c r="E12" s="1117"/>
      <c r="F12" s="1117"/>
      <c r="G12" s="1117"/>
      <c r="H12" s="1117"/>
      <c r="I12" s="1117"/>
      <c r="J12" s="1117"/>
      <c r="K12" s="1117"/>
      <c r="L12" s="1117"/>
    </row>
    <row r="13" spans="1:14" s="1138" customFormat="1" ht="12" customHeight="1" x14ac:dyDescent="0.25">
      <c r="A13" s="1258" t="s">
        <v>706</v>
      </c>
      <c r="B13" s="1194" t="s">
        <v>764</v>
      </c>
      <c r="C13" s="1256">
        <f t="shared" si="0"/>
        <v>7400000</v>
      </c>
      <c r="D13" s="1259">
        <f t="shared" si="1"/>
        <v>7400000</v>
      </c>
      <c r="E13" s="1117"/>
      <c r="F13" s="1117"/>
      <c r="G13" s="1117"/>
      <c r="H13" s="1117"/>
      <c r="I13" s="1117">
        <v>7400000</v>
      </c>
      <c r="J13" s="1117"/>
      <c r="K13" s="1117"/>
      <c r="L13" s="1117"/>
    </row>
    <row r="14" spans="1:14" s="1138" customFormat="1" ht="12" customHeight="1" x14ac:dyDescent="0.25">
      <c r="A14" s="1258" t="s">
        <v>708</v>
      </c>
      <c r="B14" s="1194" t="s">
        <v>949</v>
      </c>
      <c r="C14" s="1256">
        <f t="shared" si="0"/>
        <v>4477238</v>
      </c>
      <c r="D14" s="1259">
        <f t="shared" si="1"/>
        <v>4477238</v>
      </c>
      <c r="E14" s="1117">
        <v>13500</v>
      </c>
      <c r="F14" s="1117"/>
      <c r="G14" s="1117"/>
      <c r="H14" s="1117"/>
      <c r="I14" s="1117">
        <v>4463738</v>
      </c>
      <c r="J14" s="1117"/>
      <c r="K14" s="1117"/>
      <c r="L14" s="1117"/>
    </row>
    <row r="15" spans="1:14" s="1138" customFormat="1" ht="12" customHeight="1" x14ac:dyDescent="0.25">
      <c r="A15" s="1258" t="s">
        <v>862</v>
      </c>
      <c r="B15" s="1215" t="s">
        <v>950</v>
      </c>
      <c r="C15" s="1256">
        <f t="shared" si="0"/>
        <v>5240000</v>
      </c>
      <c r="D15" s="1259">
        <f t="shared" si="1"/>
        <v>5240000</v>
      </c>
      <c r="E15" s="1117"/>
      <c r="F15" s="1117"/>
      <c r="G15" s="1117"/>
      <c r="H15" s="1117"/>
      <c r="I15" s="1117">
        <v>5240000</v>
      </c>
      <c r="J15" s="1117"/>
      <c r="K15" s="1117"/>
      <c r="L15" s="1117"/>
    </row>
    <row r="16" spans="1:14" s="1138" customFormat="1" ht="12" customHeight="1" x14ac:dyDescent="0.25">
      <c r="A16" s="1258" t="s">
        <v>864</v>
      </c>
      <c r="B16" s="1194" t="s">
        <v>770</v>
      </c>
      <c r="C16" s="1256">
        <f t="shared" si="0"/>
        <v>0</v>
      </c>
      <c r="D16" s="1259">
        <f t="shared" si="1"/>
        <v>0</v>
      </c>
      <c r="E16" s="1117"/>
      <c r="F16" s="1117"/>
      <c r="G16" s="1117"/>
      <c r="H16" s="1117"/>
      <c r="I16" s="1117"/>
      <c r="J16" s="1117"/>
      <c r="K16" s="1117"/>
      <c r="L16" s="1117"/>
    </row>
    <row r="17" spans="1:12" s="1142" customFormat="1" ht="12" customHeight="1" x14ac:dyDescent="0.25">
      <c r="A17" s="1258" t="s">
        <v>866</v>
      </c>
      <c r="B17" s="1194" t="s">
        <v>772</v>
      </c>
      <c r="C17" s="1256">
        <f t="shared" si="0"/>
        <v>0</v>
      </c>
      <c r="D17" s="1259">
        <f t="shared" si="1"/>
        <v>0</v>
      </c>
      <c r="E17" s="1117"/>
      <c r="F17" s="1117"/>
      <c r="G17" s="1117"/>
      <c r="H17" s="1117"/>
      <c r="I17" s="1117"/>
      <c r="J17" s="1117"/>
      <c r="K17" s="1117"/>
      <c r="L17" s="1117"/>
    </row>
    <row r="18" spans="1:12" s="1142" customFormat="1" ht="12" customHeight="1" thickBot="1" x14ac:dyDescent="0.3">
      <c r="A18" s="1258" t="s">
        <v>868</v>
      </c>
      <c r="B18" s="1215" t="s">
        <v>774</v>
      </c>
      <c r="C18" s="1256">
        <f t="shared" si="0"/>
        <v>0</v>
      </c>
      <c r="D18" s="1262">
        <f>C18</f>
        <v>0</v>
      </c>
      <c r="E18" s="1117"/>
      <c r="F18" s="1117"/>
      <c r="G18" s="1117"/>
      <c r="H18" s="1117"/>
      <c r="I18" s="1117"/>
      <c r="J18" s="1117"/>
      <c r="K18" s="1117"/>
      <c r="L18" s="1117"/>
    </row>
    <row r="19" spans="1:12" s="1138" customFormat="1" ht="12" customHeight="1" thickBot="1" x14ac:dyDescent="0.3">
      <c r="A19" s="1119" t="s">
        <v>710</v>
      </c>
      <c r="B19" s="1252" t="s">
        <v>951</v>
      </c>
      <c r="C19" s="1253">
        <f>SUM(C20:C22)</f>
        <v>0</v>
      </c>
      <c r="D19" s="1253">
        <f>SUM(D20:D22)</f>
        <v>0</v>
      </c>
      <c r="E19" s="1117"/>
      <c r="F19" s="1117"/>
      <c r="G19" s="1117"/>
      <c r="H19" s="1117"/>
      <c r="I19" s="1117"/>
      <c r="J19" s="1117"/>
      <c r="K19" s="1117"/>
      <c r="L19" s="1117"/>
    </row>
    <row r="20" spans="1:12" s="1142" customFormat="1" ht="12" customHeight="1" x14ac:dyDescent="0.25">
      <c r="A20" s="1258" t="s">
        <v>712</v>
      </c>
      <c r="B20" s="1214" t="s">
        <v>713</v>
      </c>
      <c r="C20" s="1256">
        <f>SUM(E20:R20)</f>
        <v>0</v>
      </c>
      <c r="D20" s="1702">
        <f t="shared" ref="D20:D23" si="2">C20</f>
        <v>0</v>
      </c>
      <c r="E20" s="1117"/>
      <c r="F20" s="1117"/>
      <c r="G20" s="1117"/>
      <c r="H20" s="1117"/>
      <c r="I20" s="1117"/>
      <c r="J20" s="1117"/>
      <c r="K20" s="1117"/>
      <c r="L20" s="1117"/>
    </row>
    <row r="21" spans="1:12" s="1142" customFormat="1" ht="12" customHeight="1" x14ac:dyDescent="0.25">
      <c r="A21" s="1258" t="s">
        <v>714</v>
      </c>
      <c r="B21" s="1194" t="s">
        <v>952</v>
      </c>
      <c r="C21" s="1256">
        <f>SUM(E21:R21)</f>
        <v>0</v>
      </c>
      <c r="D21" s="1703">
        <f t="shared" si="2"/>
        <v>0</v>
      </c>
      <c r="E21" s="1117"/>
      <c r="F21" s="1117"/>
      <c r="G21" s="1117"/>
      <c r="H21" s="1117"/>
      <c r="I21" s="1117"/>
      <c r="J21" s="1117"/>
      <c r="K21" s="1117"/>
      <c r="L21" s="1117"/>
    </row>
    <row r="22" spans="1:12" s="1142" customFormat="1" ht="12" customHeight="1" x14ac:dyDescent="0.25">
      <c r="A22" s="1258" t="s">
        <v>716</v>
      </c>
      <c r="B22" s="1194" t="s">
        <v>953</v>
      </c>
      <c r="C22" s="1256">
        <f>SUM(E22:R22)</f>
        <v>0</v>
      </c>
      <c r="D22" s="1703">
        <f t="shared" si="2"/>
        <v>0</v>
      </c>
      <c r="E22" s="1117"/>
      <c r="F22" s="1117"/>
      <c r="G22" s="1117"/>
      <c r="H22" s="1117"/>
      <c r="I22" s="1117"/>
      <c r="J22" s="1117"/>
      <c r="K22" s="1117"/>
      <c r="L22" s="1117"/>
    </row>
    <row r="23" spans="1:12" s="1142" customFormat="1" ht="12" customHeight="1" thickBot="1" x14ac:dyDescent="0.3">
      <c r="A23" s="1258" t="s">
        <v>718</v>
      </c>
      <c r="B23" s="1194" t="s">
        <v>954</v>
      </c>
      <c r="C23" s="1256">
        <f>SUM(E23:R23)</f>
        <v>0</v>
      </c>
      <c r="D23" s="1704">
        <f t="shared" si="2"/>
        <v>0</v>
      </c>
      <c r="E23" s="1117"/>
      <c r="F23" s="1117"/>
      <c r="G23" s="1117"/>
      <c r="H23" s="1117"/>
      <c r="I23" s="1117"/>
      <c r="J23" s="1117"/>
      <c r="K23" s="1117"/>
      <c r="L23" s="1117"/>
    </row>
    <row r="24" spans="1:12" s="1142" customFormat="1" ht="12" customHeight="1" thickBot="1" x14ac:dyDescent="0.3">
      <c r="A24" s="1263" t="s">
        <v>724</v>
      </c>
      <c r="B24" s="1213" t="s">
        <v>250</v>
      </c>
      <c r="C24" s="1264"/>
      <c r="D24" s="1264"/>
      <c r="E24" s="1117"/>
      <c r="F24" s="1117"/>
      <c r="G24" s="1117"/>
      <c r="H24" s="1117"/>
      <c r="I24" s="1117"/>
      <c r="J24" s="1117"/>
      <c r="K24" s="1117"/>
      <c r="L24" s="1117"/>
    </row>
    <row r="25" spans="1:12" s="1142" customFormat="1" ht="12" customHeight="1" thickBot="1" x14ac:dyDescent="0.3">
      <c r="A25" s="1263" t="s">
        <v>900</v>
      </c>
      <c r="B25" s="1213" t="s">
        <v>955</v>
      </c>
      <c r="C25" s="1253">
        <f>+C26+C27</f>
        <v>0</v>
      </c>
      <c r="D25" s="1253">
        <f>+D26+D27</f>
        <v>0</v>
      </c>
      <c r="E25" s="1117"/>
      <c r="F25" s="1117"/>
      <c r="G25" s="1117"/>
      <c r="H25" s="1117"/>
      <c r="I25" s="1117"/>
      <c r="J25" s="1117"/>
      <c r="K25" s="1117"/>
      <c r="L25" s="1117"/>
    </row>
    <row r="26" spans="1:12" s="1142" customFormat="1" ht="12" customHeight="1" x14ac:dyDescent="0.25">
      <c r="A26" s="1265" t="s">
        <v>740</v>
      </c>
      <c r="B26" s="1266" t="s">
        <v>952</v>
      </c>
      <c r="C26" s="1256">
        <f>SUM(E26:R26)</f>
        <v>0</v>
      </c>
      <c r="D26" s="1702">
        <f t="shared" ref="D26:D28" si="3">C26</f>
        <v>0</v>
      </c>
      <c r="E26" s="1117"/>
      <c r="F26" s="1117"/>
      <c r="G26" s="1117"/>
      <c r="H26" s="1117"/>
      <c r="I26" s="1117"/>
      <c r="J26" s="1117"/>
      <c r="K26" s="1117"/>
      <c r="L26" s="1117"/>
    </row>
    <row r="27" spans="1:12" s="1142" customFormat="1" ht="12" customHeight="1" x14ac:dyDescent="0.25">
      <c r="A27" s="1265" t="s">
        <v>752</v>
      </c>
      <c r="B27" s="1267" t="s">
        <v>956</v>
      </c>
      <c r="C27" s="1256">
        <f>SUM(E27:R27)</f>
        <v>0</v>
      </c>
      <c r="D27" s="1703">
        <f t="shared" si="3"/>
        <v>0</v>
      </c>
      <c r="E27" s="1117"/>
      <c r="F27" s="1117"/>
      <c r="G27" s="1117"/>
      <c r="H27" s="1117"/>
      <c r="I27" s="1117"/>
      <c r="J27" s="1117"/>
      <c r="K27" s="1117"/>
      <c r="L27" s="1117"/>
    </row>
    <row r="28" spans="1:12" s="1142" customFormat="1" ht="12" customHeight="1" thickBot="1" x14ac:dyDescent="0.3">
      <c r="A28" s="1258" t="s">
        <v>957</v>
      </c>
      <c r="B28" s="1269" t="s">
        <v>958</v>
      </c>
      <c r="C28" s="1256">
        <f>SUM(E28:R28)</f>
        <v>0</v>
      </c>
      <c r="D28" s="1704">
        <f t="shared" si="3"/>
        <v>0</v>
      </c>
      <c r="E28" s="1117"/>
      <c r="F28" s="1117"/>
      <c r="G28" s="1117"/>
      <c r="H28" s="1117"/>
      <c r="I28" s="1117"/>
      <c r="J28" s="1117"/>
      <c r="K28" s="1117"/>
      <c r="L28" s="1117"/>
    </row>
    <row r="29" spans="1:12" s="1142" customFormat="1" ht="12" customHeight="1" thickBot="1" x14ac:dyDescent="0.3">
      <c r="A29" s="1263" t="s">
        <v>753</v>
      </c>
      <c r="B29" s="1213" t="s">
        <v>959</v>
      </c>
      <c r="C29" s="1253">
        <f>+C30+C31+C32</f>
        <v>152362</v>
      </c>
      <c r="D29" s="1253">
        <f>+D30+D31+D32</f>
        <v>152362</v>
      </c>
      <c r="E29" s="1117"/>
      <c r="F29" s="1117"/>
      <c r="G29" s="1117"/>
      <c r="H29" s="1117"/>
      <c r="I29" s="1117"/>
      <c r="J29" s="1117"/>
      <c r="K29" s="1117"/>
      <c r="L29" s="1117"/>
    </row>
    <row r="30" spans="1:12" s="1142" customFormat="1" ht="12" customHeight="1" x14ac:dyDescent="0.25">
      <c r="A30" s="1265" t="s">
        <v>755</v>
      </c>
      <c r="B30" s="1266" t="s">
        <v>778</v>
      </c>
      <c r="C30" s="1256">
        <f>SUM(E30:R30)</f>
        <v>0</v>
      </c>
      <c r="D30" s="1702">
        <f t="shared" ref="D30:D32" si="4">C30</f>
        <v>0</v>
      </c>
      <c r="E30" s="1117"/>
      <c r="F30" s="1117"/>
      <c r="G30" s="1117"/>
      <c r="H30" s="1117"/>
      <c r="I30" s="1117"/>
      <c r="J30" s="1117"/>
      <c r="K30" s="1117"/>
      <c r="L30" s="1117"/>
    </row>
    <row r="31" spans="1:12" s="1142" customFormat="1" ht="12" customHeight="1" x14ac:dyDescent="0.25">
      <c r="A31" s="1265" t="s">
        <v>757</v>
      </c>
      <c r="B31" s="1267" t="s">
        <v>525</v>
      </c>
      <c r="C31" s="1256">
        <f>SUM(E31:R31)</f>
        <v>0</v>
      </c>
      <c r="D31" s="1703">
        <f t="shared" si="4"/>
        <v>0</v>
      </c>
      <c r="E31" s="1117"/>
      <c r="F31" s="1117"/>
      <c r="G31" s="1117"/>
      <c r="H31" s="1117"/>
      <c r="I31" s="1117"/>
      <c r="J31" s="1117"/>
      <c r="K31" s="1117"/>
      <c r="L31" s="1117"/>
    </row>
    <row r="32" spans="1:12" s="1142" customFormat="1" ht="12" customHeight="1" thickBot="1" x14ac:dyDescent="0.3">
      <c r="A32" s="1258" t="s">
        <v>759</v>
      </c>
      <c r="B32" s="1271" t="s">
        <v>781</v>
      </c>
      <c r="C32" s="1256">
        <f>SUM(E32:R32)</f>
        <v>152362</v>
      </c>
      <c r="D32" s="1704">
        <f t="shared" si="4"/>
        <v>152362</v>
      </c>
      <c r="E32" s="1117"/>
      <c r="F32" s="1117"/>
      <c r="G32" s="1117"/>
      <c r="H32" s="1117"/>
      <c r="I32" s="1117">
        <v>152362</v>
      </c>
      <c r="J32" s="1117"/>
      <c r="K32" s="1117"/>
      <c r="L32" s="1117"/>
    </row>
    <row r="33" spans="1:12" s="1138" customFormat="1" ht="12" customHeight="1" thickBot="1" x14ac:dyDescent="0.3">
      <c r="A33" s="1263" t="s">
        <v>775</v>
      </c>
      <c r="B33" s="1213" t="s">
        <v>960</v>
      </c>
      <c r="C33" s="1264"/>
      <c r="D33" s="1264"/>
      <c r="E33" s="1117"/>
      <c r="F33" s="1117"/>
      <c r="G33" s="1117"/>
      <c r="H33" s="1117"/>
      <c r="I33" s="1117"/>
      <c r="J33" s="1117"/>
      <c r="K33" s="1117"/>
      <c r="L33" s="1117"/>
    </row>
    <row r="34" spans="1:12" s="1138" customFormat="1" ht="12" customHeight="1" thickBot="1" x14ac:dyDescent="0.3">
      <c r="A34" s="1263" t="s">
        <v>911</v>
      </c>
      <c r="B34" s="1213" t="s">
        <v>961</v>
      </c>
      <c r="C34" s="1272"/>
      <c r="D34" s="1272"/>
      <c r="E34" s="1117"/>
      <c r="F34" s="1117"/>
      <c r="G34" s="1117"/>
      <c r="H34" s="1117"/>
      <c r="I34" s="1117"/>
      <c r="J34" s="1117"/>
      <c r="K34" s="1117"/>
      <c r="L34" s="1117"/>
    </row>
    <row r="35" spans="1:12" s="1138" customFormat="1" ht="12" customHeight="1" thickBot="1" x14ac:dyDescent="0.3">
      <c r="A35" s="1119" t="s">
        <v>796</v>
      </c>
      <c r="B35" s="1213" t="s">
        <v>962</v>
      </c>
      <c r="C35" s="1273">
        <f>+C8+C19+C24+C25+C29+C33+C34</f>
        <v>26649600</v>
      </c>
      <c r="D35" s="1273">
        <f>+D8+D19+D24+D25+D29+D33+D34</f>
        <v>26649600</v>
      </c>
      <c r="E35" s="1117"/>
      <c r="F35" s="1117"/>
      <c r="G35" s="1117"/>
      <c r="H35" s="1117"/>
      <c r="I35" s="1117"/>
      <c r="J35" s="1117"/>
      <c r="K35" s="1117"/>
      <c r="L35" s="1117"/>
    </row>
    <row r="36" spans="1:12" s="1138" customFormat="1" ht="12" customHeight="1" thickBot="1" x14ac:dyDescent="0.3">
      <c r="A36" s="1274" t="s">
        <v>806</v>
      </c>
      <c r="B36" s="1213" t="s">
        <v>963</v>
      </c>
      <c r="C36" s="1273">
        <f>+C37+C38+C39</f>
        <v>69767454</v>
      </c>
      <c r="D36" s="1273">
        <f>+D37+D38+D39</f>
        <v>71165341</v>
      </c>
      <c r="E36" s="1117"/>
      <c r="F36" s="1117"/>
      <c r="G36" s="1117"/>
      <c r="H36" s="1117"/>
      <c r="I36" s="1117"/>
      <c r="J36" s="1117"/>
      <c r="K36" s="1117"/>
      <c r="L36" s="1117"/>
    </row>
    <row r="37" spans="1:12" s="1138" customFormat="1" ht="12" customHeight="1" x14ac:dyDescent="0.25">
      <c r="A37" s="1265" t="s">
        <v>964</v>
      </c>
      <c r="B37" s="1266" t="s">
        <v>965</v>
      </c>
      <c r="C37" s="1256">
        <f>SUM(E37:R37)</f>
        <v>0</v>
      </c>
      <c r="D37" s="1702">
        <f>C37+1997887</f>
        <v>1997887</v>
      </c>
      <c r="E37" s="1117"/>
      <c r="F37" s="1117"/>
      <c r="G37" s="1117"/>
      <c r="H37" s="1117"/>
      <c r="I37" s="1117"/>
      <c r="J37" s="1117"/>
      <c r="K37" s="1117"/>
      <c r="L37" s="1117"/>
    </row>
    <row r="38" spans="1:12" s="1138" customFormat="1" ht="12" customHeight="1" x14ac:dyDescent="0.25">
      <c r="A38" s="1265" t="s">
        <v>966</v>
      </c>
      <c r="B38" s="1267" t="s">
        <v>967</v>
      </c>
      <c r="C38" s="1256">
        <f>SUM(E38:R38)</f>
        <v>0</v>
      </c>
      <c r="D38" s="1703">
        <f t="shared" ref="D38" si="5">C38</f>
        <v>0</v>
      </c>
      <c r="E38" s="1117"/>
      <c r="F38" s="1117"/>
      <c r="G38" s="1117"/>
      <c r="H38" s="1117"/>
      <c r="I38" s="1117"/>
      <c r="J38" s="1117"/>
      <c r="K38" s="1117"/>
      <c r="L38" s="1117"/>
    </row>
    <row r="39" spans="1:12" s="1142" customFormat="1" ht="12" customHeight="1" thickBot="1" x14ac:dyDescent="0.3">
      <c r="A39" s="1258" t="s">
        <v>968</v>
      </c>
      <c r="B39" s="1271" t="s">
        <v>969</v>
      </c>
      <c r="C39" s="1256">
        <f>SUM(E39:R39)</f>
        <v>69767454</v>
      </c>
      <c r="D39" s="1704">
        <f>C39-600000</f>
        <v>69167454</v>
      </c>
      <c r="E39" s="1117"/>
      <c r="F39" s="1117"/>
      <c r="G39" s="1117"/>
      <c r="H39" s="1117">
        <v>69767454</v>
      </c>
      <c r="I39" s="1117"/>
      <c r="J39" s="1117"/>
      <c r="K39" s="1117"/>
      <c r="L39" s="1117"/>
    </row>
    <row r="40" spans="1:12" s="1142" customFormat="1" ht="15" customHeight="1" thickBot="1" x14ac:dyDescent="0.25">
      <c r="A40" s="1274" t="s">
        <v>923</v>
      </c>
      <c r="B40" s="1275" t="s">
        <v>970</v>
      </c>
      <c r="C40" s="1276">
        <f>+C35+C36</f>
        <v>96417054</v>
      </c>
      <c r="D40" s="1276">
        <f>+D35+D36</f>
        <v>97814941</v>
      </c>
      <c r="E40" s="1117">
        <f>SUM(E8:E39)</f>
        <v>413500</v>
      </c>
      <c r="F40" s="1117">
        <f t="shared" ref="F40:K40" si="6">SUM(F8:F39)</f>
        <v>0</v>
      </c>
      <c r="G40" s="1117">
        <f t="shared" si="6"/>
        <v>0</v>
      </c>
      <c r="H40" s="1117">
        <f t="shared" si="6"/>
        <v>69767454</v>
      </c>
      <c r="I40" s="1117">
        <f t="shared" si="6"/>
        <v>26236100</v>
      </c>
      <c r="J40" s="1117">
        <f t="shared" si="6"/>
        <v>0</v>
      </c>
      <c r="K40" s="1117">
        <f t="shared" si="6"/>
        <v>0</v>
      </c>
      <c r="L40" s="1117"/>
    </row>
    <row r="41" spans="1:12" s="1142" customFormat="1" ht="15" customHeight="1" x14ac:dyDescent="0.25">
      <c r="A41" s="1718"/>
      <c r="B41" s="1719"/>
      <c r="C41" s="1720"/>
      <c r="D41" s="1721"/>
      <c r="E41" s="1117"/>
      <c r="F41" s="1117"/>
      <c r="G41" s="1117"/>
      <c r="H41" s="1117"/>
      <c r="I41" s="1117"/>
      <c r="J41" s="1117"/>
      <c r="K41" s="1117"/>
      <c r="L41" s="1117"/>
    </row>
    <row r="42" spans="1:12" ht="13.5" thickBot="1" x14ac:dyDescent="0.3">
      <c r="A42" s="1722"/>
      <c r="B42" s="1723"/>
      <c r="C42" s="1724"/>
      <c r="D42" s="1725"/>
      <c r="E42" s="1117"/>
      <c r="F42" s="1117"/>
      <c r="G42" s="1117"/>
      <c r="H42" s="1117"/>
      <c r="I42" s="1117"/>
      <c r="J42" s="1117"/>
      <c r="K42" s="1117"/>
      <c r="L42" s="1117"/>
    </row>
    <row r="43" spans="1:12" s="1125" customFormat="1" ht="16.5" customHeight="1" thickBot="1" x14ac:dyDescent="0.3">
      <c r="A43" s="1814" t="s">
        <v>856</v>
      </c>
      <c r="B43" s="1815"/>
      <c r="C43" s="1815"/>
      <c r="D43" s="1816"/>
      <c r="E43" s="1132"/>
      <c r="F43" s="1132"/>
      <c r="G43" s="1132"/>
      <c r="H43" s="1132"/>
      <c r="I43" s="1132"/>
      <c r="J43" s="1132"/>
      <c r="K43" s="1132"/>
      <c r="L43" s="1132"/>
    </row>
    <row r="44" spans="1:12" s="1189" customFormat="1" ht="12" customHeight="1" thickBot="1" x14ac:dyDescent="0.3">
      <c r="A44" s="1263" t="s">
        <v>696</v>
      </c>
      <c r="B44" s="1213" t="s">
        <v>971</v>
      </c>
      <c r="C44" s="1253">
        <f>SUM(C45:C49)</f>
        <v>94794502</v>
      </c>
      <c r="D44" s="1253">
        <f>SUM(D45:D49)</f>
        <v>94244502</v>
      </c>
      <c r="E44" s="1117"/>
      <c r="F44" s="1117"/>
      <c r="G44" s="1117"/>
      <c r="H44" s="1117"/>
      <c r="I44" s="1117"/>
      <c r="J44" s="1117"/>
      <c r="K44" s="1117"/>
      <c r="L44" s="1117"/>
    </row>
    <row r="45" spans="1:12" ht="12" customHeight="1" x14ac:dyDescent="0.25">
      <c r="A45" s="1258" t="s">
        <v>698</v>
      </c>
      <c r="B45" s="1214" t="s">
        <v>858</v>
      </c>
      <c r="C45" s="1256">
        <f>SUM(E45:R45)</f>
        <v>48123452</v>
      </c>
      <c r="D45" s="1702">
        <f>C45-600000-200000+200000+50000</f>
        <v>47573452</v>
      </c>
      <c r="E45" s="1117">
        <v>29488312</v>
      </c>
      <c r="F45" s="1117">
        <v>5724436</v>
      </c>
      <c r="G45" s="1117"/>
      <c r="H45" s="1117"/>
      <c r="I45" s="1117">
        <v>12910704</v>
      </c>
      <c r="J45" s="1117"/>
      <c r="K45" s="1117"/>
      <c r="L45" s="1117"/>
    </row>
    <row r="46" spans="1:12" ht="12" customHeight="1" x14ac:dyDescent="0.25">
      <c r="A46" s="1258" t="s">
        <v>700</v>
      </c>
      <c r="B46" s="1194" t="s">
        <v>25</v>
      </c>
      <c r="C46" s="1256">
        <f>SUM(E46:R46)</f>
        <v>8971630</v>
      </c>
      <c r="D46" s="1703">
        <f>C46</f>
        <v>8971630</v>
      </c>
      <c r="E46" s="1117">
        <v>5527981</v>
      </c>
      <c r="F46" s="1117">
        <v>1031776</v>
      </c>
      <c r="G46" s="1117"/>
      <c r="H46" s="1117"/>
      <c r="I46" s="1117">
        <v>2411873</v>
      </c>
      <c r="J46" s="1117"/>
      <c r="K46" s="1117"/>
      <c r="L46" s="1117"/>
    </row>
    <row r="47" spans="1:12" ht="12" customHeight="1" x14ac:dyDescent="0.25">
      <c r="A47" s="1258" t="s">
        <v>702</v>
      </c>
      <c r="B47" s="1194" t="s">
        <v>859</v>
      </c>
      <c r="C47" s="1256">
        <f>SUM(E47:R47)</f>
        <v>37699420</v>
      </c>
      <c r="D47" s="1703">
        <f t="shared" ref="D47:D49" si="7">C47</f>
        <v>37699420</v>
      </c>
      <c r="E47" s="1117">
        <v>10940850</v>
      </c>
      <c r="F47" s="1117">
        <v>1270950</v>
      </c>
      <c r="G47" s="1117"/>
      <c r="H47" s="1117"/>
      <c r="I47" s="1117">
        <v>25487620</v>
      </c>
      <c r="J47" s="1117"/>
      <c r="K47" s="1117"/>
      <c r="L47" s="1117"/>
    </row>
    <row r="48" spans="1:12" ht="12" customHeight="1" x14ac:dyDescent="0.25">
      <c r="A48" s="1258" t="s">
        <v>704</v>
      </c>
      <c r="B48" s="1194" t="s">
        <v>216</v>
      </c>
      <c r="C48" s="1256">
        <f>SUM(E48:R48)</f>
        <v>0</v>
      </c>
      <c r="D48" s="1703">
        <f t="shared" si="7"/>
        <v>0</v>
      </c>
      <c r="E48" s="1117"/>
      <c r="F48" s="1117"/>
      <c r="G48" s="1117"/>
      <c r="H48" s="1117"/>
      <c r="I48" s="1117"/>
      <c r="J48" s="1117"/>
      <c r="K48" s="1117"/>
      <c r="L48" s="1117"/>
    </row>
    <row r="49" spans="1:12" ht="12" customHeight="1" thickBot="1" x14ac:dyDescent="0.3">
      <c r="A49" s="1258" t="s">
        <v>706</v>
      </c>
      <c r="B49" s="1194" t="s">
        <v>55</v>
      </c>
      <c r="C49" s="1256">
        <f>SUM(E49:R49)</f>
        <v>0</v>
      </c>
      <c r="D49" s="1704">
        <f t="shared" si="7"/>
        <v>0</v>
      </c>
      <c r="E49" s="1117"/>
      <c r="F49" s="1117"/>
      <c r="G49" s="1117"/>
      <c r="H49" s="1117"/>
      <c r="I49" s="1117"/>
      <c r="J49" s="1117"/>
      <c r="K49" s="1117"/>
      <c r="L49" s="1117"/>
    </row>
    <row r="50" spans="1:12" ht="12" customHeight="1" thickBot="1" x14ac:dyDescent="0.3">
      <c r="A50" s="1263" t="s">
        <v>710</v>
      </c>
      <c r="B50" s="1213" t="s">
        <v>972</v>
      </c>
      <c r="C50" s="1253">
        <f>SUM(C51:C53)</f>
        <v>1622552</v>
      </c>
      <c r="D50" s="1253">
        <f>SUM(D51:D53)</f>
        <v>3570439</v>
      </c>
      <c r="E50" s="1117"/>
      <c r="F50" s="1117"/>
      <c r="G50" s="1117"/>
      <c r="H50" s="1117"/>
      <c r="I50" s="1117"/>
      <c r="J50" s="1117"/>
      <c r="K50" s="1117"/>
      <c r="L50" s="1117"/>
    </row>
    <row r="51" spans="1:12" s="1189" customFormat="1" ht="12" customHeight="1" x14ac:dyDescent="0.25">
      <c r="A51" s="1258" t="s">
        <v>712</v>
      </c>
      <c r="B51" s="1214" t="s">
        <v>63</v>
      </c>
      <c r="C51" s="1256">
        <f>SUM(E51:R51)</f>
        <v>1622552</v>
      </c>
      <c r="D51" s="1702">
        <f>C51+200000+1000000+322887+425000</f>
        <v>3570439</v>
      </c>
      <c r="E51" s="1117">
        <v>997001</v>
      </c>
      <c r="F51" s="1117"/>
      <c r="G51" s="1117"/>
      <c r="H51" s="1117"/>
      <c r="I51" s="1117">
        <v>625551</v>
      </c>
      <c r="J51" s="1117"/>
      <c r="K51" s="1117"/>
      <c r="L51" s="1117"/>
    </row>
    <row r="52" spans="1:12" ht="12" customHeight="1" x14ac:dyDescent="0.25">
      <c r="A52" s="1258" t="s">
        <v>714</v>
      </c>
      <c r="B52" s="1194" t="s">
        <v>153</v>
      </c>
      <c r="C52" s="1256">
        <f>SUM(E52:R52)</f>
        <v>0</v>
      </c>
      <c r="D52" s="1703">
        <f t="shared" ref="D52:D54" si="8">C52</f>
        <v>0</v>
      </c>
      <c r="E52" s="1117"/>
      <c r="F52" s="1117"/>
      <c r="G52" s="1117"/>
      <c r="H52" s="1117"/>
      <c r="I52" s="1117"/>
      <c r="J52" s="1117"/>
      <c r="K52" s="1117"/>
      <c r="L52" s="1117"/>
    </row>
    <row r="53" spans="1:12" ht="12" customHeight="1" x14ac:dyDescent="0.25">
      <c r="A53" s="1258" t="s">
        <v>716</v>
      </c>
      <c r="B53" s="1194" t="s">
        <v>973</v>
      </c>
      <c r="C53" s="1256">
        <f>SUM(E53:R53)</f>
        <v>0</v>
      </c>
      <c r="D53" s="1703">
        <f t="shared" si="8"/>
        <v>0</v>
      </c>
      <c r="E53" s="1117"/>
      <c r="F53" s="1117"/>
      <c r="G53" s="1117"/>
      <c r="H53" s="1117"/>
      <c r="I53" s="1117"/>
      <c r="J53" s="1117"/>
      <c r="K53" s="1117"/>
      <c r="L53" s="1117"/>
    </row>
    <row r="54" spans="1:12" ht="12" customHeight="1" thickBot="1" x14ac:dyDescent="0.3">
      <c r="A54" s="1258" t="s">
        <v>718</v>
      </c>
      <c r="B54" s="1194" t="s">
        <v>974</v>
      </c>
      <c r="C54" s="1256">
        <f>SUM(E54:R54)</f>
        <v>0</v>
      </c>
      <c r="D54" s="1704">
        <f t="shared" si="8"/>
        <v>0</v>
      </c>
      <c r="E54" s="1117"/>
      <c r="F54" s="1117"/>
      <c r="G54" s="1117"/>
      <c r="H54" s="1117"/>
      <c r="I54" s="1117"/>
      <c r="J54" s="1117"/>
      <c r="K54" s="1117"/>
      <c r="L54" s="1117"/>
    </row>
    <row r="55" spans="1:12" ht="15" customHeight="1" thickBot="1" x14ac:dyDescent="0.3">
      <c r="A55" s="1263" t="s">
        <v>724</v>
      </c>
      <c r="B55" s="1279" t="s">
        <v>975</v>
      </c>
      <c r="C55" s="1280">
        <f>+C44+C50</f>
        <v>96417054</v>
      </c>
      <c r="D55" s="1280">
        <f>+D44+D50</f>
        <v>97814941</v>
      </c>
      <c r="E55" s="1117">
        <f>SUM(E45:E54)</f>
        <v>46954144</v>
      </c>
      <c r="F55" s="1117">
        <f t="shared" ref="F55:K55" si="9">SUM(F45:F54)</f>
        <v>8027162</v>
      </c>
      <c r="G55" s="1117">
        <f t="shared" si="9"/>
        <v>0</v>
      </c>
      <c r="H55" s="1117">
        <f t="shared" si="9"/>
        <v>0</v>
      </c>
      <c r="I55" s="1117">
        <f t="shared" si="9"/>
        <v>41435748</v>
      </c>
      <c r="J55" s="1117">
        <f t="shared" si="9"/>
        <v>0</v>
      </c>
      <c r="K55" s="1117">
        <f t="shared" si="9"/>
        <v>0</v>
      </c>
      <c r="L55" s="1117"/>
    </row>
    <row r="56" spans="1:12" ht="13.5" thickBot="1" x14ac:dyDescent="0.3">
      <c r="A56" s="1726"/>
      <c r="B56" s="1727"/>
      <c r="C56" s="1728"/>
      <c r="D56" s="1729"/>
      <c r="E56" s="1117"/>
      <c r="F56" s="1117"/>
      <c r="G56" s="1117"/>
      <c r="H56" s="1117"/>
      <c r="I56" s="1117"/>
      <c r="J56" s="1117"/>
      <c r="K56" s="1117"/>
      <c r="L56" s="1117"/>
    </row>
    <row r="57" spans="1:12" ht="15" customHeight="1" thickBot="1" x14ac:dyDescent="0.3">
      <c r="A57" s="1227" t="s">
        <v>925</v>
      </c>
      <c r="B57" s="1228"/>
      <c r="C57" s="1230">
        <v>12</v>
      </c>
      <c r="D57" s="1230">
        <v>12</v>
      </c>
      <c r="E57" s="1117"/>
      <c r="F57" s="1117"/>
      <c r="G57" s="1117"/>
      <c r="H57" s="1117"/>
      <c r="I57" s="1117"/>
      <c r="J57" s="1117"/>
      <c r="K57" s="1117"/>
      <c r="L57" s="1117"/>
    </row>
    <row r="58" spans="1:12" ht="14.25" customHeight="1" thickBot="1" x14ac:dyDescent="0.3">
      <c r="A58" s="1227" t="s">
        <v>926</v>
      </c>
      <c r="B58" s="1228"/>
      <c r="C58" s="1230">
        <v>0</v>
      </c>
      <c r="D58" s="1230">
        <v>0</v>
      </c>
      <c r="E58" s="1117"/>
      <c r="F58" s="1117"/>
      <c r="G58" s="1117"/>
      <c r="H58" s="1117"/>
      <c r="I58" s="1117"/>
      <c r="J58" s="1117"/>
      <c r="K58" s="1117"/>
      <c r="L58" s="1117"/>
    </row>
    <row r="59" spans="1:12" ht="12.75" customHeight="1" x14ac:dyDescent="0.25">
      <c r="A59" s="1855"/>
      <c r="B59" s="1846"/>
      <c r="C59" s="1846"/>
      <c r="D59" s="1856"/>
      <c r="E59" s="1117"/>
      <c r="F59" s="1117"/>
      <c r="G59" s="1117"/>
      <c r="H59" s="1117"/>
      <c r="I59" s="1117"/>
      <c r="J59" s="1117"/>
      <c r="K59" s="1117"/>
      <c r="L59" s="1117"/>
    </row>
    <row r="60" spans="1:12" x14ac:dyDescent="0.25">
      <c r="A60" s="1726"/>
      <c r="B60" s="1727"/>
      <c r="C60" s="1727"/>
      <c r="D60" s="1730"/>
      <c r="E60" s="1117"/>
      <c r="F60" s="1117"/>
      <c r="G60" s="1117"/>
      <c r="H60" s="1117"/>
      <c r="I60" s="1117"/>
      <c r="J60" s="1117"/>
      <c r="K60" s="1117"/>
      <c r="L60" s="1117"/>
    </row>
    <row r="61" spans="1:12" x14ac:dyDescent="0.25">
      <c r="A61" s="1726"/>
      <c r="B61" s="1727"/>
      <c r="C61" s="1727"/>
      <c r="D61" s="1730"/>
      <c r="E61" s="1117"/>
      <c r="F61" s="1117"/>
      <c r="G61" s="1117"/>
      <c r="H61" s="1117"/>
      <c r="I61" s="1117"/>
      <c r="J61" s="1117"/>
      <c r="K61" s="1117"/>
      <c r="L61" s="1117"/>
    </row>
    <row r="62" spans="1:12" x14ac:dyDescent="0.25">
      <c r="A62" s="1726"/>
      <c r="B62" s="1727"/>
      <c r="C62" s="1727"/>
      <c r="D62" s="1730"/>
    </row>
    <row r="63" spans="1:12" x14ac:dyDescent="0.25">
      <c r="A63" s="1726"/>
      <c r="B63" s="1727"/>
      <c r="C63" s="1727"/>
      <c r="D63" s="1730"/>
    </row>
    <row r="64" spans="1:12" x14ac:dyDescent="0.25">
      <c r="A64" s="1726"/>
      <c r="B64" s="1727"/>
      <c r="C64" s="1727"/>
      <c r="D64" s="1730"/>
    </row>
    <row r="65" spans="1:4" x14ac:dyDescent="0.25">
      <c r="A65" s="1726"/>
      <c r="B65" s="1727"/>
      <c r="C65" s="1727"/>
      <c r="D65" s="1730"/>
    </row>
    <row r="66" spans="1:4" x14ac:dyDescent="0.25">
      <c r="A66" s="1726"/>
      <c r="B66" s="1727"/>
      <c r="C66" s="1727"/>
      <c r="D66" s="1730"/>
    </row>
    <row r="67" spans="1:4" x14ac:dyDescent="0.25">
      <c r="A67" s="1726"/>
      <c r="B67" s="1727"/>
      <c r="C67" s="1727"/>
      <c r="D67" s="1730"/>
    </row>
    <row r="68" spans="1:4" x14ac:dyDescent="0.25">
      <c r="A68" s="1726"/>
      <c r="B68" s="1727"/>
      <c r="C68" s="1727"/>
      <c r="D68" s="1730"/>
    </row>
    <row r="69" spans="1:4" x14ac:dyDescent="0.25">
      <c r="A69" s="1726"/>
      <c r="B69" s="1727"/>
      <c r="C69" s="1727"/>
      <c r="D69" s="1730"/>
    </row>
    <row r="70" spans="1:4" x14ac:dyDescent="0.25">
      <c r="A70" s="1726"/>
      <c r="B70" s="1727"/>
      <c r="C70" s="1727"/>
      <c r="D70" s="1730"/>
    </row>
    <row r="71" spans="1:4" x14ac:dyDescent="0.25">
      <c r="A71" s="1726"/>
      <c r="B71" s="1727"/>
      <c r="C71" s="1727"/>
      <c r="D71" s="1730"/>
    </row>
    <row r="72" spans="1:4" x14ac:dyDescent="0.25">
      <c r="A72" s="1726"/>
      <c r="B72" s="1727"/>
      <c r="C72" s="1727"/>
      <c r="D72" s="1730"/>
    </row>
    <row r="73" spans="1:4" x14ac:dyDescent="0.25">
      <c r="A73" s="1726"/>
      <c r="B73" s="1727"/>
      <c r="C73" s="1727"/>
      <c r="D73" s="1730"/>
    </row>
    <row r="74" spans="1:4" x14ac:dyDescent="0.25">
      <c r="A74" s="1726"/>
      <c r="B74" s="1727"/>
      <c r="C74" s="1727"/>
      <c r="D74" s="1730"/>
    </row>
    <row r="75" spans="1:4" x14ac:dyDescent="0.25">
      <c r="A75" s="1726"/>
      <c r="B75" s="1727"/>
      <c r="C75" s="1727"/>
      <c r="D75" s="1730"/>
    </row>
    <row r="76" spans="1:4" x14ac:dyDescent="0.25">
      <c r="A76" s="1726"/>
      <c r="B76" s="1727"/>
      <c r="C76" s="1727"/>
      <c r="D76" s="1730"/>
    </row>
    <row r="77" spans="1:4" x14ac:dyDescent="0.25">
      <c r="A77" s="1726"/>
      <c r="B77" s="1727"/>
      <c r="C77" s="1727"/>
      <c r="D77" s="1730"/>
    </row>
    <row r="78" spans="1:4" x14ac:dyDescent="0.25">
      <c r="A78" s="1726"/>
      <c r="B78" s="1727"/>
      <c r="C78" s="1727"/>
      <c r="D78" s="1730"/>
    </row>
    <row r="79" spans="1:4" x14ac:dyDescent="0.25">
      <c r="A79" s="1726"/>
      <c r="B79" s="1727"/>
      <c r="C79" s="1727"/>
      <c r="D79" s="1730"/>
    </row>
    <row r="80" spans="1:4" x14ac:dyDescent="0.25">
      <c r="A80" s="1726"/>
      <c r="B80" s="1727"/>
      <c r="C80" s="1727"/>
      <c r="D80" s="1730"/>
    </row>
    <row r="81" spans="1:4" x14ac:dyDescent="0.25">
      <c r="A81" s="1726"/>
      <c r="B81" s="1727"/>
      <c r="C81" s="1727"/>
      <c r="D81" s="1730"/>
    </row>
    <row r="82" spans="1:4" x14ac:dyDescent="0.25">
      <c r="A82" s="1726"/>
      <c r="B82" s="1727"/>
      <c r="C82" s="1727"/>
      <c r="D82" s="1730"/>
    </row>
    <row r="83" spans="1:4" x14ac:dyDescent="0.25">
      <c r="A83" s="1726"/>
      <c r="B83" s="1727"/>
      <c r="C83" s="1727"/>
      <c r="D83" s="1730"/>
    </row>
    <row r="84" spans="1:4" x14ac:dyDescent="0.25">
      <c r="A84" s="1726"/>
      <c r="B84" s="1727"/>
      <c r="C84" s="1727"/>
      <c r="D84" s="1730"/>
    </row>
    <row r="85" spans="1:4" x14ac:dyDescent="0.25">
      <c r="A85" s="1726"/>
      <c r="B85" s="1727"/>
      <c r="C85" s="1727"/>
      <c r="D85" s="1730"/>
    </row>
    <row r="86" spans="1:4" x14ac:dyDescent="0.25">
      <c r="A86" s="1726"/>
      <c r="B86" s="1727"/>
      <c r="C86" s="1727"/>
      <c r="D86" s="1730"/>
    </row>
    <row r="87" spans="1:4" x14ac:dyDescent="0.25">
      <c r="A87" s="1726"/>
      <c r="B87" s="1727"/>
      <c r="C87" s="1727"/>
      <c r="D87" s="1730"/>
    </row>
    <row r="88" spans="1:4" ht="13.5" thickBot="1" x14ac:dyDescent="0.3">
      <c r="A88" s="1731"/>
      <c r="B88" s="1732"/>
      <c r="C88" s="1732"/>
      <c r="D88" s="1733"/>
    </row>
    <row r="90" spans="1:4" ht="13.5" thickBot="1" x14ac:dyDescent="0.3"/>
    <row r="91" spans="1:4" x14ac:dyDescent="0.25">
      <c r="A91" s="1739"/>
      <c r="B91" s="1740"/>
      <c r="C91" s="1740"/>
      <c r="D91" s="1741"/>
    </row>
    <row r="92" spans="1:4" x14ac:dyDescent="0.25">
      <c r="A92" s="1726"/>
      <c r="B92" s="1727"/>
      <c r="C92" s="1727"/>
      <c r="D92" s="1730"/>
    </row>
    <row r="93" spans="1:4" x14ac:dyDescent="0.25">
      <c r="A93" s="1726"/>
      <c r="B93" s="1727"/>
      <c r="C93" s="1727"/>
      <c r="D93" s="1730"/>
    </row>
    <row r="94" spans="1:4" x14ac:dyDescent="0.25">
      <c r="A94" s="1726"/>
      <c r="B94" s="1727"/>
      <c r="C94" s="1727"/>
      <c r="D94" s="1730"/>
    </row>
    <row r="95" spans="1:4" x14ac:dyDescent="0.25">
      <c r="A95" s="1726"/>
      <c r="B95" s="1727"/>
      <c r="C95" s="1727"/>
      <c r="D95" s="1730"/>
    </row>
    <row r="96" spans="1:4" x14ac:dyDescent="0.25">
      <c r="A96" s="1726"/>
      <c r="B96" s="1727"/>
      <c r="C96" s="1727"/>
      <c r="D96" s="1730"/>
    </row>
    <row r="97" spans="1:4" x14ac:dyDescent="0.25">
      <c r="A97" s="1726"/>
      <c r="B97" s="1727"/>
      <c r="C97" s="1727"/>
      <c r="D97" s="1730"/>
    </row>
    <row r="98" spans="1:4" x14ac:dyDescent="0.25">
      <c r="A98" s="1726"/>
      <c r="B98" s="1727"/>
      <c r="C98" s="1727"/>
      <c r="D98" s="1730"/>
    </row>
    <row r="99" spans="1:4" x14ac:dyDescent="0.25">
      <c r="A99" s="1726"/>
      <c r="B99" s="1727"/>
      <c r="C99" s="1727"/>
      <c r="D99" s="1730"/>
    </row>
    <row r="100" spans="1:4" x14ac:dyDescent="0.25">
      <c r="A100" s="1726"/>
      <c r="B100" s="1727"/>
      <c r="C100" s="1727"/>
      <c r="D100" s="1730"/>
    </row>
    <row r="101" spans="1:4" x14ac:dyDescent="0.25">
      <c r="A101" s="1726"/>
      <c r="B101" s="1727"/>
      <c r="C101" s="1727"/>
      <c r="D101" s="1730"/>
    </row>
    <row r="102" spans="1:4" x14ac:dyDescent="0.25">
      <c r="A102" s="1726"/>
      <c r="B102" s="1727"/>
      <c r="C102" s="1727"/>
      <c r="D102" s="1730"/>
    </row>
    <row r="103" spans="1:4" x14ac:dyDescent="0.25">
      <c r="A103" s="1726"/>
      <c r="B103" s="1727"/>
      <c r="C103" s="1727"/>
      <c r="D103" s="1730"/>
    </row>
    <row r="104" spans="1:4" x14ac:dyDescent="0.25">
      <c r="A104" s="1726"/>
      <c r="B104" s="1727"/>
      <c r="C104" s="1727"/>
      <c r="D104" s="1730"/>
    </row>
    <row r="105" spans="1:4" x14ac:dyDescent="0.25">
      <c r="A105" s="1726"/>
      <c r="B105" s="1727"/>
      <c r="C105" s="1727"/>
      <c r="D105" s="1730"/>
    </row>
    <row r="106" spans="1:4" x14ac:dyDescent="0.25">
      <c r="A106" s="1726"/>
      <c r="B106" s="1727"/>
      <c r="C106" s="1727"/>
      <c r="D106" s="1730"/>
    </row>
    <row r="107" spans="1:4" x14ac:dyDescent="0.25">
      <c r="A107" s="1726"/>
      <c r="B107" s="1727"/>
      <c r="C107" s="1727"/>
      <c r="D107" s="1730"/>
    </row>
    <row r="108" spans="1:4" x14ac:dyDescent="0.25">
      <c r="A108" s="1726"/>
      <c r="B108" s="1727"/>
      <c r="C108" s="1727"/>
      <c r="D108" s="1730"/>
    </row>
    <row r="109" spans="1:4" x14ac:dyDescent="0.25">
      <c r="A109" s="1726"/>
      <c r="B109" s="1727"/>
      <c r="C109" s="1727"/>
      <c r="D109" s="1730"/>
    </row>
    <row r="110" spans="1:4" x14ac:dyDescent="0.25">
      <c r="A110" s="1726"/>
      <c r="B110" s="1727"/>
      <c r="C110" s="1727"/>
      <c r="D110" s="1730"/>
    </row>
    <row r="111" spans="1:4" x14ac:dyDescent="0.25">
      <c r="A111" s="1726"/>
      <c r="B111" s="1727"/>
      <c r="C111" s="1727"/>
      <c r="D111" s="1730"/>
    </row>
    <row r="112" spans="1:4" x14ac:dyDescent="0.25">
      <c r="A112" s="1726"/>
      <c r="B112" s="1727"/>
      <c r="C112" s="1727"/>
      <c r="D112" s="1730"/>
    </row>
    <row r="113" spans="1:4" x14ac:dyDescent="0.25">
      <c r="A113" s="1726"/>
      <c r="B113" s="1727"/>
      <c r="C113" s="1727"/>
      <c r="D113" s="1730"/>
    </row>
    <row r="114" spans="1:4" x14ac:dyDescent="0.25">
      <c r="A114" s="1726"/>
      <c r="B114" s="1727"/>
      <c r="C114" s="1727"/>
      <c r="D114" s="1730"/>
    </row>
    <row r="115" spans="1:4" x14ac:dyDescent="0.25">
      <c r="A115" s="1726"/>
      <c r="B115" s="1727"/>
      <c r="C115" s="1727"/>
      <c r="D115" s="1730"/>
    </row>
    <row r="116" spans="1:4" x14ac:dyDescent="0.25">
      <c r="A116" s="1726"/>
      <c r="B116" s="1727"/>
      <c r="C116" s="1727"/>
      <c r="D116" s="1730"/>
    </row>
    <row r="117" spans="1:4" x14ac:dyDescent="0.25">
      <c r="A117" s="1726"/>
      <c r="B117" s="1727"/>
      <c r="C117" s="1727"/>
      <c r="D117" s="1730"/>
    </row>
    <row r="118" spans="1:4" x14ac:dyDescent="0.25">
      <c r="A118" s="1726"/>
      <c r="B118" s="1727"/>
      <c r="C118" s="1727"/>
      <c r="D118" s="1730"/>
    </row>
    <row r="119" spans="1:4" x14ac:dyDescent="0.25">
      <c r="A119" s="1726"/>
      <c r="B119" s="1727"/>
      <c r="C119" s="1727"/>
      <c r="D119" s="1730"/>
    </row>
    <row r="120" spans="1:4" x14ac:dyDescent="0.25">
      <c r="A120" s="1726"/>
      <c r="B120" s="1727"/>
      <c r="C120" s="1727"/>
      <c r="D120" s="1730"/>
    </row>
    <row r="121" spans="1:4" x14ac:dyDescent="0.25">
      <c r="A121" s="1726"/>
      <c r="B121" s="1727"/>
      <c r="C121" s="1727"/>
      <c r="D121" s="1730"/>
    </row>
    <row r="122" spans="1:4" x14ac:dyDescent="0.25">
      <c r="A122" s="1726"/>
      <c r="B122" s="1727"/>
      <c r="C122" s="1727"/>
      <c r="D122" s="1730"/>
    </row>
    <row r="123" spans="1:4" x14ac:dyDescent="0.25">
      <c r="A123" s="1726"/>
      <c r="B123" s="1727"/>
      <c r="C123" s="1727"/>
      <c r="D123" s="1730"/>
    </row>
    <row r="124" spans="1:4" x14ac:dyDescent="0.25">
      <c r="A124" s="1726"/>
      <c r="B124" s="1727"/>
      <c r="C124" s="1727"/>
      <c r="D124" s="1730"/>
    </row>
    <row r="125" spans="1:4" x14ac:dyDescent="0.25">
      <c r="A125" s="1726"/>
      <c r="B125" s="1727"/>
      <c r="C125" s="1727"/>
      <c r="D125" s="1730"/>
    </row>
    <row r="126" spans="1:4" x14ac:dyDescent="0.25">
      <c r="A126" s="1726"/>
      <c r="B126" s="1727"/>
      <c r="C126" s="1727"/>
      <c r="D126" s="1730"/>
    </row>
    <row r="127" spans="1:4" x14ac:dyDescent="0.25">
      <c r="A127" s="1726"/>
      <c r="B127" s="1727"/>
      <c r="C127" s="1727"/>
      <c r="D127" s="1730"/>
    </row>
    <row r="128" spans="1:4" x14ac:dyDescent="0.25">
      <c r="A128" s="1726"/>
      <c r="B128" s="1727"/>
      <c r="C128" s="1727"/>
      <c r="D128" s="1730"/>
    </row>
    <row r="129" spans="1:4" x14ac:dyDescent="0.25">
      <c r="A129" s="1726"/>
      <c r="B129" s="1727"/>
      <c r="C129" s="1727"/>
      <c r="D129" s="1730"/>
    </row>
    <row r="130" spans="1:4" x14ac:dyDescent="0.25">
      <c r="A130" s="1726"/>
      <c r="B130" s="1727"/>
      <c r="C130" s="1727"/>
      <c r="D130" s="1730"/>
    </row>
    <row r="131" spans="1:4" x14ac:dyDescent="0.25">
      <c r="A131" s="1726"/>
      <c r="B131" s="1727"/>
      <c r="C131" s="1727"/>
      <c r="D131" s="1730"/>
    </row>
    <row r="132" spans="1:4" x14ac:dyDescent="0.25">
      <c r="A132" s="1726"/>
      <c r="B132" s="1727"/>
      <c r="C132" s="1727"/>
      <c r="D132" s="1730"/>
    </row>
    <row r="133" spans="1:4" x14ac:dyDescent="0.25">
      <c r="A133" s="1726"/>
      <c r="B133" s="1727"/>
      <c r="C133" s="1727"/>
      <c r="D133" s="1730"/>
    </row>
    <row r="134" spans="1:4" x14ac:dyDescent="0.25">
      <c r="A134" s="1726"/>
      <c r="B134" s="1727"/>
      <c r="C134" s="1727"/>
      <c r="D134" s="1730"/>
    </row>
    <row r="135" spans="1:4" x14ac:dyDescent="0.25">
      <c r="A135" s="1726"/>
      <c r="B135" s="1727"/>
      <c r="C135" s="1727"/>
      <c r="D135" s="1730"/>
    </row>
    <row r="136" spans="1:4" x14ac:dyDescent="0.25">
      <c r="A136" s="1726"/>
      <c r="B136" s="1727"/>
      <c r="C136" s="1727"/>
      <c r="D136" s="1730"/>
    </row>
    <row r="137" spans="1:4" x14ac:dyDescent="0.25">
      <c r="A137" s="1726"/>
      <c r="B137" s="1727"/>
      <c r="C137" s="1727"/>
      <c r="D137" s="1730"/>
    </row>
    <row r="138" spans="1:4" x14ac:dyDescent="0.25">
      <c r="A138" s="1726"/>
      <c r="B138" s="1727"/>
      <c r="C138" s="1727"/>
      <c r="D138" s="1730"/>
    </row>
    <row r="139" spans="1:4" x14ac:dyDescent="0.25">
      <c r="A139" s="1726"/>
      <c r="B139" s="1727"/>
      <c r="C139" s="1727"/>
      <c r="D139" s="1730"/>
    </row>
    <row r="140" spans="1:4" x14ac:dyDescent="0.25">
      <c r="A140" s="1726"/>
      <c r="B140" s="1727"/>
      <c r="C140" s="1727"/>
      <c r="D140" s="1730"/>
    </row>
    <row r="141" spans="1:4" x14ac:dyDescent="0.25">
      <c r="A141" s="1726"/>
      <c r="B141" s="1727"/>
      <c r="C141" s="1727"/>
      <c r="D141" s="1730"/>
    </row>
    <row r="142" spans="1:4" x14ac:dyDescent="0.25">
      <c r="A142" s="1726"/>
      <c r="B142" s="1727"/>
      <c r="C142" s="1727"/>
      <c r="D142" s="1730"/>
    </row>
    <row r="143" spans="1:4" x14ac:dyDescent="0.25">
      <c r="A143" s="1726"/>
      <c r="B143" s="1727"/>
      <c r="C143" s="1727"/>
      <c r="D143" s="1730"/>
    </row>
    <row r="144" spans="1:4" x14ac:dyDescent="0.25">
      <c r="A144" s="1726"/>
      <c r="B144" s="1727"/>
      <c r="C144" s="1727"/>
      <c r="D144" s="1730"/>
    </row>
    <row r="145" spans="1:4" x14ac:dyDescent="0.25">
      <c r="A145" s="1726"/>
      <c r="B145" s="1727"/>
      <c r="C145" s="1727"/>
      <c r="D145" s="1730"/>
    </row>
    <row r="146" spans="1:4" ht="13.5" thickBot="1" x14ac:dyDescent="0.3">
      <c r="A146" s="1731"/>
      <c r="B146" s="1732"/>
      <c r="C146" s="1732"/>
      <c r="D146" s="1733"/>
    </row>
  </sheetData>
  <sheetProtection selectLockedCells="1" selectUnlockedCells="1"/>
  <mergeCells count="6">
    <mergeCell ref="A59:D59"/>
    <mergeCell ref="A1:D1"/>
    <mergeCell ref="C2:D3"/>
    <mergeCell ref="C4:D4"/>
    <mergeCell ref="A7:D7"/>
    <mergeCell ref="A43:D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K61"/>
  <sheetViews>
    <sheetView view="pageBreakPreview" zoomScaleNormal="100" zoomScaleSheetLayoutView="100" workbookViewId="0">
      <selection activeCell="C2" sqref="C2:D3"/>
    </sheetView>
  </sheetViews>
  <sheetFormatPr defaultRowHeight="12.75" x14ac:dyDescent="0.25"/>
  <cols>
    <col min="1" max="1" width="11.85546875" style="1224" customWidth="1"/>
    <col min="2" max="2" width="56.28515625" style="1225" customWidth="1"/>
    <col min="3" max="3" width="14.7109375" style="1225" customWidth="1"/>
    <col min="4" max="4" width="15.140625" style="1225" customWidth="1"/>
    <col min="5" max="8" width="9.140625" style="1118" hidden="1" customWidth="1"/>
    <col min="9" max="16" width="9.140625" style="1118" customWidth="1"/>
    <col min="17" max="253" width="9.140625" style="1118"/>
    <col min="254" max="254" width="11.85546875" style="1118" customWidth="1"/>
    <col min="255" max="255" width="56.28515625" style="1118" customWidth="1"/>
    <col min="256" max="256" width="14.7109375" style="1118" customWidth="1"/>
    <col min="257" max="257" width="15.140625" style="1118" customWidth="1"/>
    <col min="258" max="265" width="9.140625" style="1118" customWidth="1"/>
    <col min="266" max="509" width="9.140625" style="1118"/>
    <col min="510" max="510" width="11.85546875" style="1118" customWidth="1"/>
    <col min="511" max="511" width="56.28515625" style="1118" customWidth="1"/>
    <col min="512" max="512" width="14.7109375" style="1118" customWidth="1"/>
    <col min="513" max="513" width="15.140625" style="1118" customWidth="1"/>
    <col min="514" max="521" width="9.140625" style="1118" customWidth="1"/>
    <col min="522" max="765" width="9.140625" style="1118"/>
    <col min="766" max="766" width="11.85546875" style="1118" customWidth="1"/>
    <col min="767" max="767" width="56.28515625" style="1118" customWidth="1"/>
    <col min="768" max="768" width="14.7109375" style="1118" customWidth="1"/>
    <col min="769" max="769" width="15.140625" style="1118" customWidth="1"/>
    <col min="770" max="777" width="9.140625" style="1118" customWidth="1"/>
    <col min="778" max="1021" width="9.140625" style="1118"/>
    <col min="1022" max="1022" width="11.85546875" style="1118" customWidth="1"/>
    <col min="1023" max="1023" width="56.28515625" style="1118" customWidth="1"/>
    <col min="1024" max="1024" width="14.7109375" style="1118" customWidth="1"/>
    <col min="1025" max="1025" width="15.140625" style="1118" customWidth="1"/>
    <col min="1026" max="1033" width="9.140625" style="1118" customWidth="1"/>
    <col min="1034" max="1277" width="9.140625" style="1118"/>
    <col min="1278" max="1278" width="11.85546875" style="1118" customWidth="1"/>
    <col min="1279" max="1279" width="56.28515625" style="1118" customWidth="1"/>
    <col min="1280" max="1280" width="14.7109375" style="1118" customWidth="1"/>
    <col min="1281" max="1281" width="15.140625" style="1118" customWidth="1"/>
    <col min="1282" max="1289" width="9.140625" style="1118" customWidth="1"/>
    <col min="1290" max="1533" width="9.140625" style="1118"/>
    <col min="1534" max="1534" width="11.85546875" style="1118" customWidth="1"/>
    <col min="1535" max="1535" width="56.28515625" style="1118" customWidth="1"/>
    <col min="1536" max="1536" width="14.7109375" style="1118" customWidth="1"/>
    <col min="1537" max="1537" width="15.140625" style="1118" customWidth="1"/>
    <col min="1538" max="1545" width="9.140625" style="1118" customWidth="1"/>
    <col min="1546" max="1789" width="9.140625" style="1118"/>
    <col min="1790" max="1790" width="11.85546875" style="1118" customWidth="1"/>
    <col min="1791" max="1791" width="56.28515625" style="1118" customWidth="1"/>
    <col min="1792" max="1792" width="14.7109375" style="1118" customWidth="1"/>
    <col min="1793" max="1793" width="15.140625" style="1118" customWidth="1"/>
    <col min="1794" max="1801" width="9.140625" style="1118" customWidth="1"/>
    <col min="1802" max="2045" width="9.140625" style="1118"/>
    <col min="2046" max="2046" width="11.85546875" style="1118" customWidth="1"/>
    <col min="2047" max="2047" width="56.28515625" style="1118" customWidth="1"/>
    <col min="2048" max="2048" width="14.7109375" style="1118" customWidth="1"/>
    <col min="2049" max="2049" width="15.140625" style="1118" customWidth="1"/>
    <col min="2050" max="2057" width="9.140625" style="1118" customWidth="1"/>
    <col min="2058" max="2301" width="9.140625" style="1118"/>
    <col min="2302" max="2302" width="11.85546875" style="1118" customWidth="1"/>
    <col min="2303" max="2303" width="56.28515625" style="1118" customWidth="1"/>
    <col min="2304" max="2304" width="14.7109375" style="1118" customWidth="1"/>
    <col min="2305" max="2305" width="15.140625" style="1118" customWidth="1"/>
    <col min="2306" max="2313" width="9.140625" style="1118" customWidth="1"/>
    <col min="2314" max="2557" width="9.140625" style="1118"/>
    <col min="2558" max="2558" width="11.85546875" style="1118" customWidth="1"/>
    <col min="2559" max="2559" width="56.28515625" style="1118" customWidth="1"/>
    <col min="2560" max="2560" width="14.7109375" style="1118" customWidth="1"/>
    <col min="2561" max="2561" width="15.140625" style="1118" customWidth="1"/>
    <col min="2562" max="2569" width="9.140625" style="1118" customWidth="1"/>
    <col min="2570" max="2813" width="9.140625" style="1118"/>
    <col min="2814" max="2814" width="11.85546875" style="1118" customWidth="1"/>
    <col min="2815" max="2815" width="56.28515625" style="1118" customWidth="1"/>
    <col min="2816" max="2816" width="14.7109375" style="1118" customWidth="1"/>
    <col min="2817" max="2817" width="15.140625" style="1118" customWidth="1"/>
    <col min="2818" max="2825" width="9.140625" style="1118" customWidth="1"/>
    <col min="2826" max="3069" width="9.140625" style="1118"/>
    <col min="3070" max="3070" width="11.85546875" style="1118" customWidth="1"/>
    <col min="3071" max="3071" width="56.28515625" style="1118" customWidth="1"/>
    <col min="3072" max="3072" width="14.7109375" style="1118" customWidth="1"/>
    <col min="3073" max="3073" width="15.140625" style="1118" customWidth="1"/>
    <col min="3074" max="3081" width="9.140625" style="1118" customWidth="1"/>
    <col min="3082" max="3325" width="9.140625" style="1118"/>
    <col min="3326" max="3326" width="11.85546875" style="1118" customWidth="1"/>
    <col min="3327" max="3327" width="56.28515625" style="1118" customWidth="1"/>
    <col min="3328" max="3328" width="14.7109375" style="1118" customWidth="1"/>
    <col min="3329" max="3329" width="15.140625" style="1118" customWidth="1"/>
    <col min="3330" max="3337" width="9.140625" style="1118" customWidth="1"/>
    <col min="3338" max="3581" width="9.140625" style="1118"/>
    <col min="3582" max="3582" width="11.85546875" style="1118" customWidth="1"/>
    <col min="3583" max="3583" width="56.28515625" style="1118" customWidth="1"/>
    <col min="3584" max="3584" width="14.7109375" style="1118" customWidth="1"/>
    <col min="3585" max="3585" width="15.140625" style="1118" customWidth="1"/>
    <col min="3586" max="3593" width="9.140625" style="1118" customWidth="1"/>
    <col min="3594" max="3837" width="9.140625" style="1118"/>
    <col min="3838" max="3838" width="11.85546875" style="1118" customWidth="1"/>
    <col min="3839" max="3839" width="56.28515625" style="1118" customWidth="1"/>
    <col min="3840" max="3840" width="14.7109375" style="1118" customWidth="1"/>
    <col min="3841" max="3841" width="15.140625" style="1118" customWidth="1"/>
    <col min="3842" max="3849" width="9.140625" style="1118" customWidth="1"/>
    <col min="3850" max="4093" width="9.140625" style="1118"/>
    <col min="4094" max="4094" width="11.85546875" style="1118" customWidth="1"/>
    <col min="4095" max="4095" width="56.28515625" style="1118" customWidth="1"/>
    <col min="4096" max="4096" width="14.7109375" style="1118" customWidth="1"/>
    <col min="4097" max="4097" width="15.140625" style="1118" customWidth="1"/>
    <col min="4098" max="4105" width="9.140625" style="1118" customWidth="1"/>
    <col min="4106" max="4349" width="9.140625" style="1118"/>
    <col min="4350" max="4350" width="11.85546875" style="1118" customWidth="1"/>
    <col min="4351" max="4351" width="56.28515625" style="1118" customWidth="1"/>
    <col min="4352" max="4352" width="14.7109375" style="1118" customWidth="1"/>
    <col min="4353" max="4353" width="15.140625" style="1118" customWidth="1"/>
    <col min="4354" max="4361" width="9.140625" style="1118" customWidth="1"/>
    <col min="4362" max="4605" width="9.140625" style="1118"/>
    <col min="4606" max="4606" width="11.85546875" style="1118" customWidth="1"/>
    <col min="4607" max="4607" width="56.28515625" style="1118" customWidth="1"/>
    <col min="4608" max="4608" width="14.7109375" style="1118" customWidth="1"/>
    <col min="4609" max="4609" width="15.140625" style="1118" customWidth="1"/>
    <col min="4610" max="4617" width="9.140625" style="1118" customWidth="1"/>
    <col min="4618" max="4861" width="9.140625" style="1118"/>
    <col min="4862" max="4862" width="11.85546875" style="1118" customWidth="1"/>
    <col min="4863" max="4863" width="56.28515625" style="1118" customWidth="1"/>
    <col min="4864" max="4864" width="14.7109375" style="1118" customWidth="1"/>
    <col min="4865" max="4865" width="15.140625" style="1118" customWidth="1"/>
    <col min="4866" max="4873" width="9.140625" style="1118" customWidth="1"/>
    <col min="4874" max="5117" width="9.140625" style="1118"/>
    <col min="5118" max="5118" width="11.85546875" style="1118" customWidth="1"/>
    <col min="5119" max="5119" width="56.28515625" style="1118" customWidth="1"/>
    <col min="5120" max="5120" width="14.7109375" style="1118" customWidth="1"/>
    <col min="5121" max="5121" width="15.140625" style="1118" customWidth="1"/>
    <col min="5122" max="5129" width="9.140625" style="1118" customWidth="1"/>
    <col min="5130" max="5373" width="9.140625" style="1118"/>
    <col min="5374" max="5374" width="11.85546875" style="1118" customWidth="1"/>
    <col min="5375" max="5375" width="56.28515625" style="1118" customWidth="1"/>
    <col min="5376" max="5376" width="14.7109375" style="1118" customWidth="1"/>
    <col min="5377" max="5377" width="15.140625" style="1118" customWidth="1"/>
    <col min="5378" max="5385" width="9.140625" style="1118" customWidth="1"/>
    <col min="5386" max="5629" width="9.140625" style="1118"/>
    <col min="5630" max="5630" width="11.85546875" style="1118" customWidth="1"/>
    <col min="5631" max="5631" width="56.28515625" style="1118" customWidth="1"/>
    <col min="5632" max="5632" width="14.7109375" style="1118" customWidth="1"/>
    <col min="5633" max="5633" width="15.140625" style="1118" customWidth="1"/>
    <col min="5634" max="5641" width="9.140625" style="1118" customWidth="1"/>
    <col min="5642" max="5885" width="9.140625" style="1118"/>
    <col min="5886" max="5886" width="11.85546875" style="1118" customWidth="1"/>
    <col min="5887" max="5887" width="56.28515625" style="1118" customWidth="1"/>
    <col min="5888" max="5888" width="14.7109375" style="1118" customWidth="1"/>
    <col min="5889" max="5889" width="15.140625" style="1118" customWidth="1"/>
    <col min="5890" max="5897" width="9.140625" style="1118" customWidth="1"/>
    <col min="5898" max="6141" width="9.140625" style="1118"/>
    <col min="6142" max="6142" width="11.85546875" style="1118" customWidth="1"/>
    <col min="6143" max="6143" width="56.28515625" style="1118" customWidth="1"/>
    <col min="6144" max="6144" width="14.7109375" style="1118" customWidth="1"/>
    <col min="6145" max="6145" width="15.140625" style="1118" customWidth="1"/>
    <col min="6146" max="6153" width="9.140625" style="1118" customWidth="1"/>
    <col min="6154" max="6397" width="9.140625" style="1118"/>
    <col min="6398" max="6398" width="11.85546875" style="1118" customWidth="1"/>
    <col min="6399" max="6399" width="56.28515625" style="1118" customWidth="1"/>
    <col min="6400" max="6400" width="14.7109375" style="1118" customWidth="1"/>
    <col min="6401" max="6401" width="15.140625" style="1118" customWidth="1"/>
    <col min="6402" max="6409" width="9.140625" style="1118" customWidth="1"/>
    <col min="6410" max="6653" width="9.140625" style="1118"/>
    <col min="6654" max="6654" width="11.85546875" style="1118" customWidth="1"/>
    <col min="6655" max="6655" width="56.28515625" style="1118" customWidth="1"/>
    <col min="6656" max="6656" width="14.7109375" style="1118" customWidth="1"/>
    <col min="6657" max="6657" width="15.140625" style="1118" customWidth="1"/>
    <col min="6658" max="6665" width="9.140625" style="1118" customWidth="1"/>
    <col min="6666" max="6909" width="9.140625" style="1118"/>
    <col min="6910" max="6910" width="11.85546875" style="1118" customWidth="1"/>
    <col min="6911" max="6911" width="56.28515625" style="1118" customWidth="1"/>
    <col min="6912" max="6912" width="14.7109375" style="1118" customWidth="1"/>
    <col min="6913" max="6913" width="15.140625" style="1118" customWidth="1"/>
    <col min="6914" max="6921" width="9.140625" style="1118" customWidth="1"/>
    <col min="6922" max="7165" width="9.140625" style="1118"/>
    <col min="7166" max="7166" width="11.85546875" style="1118" customWidth="1"/>
    <col min="7167" max="7167" width="56.28515625" style="1118" customWidth="1"/>
    <col min="7168" max="7168" width="14.7109375" style="1118" customWidth="1"/>
    <col min="7169" max="7169" width="15.140625" style="1118" customWidth="1"/>
    <col min="7170" max="7177" width="9.140625" style="1118" customWidth="1"/>
    <col min="7178" max="7421" width="9.140625" style="1118"/>
    <col min="7422" max="7422" width="11.85546875" style="1118" customWidth="1"/>
    <col min="7423" max="7423" width="56.28515625" style="1118" customWidth="1"/>
    <col min="7424" max="7424" width="14.7109375" style="1118" customWidth="1"/>
    <col min="7425" max="7425" width="15.140625" style="1118" customWidth="1"/>
    <col min="7426" max="7433" width="9.140625" style="1118" customWidth="1"/>
    <col min="7434" max="7677" width="9.140625" style="1118"/>
    <col min="7678" max="7678" width="11.85546875" style="1118" customWidth="1"/>
    <col min="7679" max="7679" width="56.28515625" style="1118" customWidth="1"/>
    <col min="7680" max="7680" width="14.7109375" style="1118" customWidth="1"/>
    <col min="7681" max="7681" width="15.140625" style="1118" customWidth="1"/>
    <col min="7682" max="7689" width="9.140625" style="1118" customWidth="1"/>
    <col min="7690" max="7933" width="9.140625" style="1118"/>
    <col min="7934" max="7934" width="11.85546875" style="1118" customWidth="1"/>
    <col min="7935" max="7935" width="56.28515625" style="1118" customWidth="1"/>
    <col min="7936" max="7936" width="14.7109375" style="1118" customWidth="1"/>
    <col min="7937" max="7937" width="15.140625" style="1118" customWidth="1"/>
    <col min="7938" max="7945" width="9.140625" style="1118" customWidth="1"/>
    <col min="7946" max="8189" width="9.140625" style="1118"/>
    <col min="8190" max="8190" width="11.85546875" style="1118" customWidth="1"/>
    <col min="8191" max="8191" width="56.28515625" style="1118" customWidth="1"/>
    <col min="8192" max="8192" width="14.7109375" style="1118" customWidth="1"/>
    <col min="8193" max="8193" width="15.140625" style="1118" customWidth="1"/>
    <col min="8194" max="8201" width="9.140625" style="1118" customWidth="1"/>
    <col min="8202" max="8445" width="9.140625" style="1118"/>
    <col min="8446" max="8446" width="11.85546875" style="1118" customWidth="1"/>
    <col min="8447" max="8447" width="56.28515625" style="1118" customWidth="1"/>
    <col min="8448" max="8448" width="14.7109375" style="1118" customWidth="1"/>
    <col min="8449" max="8449" width="15.140625" style="1118" customWidth="1"/>
    <col min="8450" max="8457" width="9.140625" style="1118" customWidth="1"/>
    <col min="8458" max="8701" width="9.140625" style="1118"/>
    <col min="8702" max="8702" width="11.85546875" style="1118" customWidth="1"/>
    <col min="8703" max="8703" width="56.28515625" style="1118" customWidth="1"/>
    <col min="8704" max="8704" width="14.7109375" style="1118" customWidth="1"/>
    <col min="8705" max="8705" width="15.140625" style="1118" customWidth="1"/>
    <col min="8706" max="8713" width="9.140625" style="1118" customWidth="1"/>
    <col min="8714" max="8957" width="9.140625" style="1118"/>
    <col min="8958" max="8958" width="11.85546875" style="1118" customWidth="1"/>
    <col min="8959" max="8959" width="56.28515625" style="1118" customWidth="1"/>
    <col min="8960" max="8960" width="14.7109375" style="1118" customWidth="1"/>
    <col min="8961" max="8961" width="15.140625" style="1118" customWidth="1"/>
    <col min="8962" max="8969" width="9.140625" style="1118" customWidth="1"/>
    <col min="8970" max="9213" width="9.140625" style="1118"/>
    <col min="9214" max="9214" width="11.85546875" style="1118" customWidth="1"/>
    <col min="9215" max="9215" width="56.28515625" style="1118" customWidth="1"/>
    <col min="9216" max="9216" width="14.7109375" style="1118" customWidth="1"/>
    <col min="9217" max="9217" width="15.140625" style="1118" customWidth="1"/>
    <col min="9218" max="9225" width="9.140625" style="1118" customWidth="1"/>
    <col min="9226" max="9469" width="9.140625" style="1118"/>
    <col min="9470" max="9470" width="11.85546875" style="1118" customWidth="1"/>
    <col min="9471" max="9471" width="56.28515625" style="1118" customWidth="1"/>
    <col min="9472" max="9472" width="14.7109375" style="1118" customWidth="1"/>
    <col min="9473" max="9473" width="15.140625" style="1118" customWidth="1"/>
    <col min="9474" max="9481" width="9.140625" style="1118" customWidth="1"/>
    <col min="9482" max="9725" width="9.140625" style="1118"/>
    <col min="9726" max="9726" width="11.85546875" style="1118" customWidth="1"/>
    <col min="9727" max="9727" width="56.28515625" style="1118" customWidth="1"/>
    <col min="9728" max="9728" width="14.7109375" style="1118" customWidth="1"/>
    <col min="9729" max="9729" width="15.140625" style="1118" customWidth="1"/>
    <col min="9730" max="9737" width="9.140625" style="1118" customWidth="1"/>
    <col min="9738" max="9981" width="9.140625" style="1118"/>
    <col min="9982" max="9982" width="11.85546875" style="1118" customWidth="1"/>
    <col min="9983" max="9983" width="56.28515625" style="1118" customWidth="1"/>
    <col min="9984" max="9984" width="14.7109375" style="1118" customWidth="1"/>
    <col min="9985" max="9985" width="15.140625" style="1118" customWidth="1"/>
    <col min="9986" max="9993" width="9.140625" style="1118" customWidth="1"/>
    <col min="9994" max="10237" width="9.140625" style="1118"/>
    <col min="10238" max="10238" width="11.85546875" style="1118" customWidth="1"/>
    <col min="10239" max="10239" width="56.28515625" style="1118" customWidth="1"/>
    <col min="10240" max="10240" width="14.7109375" style="1118" customWidth="1"/>
    <col min="10241" max="10241" width="15.140625" style="1118" customWidth="1"/>
    <col min="10242" max="10249" width="9.140625" style="1118" customWidth="1"/>
    <col min="10250" max="10493" width="9.140625" style="1118"/>
    <col min="10494" max="10494" width="11.85546875" style="1118" customWidth="1"/>
    <col min="10495" max="10495" width="56.28515625" style="1118" customWidth="1"/>
    <col min="10496" max="10496" width="14.7109375" style="1118" customWidth="1"/>
    <col min="10497" max="10497" width="15.140625" style="1118" customWidth="1"/>
    <col min="10498" max="10505" width="9.140625" style="1118" customWidth="1"/>
    <col min="10506" max="10749" width="9.140625" style="1118"/>
    <col min="10750" max="10750" width="11.85546875" style="1118" customWidth="1"/>
    <col min="10751" max="10751" width="56.28515625" style="1118" customWidth="1"/>
    <col min="10752" max="10752" width="14.7109375" style="1118" customWidth="1"/>
    <col min="10753" max="10753" width="15.140625" style="1118" customWidth="1"/>
    <col min="10754" max="10761" width="9.140625" style="1118" customWidth="1"/>
    <col min="10762" max="11005" width="9.140625" style="1118"/>
    <col min="11006" max="11006" width="11.85546875" style="1118" customWidth="1"/>
    <col min="11007" max="11007" width="56.28515625" style="1118" customWidth="1"/>
    <col min="11008" max="11008" width="14.7109375" style="1118" customWidth="1"/>
    <col min="11009" max="11009" width="15.140625" style="1118" customWidth="1"/>
    <col min="11010" max="11017" width="9.140625" style="1118" customWidth="1"/>
    <col min="11018" max="11261" width="9.140625" style="1118"/>
    <col min="11262" max="11262" width="11.85546875" style="1118" customWidth="1"/>
    <col min="11263" max="11263" width="56.28515625" style="1118" customWidth="1"/>
    <col min="11264" max="11264" width="14.7109375" style="1118" customWidth="1"/>
    <col min="11265" max="11265" width="15.140625" style="1118" customWidth="1"/>
    <col min="11266" max="11273" width="9.140625" style="1118" customWidth="1"/>
    <col min="11274" max="11517" width="9.140625" style="1118"/>
    <col min="11518" max="11518" width="11.85546875" style="1118" customWidth="1"/>
    <col min="11519" max="11519" width="56.28515625" style="1118" customWidth="1"/>
    <col min="11520" max="11520" width="14.7109375" style="1118" customWidth="1"/>
    <col min="11521" max="11521" width="15.140625" style="1118" customWidth="1"/>
    <col min="11522" max="11529" width="9.140625" style="1118" customWidth="1"/>
    <col min="11530" max="11773" width="9.140625" style="1118"/>
    <col min="11774" max="11774" width="11.85546875" style="1118" customWidth="1"/>
    <col min="11775" max="11775" width="56.28515625" style="1118" customWidth="1"/>
    <col min="11776" max="11776" width="14.7109375" style="1118" customWidth="1"/>
    <col min="11777" max="11777" width="15.140625" style="1118" customWidth="1"/>
    <col min="11778" max="11785" width="9.140625" style="1118" customWidth="1"/>
    <col min="11786" max="12029" width="9.140625" style="1118"/>
    <col min="12030" max="12030" width="11.85546875" style="1118" customWidth="1"/>
    <col min="12031" max="12031" width="56.28515625" style="1118" customWidth="1"/>
    <col min="12032" max="12032" width="14.7109375" style="1118" customWidth="1"/>
    <col min="12033" max="12033" width="15.140625" style="1118" customWidth="1"/>
    <col min="12034" max="12041" width="9.140625" style="1118" customWidth="1"/>
    <col min="12042" max="12285" width="9.140625" style="1118"/>
    <col min="12286" max="12286" width="11.85546875" style="1118" customWidth="1"/>
    <col min="12287" max="12287" width="56.28515625" style="1118" customWidth="1"/>
    <col min="12288" max="12288" width="14.7109375" style="1118" customWidth="1"/>
    <col min="12289" max="12289" width="15.140625" style="1118" customWidth="1"/>
    <col min="12290" max="12297" width="9.140625" style="1118" customWidth="1"/>
    <col min="12298" max="12541" width="9.140625" style="1118"/>
    <col min="12542" max="12542" width="11.85546875" style="1118" customWidth="1"/>
    <col min="12543" max="12543" width="56.28515625" style="1118" customWidth="1"/>
    <col min="12544" max="12544" width="14.7109375" style="1118" customWidth="1"/>
    <col min="12545" max="12545" width="15.140625" style="1118" customWidth="1"/>
    <col min="12546" max="12553" width="9.140625" style="1118" customWidth="1"/>
    <col min="12554" max="12797" width="9.140625" style="1118"/>
    <col min="12798" max="12798" width="11.85546875" style="1118" customWidth="1"/>
    <col min="12799" max="12799" width="56.28515625" style="1118" customWidth="1"/>
    <col min="12800" max="12800" width="14.7109375" style="1118" customWidth="1"/>
    <col min="12801" max="12801" width="15.140625" style="1118" customWidth="1"/>
    <col min="12802" max="12809" width="9.140625" style="1118" customWidth="1"/>
    <col min="12810" max="13053" width="9.140625" style="1118"/>
    <col min="13054" max="13054" width="11.85546875" style="1118" customWidth="1"/>
    <col min="13055" max="13055" width="56.28515625" style="1118" customWidth="1"/>
    <col min="13056" max="13056" width="14.7109375" style="1118" customWidth="1"/>
    <col min="13057" max="13057" width="15.140625" style="1118" customWidth="1"/>
    <col min="13058" max="13065" width="9.140625" style="1118" customWidth="1"/>
    <col min="13066" max="13309" width="9.140625" style="1118"/>
    <col min="13310" max="13310" width="11.85546875" style="1118" customWidth="1"/>
    <col min="13311" max="13311" width="56.28515625" style="1118" customWidth="1"/>
    <col min="13312" max="13312" width="14.7109375" style="1118" customWidth="1"/>
    <col min="13313" max="13313" width="15.140625" style="1118" customWidth="1"/>
    <col min="13314" max="13321" width="9.140625" style="1118" customWidth="1"/>
    <col min="13322" max="13565" width="9.140625" style="1118"/>
    <col min="13566" max="13566" width="11.85546875" style="1118" customWidth="1"/>
    <col min="13567" max="13567" width="56.28515625" style="1118" customWidth="1"/>
    <col min="13568" max="13568" width="14.7109375" style="1118" customWidth="1"/>
    <col min="13569" max="13569" width="15.140625" style="1118" customWidth="1"/>
    <col min="13570" max="13577" width="9.140625" style="1118" customWidth="1"/>
    <col min="13578" max="13821" width="9.140625" style="1118"/>
    <col min="13822" max="13822" width="11.85546875" style="1118" customWidth="1"/>
    <col min="13823" max="13823" width="56.28515625" style="1118" customWidth="1"/>
    <col min="13824" max="13824" width="14.7109375" style="1118" customWidth="1"/>
    <col min="13825" max="13825" width="15.140625" style="1118" customWidth="1"/>
    <col min="13826" max="13833" width="9.140625" style="1118" customWidth="1"/>
    <col min="13834" max="14077" width="9.140625" style="1118"/>
    <col min="14078" max="14078" width="11.85546875" style="1118" customWidth="1"/>
    <col min="14079" max="14079" width="56.28515625" style="1118" customWidth="1"/>
    <col min="14080" max="14080" width="14.7109375" style="1118" customWidth="1"/>
    <col min="14081" max="14081" width="15.140625" style="1118" customWidth="1"/>
    <col min="14082" max="14089" width="9.140625" style="1118" customWidth="1"/>
    <col min="14090" max="14333" width="9.140625" style="1118"/>
    <col min="14334" max="14334" width="11.85546875" style="1118" customWidth="1"/>
    <col min="14335" max="14335" width="56.28515625" style="1118" customWidth="1"/>
    <col min="14336" max="14336" width="14.7109375" style="1118" customWidth="1"/>
    <col min="14337" max="14337" width="15.140625" style="1118" customWidth="1"/>
    <col min="14338" max="14345" width="9.140625" style="1118" customWidth="1"/>
    <col min="14346" max="14589" width="9.140625" style="1118"/>
    <col min="14590" max="14590" width="11.85546875" style="1118" customWidth="1"/>
    <col min="14591" max="14591" width="56.28515625" style="1118" customWidth="1"/>
    <col min="14592" max="14592" width="14.7109375" style="1118" customWidth="1"/>
    <col min="14593" max="14593" width="15.140625" style="1118" customWidth="1"/>
    <col min="14594" max="14601" width="9.140625" style="1118" customWidth="1"/>
    <col min="14602" max="14845" width="9.140625" style="1118"/>
    <col min="14846" max="14846" width="11.85546875" style="1118" customWidth="1"/>
    <col min="14847" max="14847" width="56.28515625" style="1118" customWidth="1"/>
    <col min="14848" max="14848" width="14.7109375" style="1118" customWidth="1"/>
    <col min="14849" max="14849" width="15.140625" style="1118" customWidth="1"/>
    <col min="14850" max="14857" width="9.140625" style="1118" customWidth="1"/>
    <col min="14858" max="15101" width="9.140625" style="1118"/>
    <col min="15102" max="15102" width="11.85546875" style="1118" customWidth="1"/>
    <col min="15103" max="15103" width="56.28515625" style="1118" customWidth="1"/>
    <col min="15104" max="15104" width="14.7109375" style="1118" customWidth="1"/>
    <col min="15105" max="15105" width="15.140625" style="1118" customWidth="1"/>
    <col min="15106" max="15113" width="9.140625" style="1118" customWidth="1"/>
    <col min="15114" max="15357" width="9.140625" style="1118"/>
    <col min="15358" max="15358" width="11.85546875" style="1118" customWidth="1"/>
    <col min="15359" max="15359" width="56.28515625" style="1118" customWidth="1"/>
    <col min="15360" max="15360" width="14.7109375" style="1118" customWidth="1"/>
    <col min="15361" max="15361" width="15.140625" style="1118" customWidth="1"/>
    <col min="15362" max="15369" width="9.140625" style="1118" customWidth="1"/>
    <col min="15370" max="15613" width="9.140625" style="1118"/>
    <col min="15614" max="15614" width="11.85546875" style="1118" customWidth="1"/>
    <col min="15615" max="15615" width="56.28515625" style="1118" customWidth="1"/>
    <col min="15616" max="15616" width="14.7109375" style="1118" customWidth="1"/>
    <col min="15617" max="15617" width="15.140625" style="1118" customWidth="1"/>
    <col min="15618" max="15625" width="9.140625" style="1118" customWidth="1"/>
    <col min="15626" max="15869" width="9.140625" style="1118"/>
    <col min="15870" max="15870" width="11.85546875" style="1118" customWidth="1"/>
    <col min="15871" max="15871" width="56.28515625" style="1118" customWidth="1"/>
    <col min="15872" max="15872" width="14.7109375" style="1118" customWidth="1"/>
    <col min="15873" max="15873" width="15.140625" style="1118" customWidth="1"/>
    <col min="15874" max="15881" width="9.140625" style="1118" customWidth="1"/>
    <col min="15882" max="16125" width="9.140625" style="1118"/>
    <col min="16126" max="16126" width="11.85546875" style="1118" customWidth="1"/>
    <col min="16127" max="16127" width="56.28515625" style="1118" customWidth="1"/>
    <col min="16128" max="16128" width="14.7109375" style="1118" customWidth="1"/>
    <col min="16129" max="16129" width="15.140625" style="1118" customWidth="1"/>
    <col min="16130" max="16137" width="9.140625" style="1118" customWidth="1"/>
    <col min="16138" max="16384" width="9.140625" style="1118"/>
  </cols>
  <sheetData>
    <row r="1" spans="1:11" s="1101" customFormat="1" ht="21" customHeight="1" thickBot="1" x14ac:dyDescent="0.3">
      <c r="A1" s="1862" t="s">
        <v>1231</v>
      </c>
      <c r="B1" s="1862"/>
      <c r="C1" s="1862"/>
      <c r="D1" s="1862"/>
      <c r="E1" s="1245"/>
      <c r="F1" s="1245"/>
      <c r="G1" s="1245"/>
      <c r="H1" s="1245"/>
      <c r="I1" s="1245"/>
    </row>
    <row r="2" spans="1:11" s="1106" customFormat="1" ht="25.5" customHeight="1" x14ac:dyDescent="0.25">
      <c r="A2" s="1246" t="s">
        <v>943</v>
      </c>
      <c r="B2" s="1103" t="s">
        <v>944</v>
      </c>
      <c r="C2" s="1858" t="s">
        <v>945</v>
      </c>
      <c r="D2" s="1859"/>
      <c r="E2" s="1247"/>
      <c r="F2" s="1247"/>
      <c r="G2" s="1247"/>
      <c r="H2" s="1247"/>
      <c r="I2" s="1247"/>
    </row>
    <row r="3" spans="1:11" s="1106" customFormat="1" ht="24.75" thickBot="1" x14ac:dyDescent="0.3">
      <c r="A3" s="1248" t="s">
        <v>652</v>
      </c>
      <c r="B3" s="1108" t="s">
        <v>1213</v>
      </c>
      <c r="C3" s="1860"/>
      <c r="D3" s="1861"/>
      <c r="E3" s="1247"/>
      <c r="F3" s="1247"/>
      <c r="G3" s="1247"/>
      <c r="H3" s="1247"/>
      <c r="I3" s="1247"/>
    </row>
    <row r="4" spans="1:11" s="1113" customFormat="1" ht="15.95" customHeight="1" thickBot="1" x14ac:dyDescent="0.3">
      <c r="A4" s="1109"/>
      <c r="B4" s="1110"/>
      <c r="C4" s="1812" t="s">
        <v>654</v>
      </c>
      <c r="D4" s="1813"/>
      <c r="E4" s="1247"/>
      <c r="F4" s="1247"/>
      <c r="G4" s="1247"/>
      <c r="H4" s="1247"/>
      <c r="I4" s="1247"/>
    </row>
    <row r="5" spans="1:11" ht="36.75" thickBot="1" x14ac:dyDescent="0.3">
      <c r="A5" s="1239" t="s">
        <v>655</v>
      </c>
      <c r="B5" s="1114" t="s">
        <v>656</v>
      </c>
      <c r="C5" s="1115" t="s">
        <v>927</v>
      </c>
      <c r="D5" s="1116" t="s">
        <v>928</v>
      </c>
      <c r="E5" s="1249" t="s">
        <v>658</v>
      </c>
      <c r="F5" s="1249" t="s">
        <v>946</v>
      </c>
      <c r="G5" s="1249" t="s">
        <v>661</v>
      </c>
      <c r="H5" s="1249" t="s">
        <v>665</v>
      </c>
      <c r="I5" s="1250"/>
      <c r="J5" s="1250"/>
      <c r="K5" s="1250"/>
    </row>
    <row r="6" spans="1:11" s="1125" customFormat="1" ht="12.95" customHeight="1" thickBot="1" x14ac:dyDescent="0.3">
      <c r="A6" s="1119">
        <v>1</v>
      </c>
      <c r="B6" s="1120">
        <v>2</v>
      </c>
      <c r="C6" s="1122">
        <v>3</v>
      </c>
      <c r="D6" s="1122">
        <v>4</v>
      </c>
      <c r="E6" s="1251"/>
      <c r="F6" s="1251"/>
      <c r="G6" s="1251"/>
      <c r="H6" s="1251"/>
      <c r="I6" s="1251"/>
    </row>
    <row r="7" spans="1:11" s="1125" customFormat="1" ht="15.95" customHeight="1" thickBot="1" x14ac:dyDescent="0.3">
      <c r="A7" s="1814" t="s">
        <v>657</v>
      </c>
      <c r="B7" s="1815"/>
      <c r="C7" s="1815"/>
      <c r="D7" s="1816"/>
      <c r="E7" s="1251"/>
      <c r="F7" s="1251"/>
      <c r="G7" s="1251"/>
      <c r="H7" s="1251"/>
      <c r="I7" s="1251"/>
    </row>
    <row r="8" spans="1:11" s="1138" customFormat="1" ht="12" customHeight="1" thickBot="1" x14ac:dyDescent="0.3">
      <c r="A8" s="1119" t="s">
        <v>696</v>
      </c>
      <c r="B8" s="1252" t="s">
        <v>948</v>
      </c>
      <c r="C8" s="1253">
        <f>SUM(C9:C18)</f>
        <v>413500</v>
      </c>
      <c r="D8" s="1253">
        <f>SUM(D9:D18)</f>
        <v>0</v>
      </c>
      <c r="E8" s="1254"/>
      <c r="F8" s="1254"/>
      <c r="G8" s="1254"/>
      <c r="H8" s="1254"/>
      <c r="I8" s="1254"/>
    </row>
    <row r="9" spans="1:11" s="1138" customFormat="1" ht="12" customHeight="1" x14ac:dyDescent="0.25">
      <c r="A9" s="1255" t="s">
        <v>698</v>
      </c>
      <c r="B9" s="1191" t="s">
        <v>756</v>
      </c>
      <c r="C9" s="1256">
        <f t="shared" ref="C9:C18" si="0">SUM(E9:O9)</f>
        <v>0</v>
      </c>
      <c r="D9" s="1257"/>
      <c r="E9" s="1117"/>
      <c r="F9" s="1117"/>
      <c r="G9" s="1117"/>
      <c r="H9" s="1117"/>
      <c r="I9" s="1117"/>
    </row>
    <row r="10" spans="1:11" s="1138" customFormat="1" ht="12" customHeight="1" x14ac:dyDescent="0.25">
      <c r="A10" s="1258" t="s">
        <v>700</v>
      </c>
      <c r="B10" s="1194" t="s">
        <v>758</v>
      </c>
      <c r="C10" s="1256">
        <f t="shared" si="0"/>
        <v>350000</v>
      </c>
      <c r="D10" s="1259"/>
      <c r="E10" s="1117">
        <v>350000</v>
      </c>
      <c r="F10" s="1117"/>
      <c r="G10" s="1117"/>
      <c r="H10" s="1117"/>
      <c r="I10" s="1117"/>
    </row>
    <row r="11" spans="1:11" s="1138" customFormat="1" ht="12" customHeight="1" x14ac:dyDescent="0.25">
      <c r="A11" s="1258" t="s">
        <v>702</v>
      </c>
      <c r="B11" s="1194" t="s">
        <v>760</v>
      </c>
      <c r="C11" s="1256">
        <f t="shared" si="0"/>
        <v>50000</v>
      </c>
      <c r="D11" s="1260"/>
      <c r="E11" s="1117">
        <v>50000</v>
      </c>
      <c r="F11" s="1117"/>
      <c r="G11" s="1117"/>
      <c r="H11" s="1117"/>
      <c r="I11" s="1117"/>
    </row>
    <row r="12" spans="1:11" s="1138" customFormat="1" ht="12" customHeight="1" x14ac:dyDescent="0.25">
      <c r="A12" s="1258" t="s">
        <v>704</v>
      </c>
      <c r="B12" s="1194" t="s">
        <v>762</v>
      </c>
      <c r="C12" s="1256">
        <f t="shared" si="0"/>
        <v>0</v>
      </c>
      <c r="D12" s="1260"/>
      <c r="E12" s="1117"/>
      <c r="F12" s="1117"/>
      <c r="G12" s="1117"/>
      <c r="H12" s="1117"/>
      <c r="I12" s="1117"/>
    </row>
    <row r="13" spans="1:11" s="1138" customFormat="1" ht="12" customHeight="1" x14ac:dyDescent="0.25">
      <c r="A13" s="1258" t="s">
        <v>706</v>
      </c>
      <c r="B13" s="1194" t="s">
        <v>764</v>
      </c>
      <c r="C13" s="1256">
        <f t="shared" si="0"/>
        <v>0</v>
      </c>
      <c r="D13" s="1260"/>
      <c r="E13" s="1117"/>
      <c r="F13" s="1117"/>
      <c r="G13" s="1117"/>
      <c r="H13" s="1117"/>
      <c r="I13" s="1117"/>
    </row>
    <row r="14" spans="1:11" s="1138" customFormat="1" ht="12" customHeight="1" x14ac:dyDescent="0.25">
      <c r="A14" s="1258" t="s">
        <v>708</v>
      </c>
      <c r="B14" s="1194" t="s">
        <v>949</v>
      </c>
      <c r="C14" s="1256">
        <f t="shared" si="0"/>
        <v>13500</v>
      </c>
      <c r="D14" s="1260"/>
      <c r="E14" s="1117">
        <v>13500</v>
      </c>
      <c r="F14" s="1117"/>
      <c r="G14" s="1117"/>
      <c r="H14" s="1117"/>
      <c r="I14" s="1117"/>
    </row>
    <row r="15" spans="1:11" s="1138" customFormat="1" ht="12" customHeight="1" x14ac:dyDescent="0.25">
      <c r="A15" s="1258" t="s">
        <v>862</v>
      </c>
      <c r="B15" s="1215" t="s">
        <v>950</v>
      </c>
      <c r="C15" s="1256">
        <f t="shared" si="0"/>
        <v>0</v>
      </c>
      <c r="D15" s="1260"/>
      <c r="E15" s="1117"/>
      <c r="F15" s="1117"/>
      <c r="G15" s="1117"/>
      <c r="H15" s="1117"/>
      <c r="I15" s="1117"/>
    </row>
    <row r="16" spans="1:11" s="1138" customFormat="1" ht="12" customHeight="1" x14ac:dyDescent="0.25">
      <c r="A16" s="1258" t="s">
        <v>864</v>
      </c>
      <c r="B16" s="1194" t="s">
        <v>770</v>
      </c>
      <c r="C16" s="1256">
        <f t="shared" si="0"/>
        <v>0</v>
      </c>
      <c r="D16" s="1261"/>
      <c r="E16" s="1117"/>
      <c r="F16" s="1117"/>
      <c r="G16" s="1117"/>
      <c r="H16" s="1117"/>
      <c r="I16" s="1117"/>
    </row>
    <row r="17" spans="1:9" s="1142" customFormat="1" ht="12" customHeight="1" x14ac:dyDescent="0.25">
      <c r="A17" s="1258" t="s">
        <v>866</v>
      </c>
      <c r="B17" s="1194" t="s">
        <v>772</v>
      </c>
      <c r="C17" s="1256">
        <f t="shared" si="0"/>
        <v>0</v>
      </c>
      <c r="D17" s="1260"/>
      <c r="E17" s="1117"/>
      <c r="F17" s="1117"/>
      <c r="G17" s="1117"/>
      <c r="H17" s="1117"/>
      <c r="I17" s="1117"/>
    </row>
    <row r="18" spans="1:9" s="1142" customFormat="1" ht="12" customHeight="1" thickBot="1" x14ac:dyDescent="0.3">
      <c r="A18" s="1258" t="s">
        <v>868</v>
      </c>
      <c r="B18" s="1215" t="s">
        <v>774</v>
      </c>
      <c r="C18" s="1256">
        <f t="shared" si="0"/>
        <v>0</v>
      </c>
      <c r="D18" s="1262"/>
      <c r="E18" s="1117"/>
      <c r="F18" s="1117"/>
      <c r="G18" s="1117"/>
      <c r="H18" s="1117"/>
      <c r="I18" s="1117"/>
    </row>
    <row r="19" spans="1:9" s="1138" customFormat="1" ht="12" customHeight="1" thickBot="1" x14ac:dyDescent="0.3">
      <c r="A19" s="1119" t="s">
        <v>710</v>
      </c>
      <c r="B19" s="1252" t="s">
        <v>951</v>
      </c>
      <c r="C19" s="1253">
        <f>SUM(C20:C22)</f>
        <v>0</v>
      </c>
      <c r="D19" s="1253">
        <f>SUM(D20:D22)</f>
        <v>0</v>
      </c>
      <c r="E19" s="1117"/>
      <c r="F19" s="1117"/>
      <c r="G19" s="1117"/>
      <c r="H19" s="1117"/>
      <c r="I19" s="1117"/>
    </row>
    <row r="20" spans="1:9" s="1142" customFormat="1" ht="12" customHeight="1" x14ac:dyDescent="0.25">
      <c r="A20" s="1258" t="s">
        <v>712</v>
      </c>
      <c r="B20" s="1214" t="s">
        <v>713</v>
      </c>
      <c r="C20" s="1256">
        <f>SUM(E20:O20)</f>
        <v>0</v>
      </c>
      <c r="D20" s="1260"/>
      <c r="E20" s="1117"/>
      <c r="F20" s="1117"/>
      <c r="G20" s="1117"/>
      <c r="H20" s="1117"/>
      <c r="I20" s="1117"/>
    </row>
    <row r="21" spans="1:9" s="1142" customFormat="1" ht="12" customHeight="1" x14ac:dyDescent="0.25">
      <c r="A21" s="1258" t="s">
        <v>714</v>
      </c>
      <c r="B21" s="1194" t="s">
        <v>952</v>
      </c>
      <c r="C21" s="1256">
        <f>SUM(E21:O21)</f>
        <v>0</v>
      </c>
      <c r="D21" s="1260"/>
      <c r="E21" s="1117"/>
      <c r="F21" s="1117"/>
      <c r="G21" s="1117"/>
      <c r="H21" s="1117"/>
      <c r="I21" s="1117"/>
    </row>
    <row r="22" spans="1:9" s="1142" customFormat="1" ht="12" customHeight="1" x14ac:dyDescent="0.25">
      <c r="A22" s="1258" t="s">
        <v>716</v>
      </c>
      <c r="B22" s="1194" t="s">
        <v>953</v>
      </c>
      <c r="C22" s="1256">
        <f>SUM(E22:O22)</f>
        <v>0</v>
      </c>
      <c r="D22" s="1260"/>
      <c r="E22" s="1117"/>
      <c r="F22" s="1117"/>
      <c r="G22" s="1117"/>
      <c r="H22" s="1117"/>
      <c r="I22" s="1117"/>
    </row>
    <row r="23" spans="1:9" s="1142" customFormat="1" ht="12" customHeight="1" thickBot="1" x14ac:dyDescent="0.3">
      <c r="A23" s="1258" t="s">
        <v>718</v>
      </c>
      <c r="B23" s="1194" t="s">
        <v>954</v>
      </c>
      <c r="C23" s="1256">
        <f>SUM(E23:O23)</f>
        <v>0</v>
      </c>
      <c r="D23" s="1260"/>
      <c r="E23" s="1117"/>
      <c r="F23" s="1117"/>
      <c r="G23" s="1117"/>
      <c r="H23" s="1117"/>
      <c r="I23" s="1117"/>
    </row>
    <row r="24" spans="1:9" s="1142" customFormat="1" ht="12" customHeight="1" thickBot="1" x14ac:dyDescent="0.3">
      <c r="A24" s="1263" t="s">
        <v>724</v>
      </c>
      <c r="B24" s="1213" t="s">
        <v>250</v>
      </c>
      <c r="C24" s="1264"/>
      <c r="D24" s="1264"/>
      <c r="E24" s="1117"/>
      <c r="F24" s="1117"/>
      <c r="G24" s="1117"/>
      <c r="H24" s="1117"/>
      <c r="I24" s="1117"/>
    </row>
    <row r="25" spans="1:9" s="1142" customFormat="1" ht="12" customHeight="1" thickBot="1" x14ac:dyDescent="0.3">
      <c r="A25" s="1263" t="s">
        <v>900</v>
      </c>
      <c r="B25" s="1213" t="s">
        <v>955</v>
      </c>
      <c r="C25" s="1253">
        <f>+C26+C27</f>
        <v>0</v>
      </c>
      <c r="D25" s="1253">
        <f>+D26+D27</f>
        <v>0</v>
      </c>
      <c r="E25" s="1117"/>
      <c r="F25" s="1117"/>
      <c r="G25" s="1117"/>
      <c r="H25" s="1117"/>
      <c r="I25" s="1117"/>
    </row>
    <row r="26" spans="1:9" s="1142" customFormat="1" ht="12" customHeight="1" x14ac:dyDescent="0.25">
      <c r="A26" s="1265" t="s">
        <v>740</v>
      </c>
      <c r="B26" s="1266" t="s">
        <v>952</v>
      </c>
      <c r="C26" s="1256">
        <f>SUM(E26:O26)</f>
        <v>0</v>
      </c>
      <c r="D26" s="1256"/>
      <c r="E26" s="1117"/>
      <c r="F26" s="1117"/>
      <c r="G26" s="1117"/>
      <c r="H26" s="1117"/>
      <c r="I26" s="1117"/>
    </row>
    <row r="27" spans="1:9" s="1142" customFormat="1" ht="12" customHeight="1" x14ac:dyDescent="0.25">
      <c r="A27" s="1265" t="s">
        <v>752</v>
      </c>
      <c r="B27" s="1267" t="s">
        <v>956</v>
      </c>
      <c r="C27" s="1256">
        <f>SUM(E27:O27)</f>
        <v>0</v>
      </c>
      <c r="D27" s="1268"/>
      <c r="E27" s="1117"/>
      <c r="F27" s="1117"/>
      <c r="G27" s="1117"/>
      <c r="H27" s="1117"/>
      <c r="I27" s="1117"/>
    </row>
    <row r="28" spans="1:9" s="1142" customFormat="1" ht="12" customHeight="1" thickBot="1" x14ac:dyDescent="0.3">
      <c r="A28" s="1258" t="s">
        <v>957</v>
      </c>
      <c r="B28" s="1269" t="s">
        <v>958</v>
      </c>
      <c r="C28" s="1256">
        <f>SUM(E28:O28)</f>
        <v>0</v>
      </c>
      <c r="D28" s="1270"/>
      <c r="E28" s="1117"/>
      <c r="F28" s="1117"/>
      <c r="G28" s="1117"/>
      <c r="H28" s="1117"/>
      <c r="I28" s="1117"/>
    </row>
    <row r="29" spans="1:9" s="1142" customFormat="1" ht="12" customHeight="1" thickBot="1" x14ac:dyDescent="0.3">
      <c r="A29" s="1263" t="s">
        <v>753</v>
      </c>
      <c r="B29" s="1213" t="s">
        <v>959</v>
      </c>
      <c r="C29" s="1253">
        <f>+C30+C31+C32</f>
        <v>0</v>
      </c>
      <c r="D29" s="1253">
        <f>+D30+D31+D32</f>
        <v>0</v>
      </c>
      <c r="E29" s="1117"/>
      <c r="F29" s="1117"/>
      <c r="G29" s="1117"/>
      <c r="H29" s="1117"/>
      <c r="I29" s="1117"/>
    </row>
    <row r="30" spans="1:9" s="1142" customFormat="1" ht="12" customHeight="1" x14ac:dyDescent="0.25">
      <c r="A30" s="1265" t="s">
        <v>755</v>
      </c>
      <c r="B30" s="1266" t="s">
        <v>778</v>
      </c>
      <c r="C30" s="1256">
        <f>SUM(E30:O30)</f>
        <v>0</v>
      </c>
      <c r="D30" s="1256"/>
      <c r="E30" s="1117"/>
      <c r="F30" s="1117"/>
      <c r="G30" s="1117"/>
      <c r="H30" s="1117"/>
      <c r="I30" s="1117"/>
    </row>
    <row r="31" spans="1:9" s="1142" customFormat="1" ht="12" customHeight="1" x14ac:dyDescent="0.25">
      <c r="A31" s="1265" t="s">
        <v>757</v>
      </c>
      <c r="B31" s="1267" t="s">
        <v>525</v>
      </c>
      <c r="C31" s="1256">
        <f>SUM(E31:O31)</f>
        <v>0</v>
      </c>
      <c r="D31" s="1268"/>
      <c r="E31" s="1117"/>
      <c r="F31" s="1117"/>
      <c r="G31" s="1117"/>
      <c r="H31" s="1117"/>
      <c r="I31" s="1117"/>
    </row>
    <row r="32" spans="1:9" s="1142" customFormat="1" ht="12" customHeight="1" thickBot="1" x14ac:dyDescent="0.3">
      <c r="A32" s="1258" t="s">
        <v>759</v>
      </c>
      <c r="B32" s="1271" t="s">
        <v>781</v>
      </c>
      <c r="C32" s="1256">
        <f>SUM(E32:O32)</f>
        <v>0</v>
      </c>
      <c r="D32" s="1270"/>
      <c r="E32" s="1117"/>
      <c r="F32" s="1117"/>
      <c r="G32" s="1117"/>
      <c r="H32" s="1117"/>
      <c r="I32" s="1117"/>
    </row>
    <row r="33" spans="1:9" s="1138" customFormat="1" ht="12" customHeight="1" thickBot="1" x14ac:dyDescent="0.3">
      <c r="A33" s="1263" t="s">
        <v>775</v>
      </c>
      <c r="B33" s="1213" t="s">
        <v>960</v>
      </c>
      <c r="C33" s="1264"/>
      <c r="D33" s="1264"/>
      <c r="E33" s="1117"/>
      <c r="F33" s="1117"/>
      <c r="G33" s="1117"/>
      <c r="H33" s="1117"/>
      <c r="I33" s="1117"/>
    </row>
    <row r="34" spans="1:9" s="1138" customFormat="1" ht="12" customHeight="1" thickBot="1" x14ac:dyDescent="0.3">
      <c r="A34" s="1263" t="s">
        <v>911</v>
      </c>
      <c r="B34" s="1213" t="s">
        <v>961</v>
      </c>
      <c r="C34" s="1272"/>
      <c r="D34" s="1272"/>
      <c r="E34" s="1117"/>
      <c r="F34" s="1117"/>
      <c r="G34" s="1117"/>
      <c r="H34" s="1117"/>
      <c r="I34" s="1117"/>
    </row>
    <row r="35" spans="1:9" s="1138" customFormat="1" ht="12" customHeight="1" thickBot="1" x14ac:dyDescent="0.3">
      <c r="A35" s="1119" t="s">
        <v>796</v>
      </c>
      <c r="B35" s="1213" t="s">
        <v>962</v>
      </c>
      <c r="C35" s="1273">
        <f>+C8+C19+C24+C25+C29+C33+C34</f>
        <v>413500</v>
      </c>
      <c r="D35" s="1273">
        <f>+D8+D19+D24+D25+D29+D33+D34</f>
        <v>0</v>
      </c>
      <c r="E35" s="1117"/>
      <c r="F35" s="1117"/>
      <c r="G35" s="1117"/>
      <c r="H35" s="1117"/>
      <c r="I35" s="1117"/>
    </row>
    <row r="36" spans="1:9" s="1138" customFormat="1" ht="12" customHeight="1" thickBot="1" x14ac:dyDescent="0.3">
      <c r="A36" s="1274" t="s">
        <v>806</v>
      </c>
      <c r="B36" s="1213" t="s">
        <v>963</v>
      </c>
      <c r="C36" s="1273">
        <f>+C37+C38+C39</f>
        <v>54567806</v>
      </c>
      <c r="D36" s="1273">
        <f>+D37+D38+D39</f>
        <v>0</v>
      </c>
      <c r="E36" s="1117"/>
      <c r="F36" s="1117"/>
      <c r="G36" s="1117"/>
      <c r="H36" s="1117"/>
      <c r="I36" s="1117"/>
    </row>
    <row r="37" spans="1:9" s="1138" customFormat="1" ht="12" customHeight="1" x14ac:dyDescent="0.25">
      <c r="A37" s="1265" t="s">
        <v>964</v>
      </c>
      <c r="B37" s="1266" t="s">
        <v>965</v>
      </c>
      <c r="C37" s="1256">
        <f>SUM(E37:O37)</f>
        <v>0</v>
      </c>
      <c r="D37" s="1256"/>
      <c r="E37" s="1117"/>
      <c r="F37" s="1117"/>
      <c r="G37" s="1117"/>
      <c r="H37" s="1117"/>
      <c r="I37" s="1117"/>
    </row>
    <row r="38" spans="1:9" s="1138" customFormat="1" ht="12" customHeight="1" x14ac:dyDescent="0.25">
      <c r="A38" s="1265" t="s">
        <v>966</v>
      </c>
      <c r="B38" s="1267" t="s">
        <v>967</v>
      </c>
      <c r="C38" s="1256">
        <f>SUM(E38:O38)</f>
        <v>0</v>
      </c>
      <c r="D38" s="1268"/>
      <c r="E38" s="1117"/>
      <c r="F38" s="1117"/>
      <c r="G38" s="1117"/>
      <c r="H38" s="1117"/>
      <c r="I38" s="1117"/>
    </row>
    <row r="39" spans="1:9" s="1142" customFormat="1" ht="12" customHeight="1" thickBot="1" x14ac:dyDescent="0.3">
      <c r="A39" s="1258" t="s">
        <v>968</v>
      </c>
      <c r="B39" s="1271" t="s">
        <v>969</v>
      </c>
      <c r="C39" s="1256">
        <f>SUM(E39:O39)</f>
        <v>54567806</v>
      </c>
      <c r="D39" s="1270"/>
      <c r="E39" s="1117"/>
      <c r="F39" s="1117"/>
      <c r="G39" s="1117"/>
      <c r="H39" s="1117">
        <v>54567806</v>
      </c>
      <c r="I39" s="1117"/>
    </row>
    <row r="40" spans="1:9" s="1142" customFormat="1" ht="15" customHeight="1" thickBot="1" x14ac:dyDescent="0.25">
      <c r="A40" s="1274" t="s">
        <v>923</v>
      </c>
      <c r="B40" s="1275" t="s">
        <v>970</v>
      </c>
      <c r="C40" s="1276">
        <f>+C35+C36</f>
        <v>54981306</v>
      </c>
      <c r="D40" s="1276">
        <f>+D35+D36</f>
        <v>0</v>
      </c>
      <c r="E40" s="1117">
        <f>SUM(E8:E39)</f>
        <v>413500</v>
      </c>
      <c r="F40" s="1117">
        <f t="shared" ref="F40:H40" si="1">SUM(F8:F39)</f>
        <v>0</v>
      </c>
      <c r="G40" s="1117">
        <f t="shared" si="1"/>
        <v>0</v>
      </c>
      <c r="H40" s="1117">
        <f t="shared" si="1"/>
        <v>54567806</v>
      </c>
      <c r="I40" s="1117"/>
    </row>
    <row r="41" spans="1:9" s="1142" customFormat="1" ht="15" customHeight="1" x14ac:dyDescent="0.25">
      <c r="A41" s="1178"/>
      <c r="B41" s="1179"/>
      <c r="C41" s="1180"/>
      <c r="D41" s="1180"/>
      <c r="E41" s="1117"/>
      <c r="F41" s="1117"/>
      <c r="G41" s="1117"/>
      <c r="H41" s="1117"/>
      <c r="I41" s="1117"/>
    </row>
    <row r="42" spans="1:9" ht="13.5" thickBot="1" x14ac:dyDescent="0.3">
      <c r="A42" s="1277"/>
      <c r="B42" s="1183"/>
      <c r="C42" s="1184"/>
      <c r="D42" s="1184"/>
      <c r="E42" s="1117"/>
      <c r="F42" s="1117"/>
      <c r="G42" s="1117"/>
      <c r="H42" s="1117"/>
      <c r="I42" s="1117"/>
    </row>
    <row r="43" spans="1:9" s="1125" customFormat="1" ht="16.5" customHeight="1" thickBot="1" x14ac:dyDescent="0.3">
      <c r="A43" s="1814" t="s">
        <v>856</v>
      </c>
      <c r="B43" s="1815"/>
      <c r="C43" s="1815"/>
      <c r="D43" s="1816"/>
      <c r="E43" s="1132"/>
      <c r="F43" s="1132"/>
      <c r="G43" s="1132"/>
      <c r="H43" s="1132"/>
      <c r="I43" s="1132"/>
    </row>
    <row r="44" spans="1:9" s="1189" customFormat="1" ht="12" customHeight="1" thickBot="1" x14ac:dyDescent="0.3">
      <c r="A44" s="1263" t="s">
        <v>696</v>
      </c>
      <c r="B44" s="1213" t="s">
        <v>971</v>
      </c>
      <c r="C44" s="1253">
        <f>SUM(C45:C49)</f>
        <v>53984305</v>
      </c>
      <c r="D44" s="1253">
        <f>SUM(D45:D49)</f>
        <v>0</v>
      </c>
      <c r="E44" s="1117"/>
      <c r="F44" s="1117"/>
      <c r="G44" s="1117"/>
      <c r="H44" s="1117"/>
      <c r="I44" s="1117"/>
    </row>
    <row r="45" spans="1:9" ht="12" customHeight="1" x14ac:dyDescent="0.25">
      <c r="A45" s="1258" t="s">
        <v>698</v>
      </c>
      <c r="B45" s="1214" t="s">
        <v>858</v>
      </c>
      <c r="C45" s="1256">
        <f>SUM(E45:O45)</f>
        <v>35212748</v>
      </c>
      <c r="D45" s="1256"/>
      <c r="E45" s="1117">
        <v>29488312</v>
      </c>
      <c r="F45" s="1117">
        <v>5724436</v>
      </c>
      <c r="G45" s="1117"/>
      <c r="H45" s="1117"/>
      <c r="I45" s="1117"/>
    </row>
    <row r="46" spans="1:9" ht="12" customHeight="1" x14ac:dyDescent="0.25">
      <c r="A46" s="1258" t="s">
        <v>700</v>
      </c>
      <c r="B46" s="1194" t="s">
        <v>25</v>
      </c>
      <c r="C46" s="1256">
        <f>SUM(E46:O46)</f>
        <v>6559757</v>
      </c>
      <c r="D46" s="1278"/>
      <c r="E46" s="1117">
        <v>5527981</v>
      </c>
      <c r="F46" s="1117">
        <v>1031776</v>
      </c>
      <c r="G46" s="1117"/>
      <c r="H46" s="1117"/>
      <c r="I46" s="1117"/>
    </row>
    <row r="47" spans="1:9" ht="12" customHeight="1" x14ac:dyDescent="0.25">
      <c r="A47" s="1258" t="s">
        <v>702</v>
      </c>
      <c r="B47" s="1194" t="s">
        <v>859</v>
      </c>
      <c r="C47" s="1256">
        <f>SUM(E47:O47)</f>
        <v>12211800</v>
      </c>
      <c r="D47" s="1278"/>
      <c r="E47" s="1117">
        <v>10940850</v>
      </c>
      <c r="F47" s="1117">
        <v>1270950</v>
      </c>
      <c r="G47" s="1117"/>
      <c r="H47" s="1117"/>
      <c r="I47" s="1117"/>
    </row>
    <row r="48" spans="1:9" ht="12" customHeight="1" x14ac:dyDescent="0.25">
      <c r="A48" s="1258" t="s">
        <v>704</v>
      </c>
      <c r="B48" s="1194" t="s">
        <v>216</v>
      </c>
      <c r="C48" s="1256">
        <f>SUM(E48:O48)</f>
        <v>0</v>
      </c>
      <c r="D48" s="1278"/>
      <c r="E48" s="1117"/>
      <c r="F48" s="1117"/>
      <c r="G48" s="1117"/>
      <c r="H48" s="1117"/>
      <c r="I48" s="1117"/>
    </row>
    <row r="49" spans="1:9" ht="12" customHeight="1" thickBot="1" x14ac:dyDescent="0.3">
      <c r="A49" s="1258" t="s">
        <v>706</v>
      </c>
      <c r="B49" s="1194" t="s">
        <v>55</v>
      </c>
      <c r="C49" s="1256">
        <f>SUM(E49:O49)</f>
        <v>0</v>
      </c>
      <c r="D49" s="1278"/>
      <c r="E49" s="1117"/>
      <c r="F49" s="1117"/>
      <c r="G49" s="1117"/>
      <c r="H49" s="1117"/>
      <c r="I49" s="1117"/>
    </row>
    <row r="50" spans="1:9" ht="12" customHeight="1" thickBot="1" x14ac:dyDescent="0.3">
      <c r="A50" s="1263" t="s">
        <v>710</v>
      </c>
      <c r="B50" s="1213" t="s">
        <v>972</v>
      </c>
      <c r="C50" s="1253">
        <f>SUM(C51:C53)</f>
        <v>997001</v>
      </c>
      <c r="D50" s="1253">
        <f>SUM(D51:D53)</f>
        <v>0</v>
      </c>
      <c r="E50" s="1117"/>
      <c r="F50" s="1117"/>
      <c r="G50" s="1117"/>
      <c r="H50" s="1117"/>
      <c r="I50" s="1117"/>
    </row>
    <row r="51" spans="1:9" s="1189" customFormat="1" ht="12" customHeight="1" x14ac:dyDescent="0.25">
      <c r="A51" s="1258" t="s">
        <v>712</v>
      </c>
      <c r="B51" s="1214" t="s">
        <v>63</v>
      </c>
      <c r="C51" s="1256">
        <f>SUM(E51:O51)</f>
        <v>997001</v>
      </c>
      <c r="D51" s="1256"/>
      <c r="E51" s="1117">
        <v>997001</v>
      </c>
      <c r="F51" s="1117"/>
      <c r="G51" s="1117"/>
      <c r="H51" s="1117"/>
      <c r="I51" s="1117"/>
    </row>
    <row r="52" spans="1:9" ht="12" customHeight="1" x14ac:dyDescent="0.25">
      <c r="A52" s="1258" t="s">
        <v>714</v>
      </c>
      <c r="B52" s="1194" t="s">
        <v>153</v>
      </c>
      <c r="C52" s="1256">
        <f>SUM(E52:O52)</f>
        <v>0</v>
      </c>
      <c r="D52" s="1278"/>
      <c r="E52" s="1117"/>
      <c r="F52" s="1117"/>
      <c r="G52" s="1117"/>
      <c r="H52" s="1117"/>
      <c r="I52" s="1117"/>
    </row>
    <row r="53" spans="1:9" ht="12" customHeight="1" x14ac:dyDescent="0.25">
      <c r="A53" s="1258" t="s">
        <v>716</v>
      </c>
      <c r="B53" s="1194" t="s">
        <v>973</v>
      </c>
      <c r="C53" s="1256">
        <f>SUM(E53:O53)</f>
        <v>0</v>
      </c>
      <c r="D53" s="1278"/>
      <c r="E53" s="1117"/>
      <c r="F53" s="1117"/>
      <c r="G53" s="1117"/>
      <c r="H53" s="1117"/>
      <c r="I53" s="1117"/>
    </row>
    <row r="54" spans="1:9" ht="12" customHeight="1" thickBot="1" x14ac:dyDescent="0.3">
      <c r="A54" s="1258" t="s">
        <v>718</v>
      </c>
      <c r="B54" s="1194" t="s">
        <v>974</v>
      </c>
      <c r="C54" s="1256">
        <f>SUM(E54:O54)</f>
        <v>0</v>
      </c>
      <c r="D54" s="1278"/>
      <c r="E54" s="1117"/>
      <c r="F54" s="1117"/>
      <c r="G54" s="1117"/>
      <c r="H54" s="1117"/>
      <c r="I54" s="1117"/>
    </row>
    <row r="55" spans="1:9" ht="15" customHeight="1" thickBot="1" x14ac:dyDescent="0.3">
      <c r="A55" s="1263" t="s">
        <v>724</v>
      </c>
      <c r="B55" s="1279" t="s">
        <v>975</v>
      </c>
      <c r="C55" s="1280">
        <f>+C44+C50</f>
        <v>54981306</v>
      </c>
      <c r="D55" s="1280">
        <f>+D44+D50</f>
        <v>0</v>
      </c>
      <c r="E55" s="1117">
        <f>SUM(E45:E54)</f>
        <v>46954144</v>
      </c>
      <c r="F55" s="1117">
        <f t="shared" ref="F55:H55" si="2">SUM(F45:F54)</f>
        <v>8027162</v>
      </c>
      <c r="G55" s="1117">
        <f t="shared" si="2"/>
        <v>0</v>
      </c>
      <c r="H55" s="1117">
        <f t="shared" si="2"/>
        <v>0</v>
      </c>
      <c r="I55" s="1117"/>
    </row>
    <row r="56" spans="1:9" ht="13.5" thickBot="1" x14ac:dyDescent="0.3">
      <c r="C56" s="1226"/>
      <c r="D56" s="1226"/>
      <c r="E56" s="1117"/>
      <c r="F56" s="1117"/>
      <c r="G56" s="1117"/>
      <c r="H56" s="1117"/>
      <c r="I56" s="1117"/>
    </row>
    <row r="57" spans="1:9" ht="15" customHeight="1" thickBot="1" x14ac:dyDescent="0.3">
      <c r="A57" s="1227" t="s">
        <v>925</v>
      </c>
      <c r="B57" s="1228"/>
      <c r="C57" s="1230">
        <v>9</v>
      </c>
      <c r="D57" s="1230"/>
      <c r="E57" s="1117"/>
      <c r="F57" s="1117"/>
      <c r="G57" s="1117"/>
      <c r="H57" s="1117"/>
      <c r="I57" s="1117"/>
    </row>
    <row r="58" spans="1:9" ht="14.25" customHeight="1" thickBot="1" x14ac:dyDescent="0.3">
      <c r="A58" s="1227" t="s">
        <v>926</v>
      </c>
      <c r="B58" s="1228"/>
      <c r="C58" s="1230">
        <v>0</v>
      </c>
      <c r="D58" s="1230"/>
      <c r="E58" s="1117"/>
      <c r="F58" s="1117"/>
      <c r="G58" s="1117"/>
      <c r="H58" s="1117"/>
      <c r="I58" s="1117"/>
    </row>
    <row r="59" spans="1:9" ht="12.75" customHeight="1" x14ac:dyDescent="0.25">
      <c r="A59" s="1846"/>
      <c r="B59" s="1846"/>
      <c r="C59" s="1846"/>
      <c r="D59" s="1846"/>
      <c r="E59" s="1117"/>
      <c r="F59" s="1117"/>
      <c r="G59" s="1117"/>
      <c r="H59" s="1117"/>
      <c r="I59" s="1117"/>
    </row>
    <row r="60" spans="1:9" x14ac:dyDescent="0.25">
      <c r="E60" s="1117"/>
      <c r="F60" s="1117"/>
      <c r="G60" s="1117"/>
      <c r="H60" s="1117"/>
      <c r="I60" s="1117"/>
    </row>
    <row r="61" spans="1:9" x14ac:dyDescent="0.25">
      <c r="E61" s="1117"/>
      <c r="F61" s="1117"/>
      <c r="G61" s="1117"/>
      <c r="H61" s="1117"/>
      <c r="I61" s="1117"/>
    </row>
  </sheetData>
  <sheetProtection selectLockedCells="1" selectUnlockedCells="1"/>
  <mergeCells count="6">
    <mergeCell ref="A59:D59"/>
    <mergeCell ref="A1:D1"/>
    <mergeCell ref="C2:D3"/>
    <mergeCell ref="C4:D4"/>
    <mergeCell ref="A7:D7"/>
    <mergeCell ref="A43:D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K61"/>
  <sheetViews>
    <sheetView view="pageBreakPreview" zoomScaleNormal="100" zoomScaleSheetLayoutView="100" workbookViewId="0">
      <selection activeCell="C2" sqref="C2:D3"/>
    </sheetView>
  </sheetViews>
  <sheetFormatPr defaultRowHeight="12.75" x14ac:dyDescent="0.25"/>
  <cols>
    <col min="1" max="1" width="11.85546875" style="1224" customWidth="1"/>
    <col min="2" max="2" width="56.28515625" style="1225" customWidth="1"/>
    <col min="3" max="3" width="14.7109375" style="1225" customWidth="1"/>
    <col min="4" max="4" width="15.140625" style="1225" customWidth="1"/>
    <col min="5" max="8" width="9.140625" style="1118" hidden="1" customWidth="1"/>
    <col min="9" max="16" width="9.140625" style="1118" customWidth="1"/>
    <col min="17" max="253" width="9.140625" style="1118"/>
    <col min="254" max="254" width="11.85546875" style="1118" customWidth="1"/>
    <col min="255" max="255" width="56.28515625" style="1118" customWidth="1"/>
    <col min="256" max="256" width="14.7109375" style="1118" customWidth="1"/>
    <col min="257" max="257" width="15.140625" style="1118" customWidth="1"/>
    <col min="258" max="265" width="9.140625" style="1118" customWidth="1"/>
    <col min="266" max="509" width="9.140625" style="1118"/>
    <col min="510" max="510" width="11.85546875" style="1118" customWidth="1"/>
    <col min="511" max="511" width="56.28515625" style="1118" customWidth="1"/>
    <col min="512" max="512" width="14.7109375" style="1118" customWidth="1"/>
    <col min="513" max="513" width="15.140625" style="1118" customWidth="1"/>
    <col min="514" max="521" width="9.140625" style="1118" customWidth="1"/>
    <col min="522" max="765" width="9.140625" style="1118"/>
    <col min="766" max="766" width="11.85546875" style="1118" customWidth="1"/>
    <col min="767" max="767" width="56.28515625" style="1118" customWidth="1"/>
    <col min="768" max="768" width="14.7109375" style="1118" customWidth="1"/>
    <col min="769" max="769" width="15.140625" style="1118" customWidth="1"/>
    <col min="770" max="777" width="9.140625" style="1118" customWidth="1"/>
    <col min="778" max="1021" width="9.140625" style="1118"/>
    <col min="1022" max="1022" width="11.85546875" style="1118" customWidth="1"/>
    <col min="1023" max="1023" width="56.28515625" style="1118" customWidth="1"/>
    <col min="1024" max="1024" width="14.7109375" style="1118" customWidth="1"/>
    <col min="1025" max="1025" width="15.140625" style="1118" customWidth="1"/>
    <col min="1026" max="1033" width="9.140625" style="1118" customWidth="1"/>
    <col min="1034" max="1277" width="9.140625" style="1118"/>
    <col min="1278" max="1278" width="11.85546875" style="1118" customWidth="1"/>
    <col min="1279" max="1279" width="56.28515625" style="1118" customWidth="1"/>
    <col min="1280" max="1280" width="14.7109375" style="1118" customWidth="1"/>
    <col min="1281" max="1281" width="15.140625" style="1118" customWidth="1"/>
    <col min="1282" max="1289" width="9.140625" style="1118" customWidth="1"/>
    <col min="1290" max="1533" width="9.140625" style="1118"/>
    <col min="1534" max="1534" width="11.85546875" style="1118" customWidth="1"/>
    <col min="1535" max="1535" width="56.28515625" style="1118" customWidth="1"/>
    <col min="1536" max="1536" width="14.7109375" style="1118" customWidth="1"/>
    <col min="1537" max="1537" width="15.140625" style="1118" customWidth="1"/>
    <col min="1538" max="1545" width="9.140625" style="1118" customWidth="1"/>
    <col min="1546" max="1789" width="9.140625" style="1118"/>
    <col min="1790" max="1790" width="11.85546875" style="1118" customWidth="1"/>
    <col min="1791" max="1791" width="56.28515625" style="1118" customWidth="1"/>
    <col min="1792" max="1792" width="14.7109375" style="1118" customWidth="1"/>
    <col min="1793" max="1793" width="15.140625" style="1118" customWidth="1"/>
    <col min="1794" max="1801" width="9.140625" style="1118" customWidth="1"/>
    <col min="1802" max="2045" width="9.140625" style="1118"/>
    <col min="2046" max="2046" width="11.85546875" style="1118" customWidth="1"/>
    <col min="2047" max="2047" width="56.28515625" style="1118" customWidth="1"/>
    <col min="2048" max="2048" width="14.7109375" style="1118" customWidth="1"/>
    <col min="2049" max="2049" width="15.140625" style="1118" customWidth="1"/>
    <col min="2050" max="2057" width="9.140625" style="1118" customWidth="1"/>
    <col min="2058" max="2301" width="9.140625" style="1118"/>
    <col min="2302" max="2302" width="11.85546875" style="1118" customWidth="1"/>
    <col min="2303" max="2303" width="56.28515625" style="1118" customWidth="1"/>
    <col min="2304" max="2304" width="14.7109375" style="1118" customWidth="1"/>
    <col min="2305" max="2305" width="15.140625" style="1118" customWidth="1"/>
    <col min="2306" max="2313" width="9.140625" style="1118" customWidth="1"/>
    <col min="2314" max="2557" width="9.140625" style="1118"/>
    <col min="2558" max="2558" width="11.85546875" style="1118" customWidth="1"/>
    <col min="2559" max="2559" width="56.28515625" style="1118" customWidth="1"/>
    <col min="2560" max="2560" width="14.7109375" style="1118" customWidth="1"/>
    <col min="2561" max="2561" width="15.140625" style="1118" customWidth="1"/>
    <col min="2562" max="2569" width="9.140625" style="1118" customWidth="1"/>
    <col min="2570" max="2813" width="9.140625" style="1118"/>
    <col min="2814" max="2814" width="11.85546875" style="1118" customWidth="1"/>
    <col min="2815" max="2815" width="56.28515625" style="1118" customWidth="1"/>
    <col min="2816" max="2816" width="14.7109375" style="1118" customWidth="1"/>
    <col min="2817" max="2817" width="15.140625" style="1118" customWidth="1"/>
    <col min="2818" max="2825" width="9.140625" style="1118" customWidth="1"/>
    <col min="2826" max="3069" width="9.140625" style="1118"/>
    <col min="3070" max="3070" width="11.85546875" style="1118" customWidth="1"/>
    <col min="3071" max="3071" width="56.28515625" style="1118" customWidth="1"/>
    <col min="3072" max="3072" width="14.7109375" style="1118" customWidth="1"/>
    <col min="3073" max="3073" width="15.140625" style="1118" customWidth="1"/>
    <col min="3074" max="3081" width="9.140625" style="1118" customWidth="1"/>
    <col min="3082" max="3325" width="9.140625" style="1118"/>
    <col min="3326" max="3326" width="11.85546875" style="1118" customWidth="1"/>
    <col min="3327" max="3327" width="56.28515625" style="1118" customWidth="1"/>
    <col min="3328" max="3328" width="14.7109375" style="1118" customWidth="1"/>
    <col min="3329" max="3329" width="15.140625" style="1118" customWidth="1"/>
    <col min="3330" max="3337" width="9.140625" style="1118" customWidth="1"/>
    <col min="3338" max="3581" width="9.140625" style="1118"/>
    <col min="3582" max="3582" width="11.85546875" style="1118" customWidth="1"/>
    <col min="3583" max="3583" width="56.28515625" style="1118" customWidth="1"/>
    <col min="3584" max="3584" width="14.7109375" style="1118" customWidth="1"/>
    <col min="3585" max="3585" width="15.140625" style="1118" customWidth="1"/>
    <col min="3586" max="3593" width="9.140625" style="1118" customWidth="1"/>
    <col min="3594" max="3837" width="9.140625" style="1118"/>
    <col min="3838" max="3838" width="11.85546875" style="1118" customWidth="1"/>
    <col min="3839" max="3839" width="56.28515625" style="1118" customWidth="1"/>
    <col min="3840" max="3840" width="14.7109375" style="1118" customWidth="1"/>
    <col min="3841" max="3841" width="15.140625" style="1118" customWidth="1"/>
    <col min="3842" max="3849" width="9.140625" style="1118" customWidth="1"/>
    <col min="3850" max="4093" width="9.140625" style="1118"/>
    <col min="4094" max="4094" width="11.85546875" style="1118" customWidth="1"/>
    <col min="4095" max="4095" width="56.28515625" style="1118" customWidth="1"/>
    <col min="4096" max="4096" width="14.7109375" style="1118" customWidth="1"/>
    <col min="4097" max="4097" width="15.140625" style="1118" customWidth="1"/>
    <col min="4098" max="4105" width="9.140625" style="1118" customWidth="1"/>
    <col min="4106" max="4349" width="9.140625" style="1118"/>
    <col min="4350" max="4350" width="11.85546875" style="1118" customWidth="1"/>
    <col min="4351" max="4351" width="56.28515625" style="1118" customWidth="1"/>
    <col min="4352" max="4352" width="14.7109375" style="1118" customWidth="1"/>
    <col min="4353" max="4353" width="15.140625" style="1118" customWidth="1"/>
    <col min="4354" max="4361" width="9.140625" style="1118" customWidth="1"/>
    <col min="4362" max="4605" width="9.140625" style="1118"/>
    <col min="4606" max="4606" width="11.85546875" style="1118" customWidth="1"/>
    <col min="4607" max="4607" width="56.28515625" style="1118" customWidth="1"/>
    <col min="4608" max="4608" width="14.7109375" style="1118" customWidth="1"/>
    <col min="4609" max="4609" width="15.140625" style="1118" customWidth="1"/>
    <col min="4610" max="4617" width="9.140625" style="1118" customWidth="1"/>
    <col min="4618" max="4861" width="9.140625" style="1118"/>
    <col min="4862" max="4862" width="11.85546875" style="1118" customWidth="1"/>
    <col min="4863" max="4863" width="56.28515625" style="1118" customWidth="1"/>
    <col min="4864" max="4864" width="14.7109375" style="1118" customWidth="1"/>
    <col min="4865" max="4865" width="15.140625" style="1118" customWidth="1"/>
    <col min="4866" max="4873" width="9.140625" style="1118" customWidth="1"/>
    <col min="4874" max="5117" width="9.140625" style="1118"/>
    <col min="5118" max="5118" width="11.85546875" style="1118" customWidth="1"/>
    <col min="5119" max="5119" width="56.28515625" style="1118" customWidth="1"/>
    <col min="5120" max="5120" width="14.7109375" style="1118" customWidth="1"/>
    <col min="5121" max="5121" width="15.140625" style="1118" customWidth="1"/>
    <col min="5122" max="5129" width="9.140625" style="1118" customWidth="1"/>
    <col min="5130" max="5373" width="9.140625" style="1118"/>
    <col min="5374" max="5374" width="11.85546875" style="1118" customWidth="1"/>
    <col min="5375" max="5375" width="56.28515625" style="1118" customWidth="1"/>
    <col min="5376" max="5376" width="14.7109375" style="1118" customWidth="1"/>
    <col min="5377" max="5377" width="15.140625" style="1118" customWidth="1"/>
    <col min="5378" max="5385" width="9.140625" style="1118" customWidth="1"/>
    <col min="5386" max="5629" width="9.140625" style="1118"/>
    <col min="5630" max="5630" width="11.85546875" style="1118" customWidth="1"/>
    <col min="5631" max="5631" width="56.28515625" style="1118" customWidth="1"/>
    <col min="5632" max="5632" width="14.7109375" style="1118" customWidth="1"/>
    <col min="5633" max="5633" width="15.140625" style="1118" customWidth="1"/>
    <col min="5634" max="5641" width="9.140625" style="1118" customWidth="1"/>
    <col min="5642" max="5885" width="9.140625" style="1118"/>
    <col min="5886" max="5886" width="11.85546875" style="1118" customWidth="1"/>
    <col min="5887" max="5887" width="56.28515625" style="1118" customWidth="1"/>
    <col min="5888" max="5888" width="14.7109375" style="1118" customWidth="1"/>
    <col min="5889" max="5889" width="15.140625" style="1118" customWidth="1"/>
    <col min="5890" max="5897" width="9.140625" style="1118" customWidth="1"/>
    <col min="5898" max="6141" width="9.140625" style="1118"/>
    <col min="6142" max="6142" width="11.85546875" style="1118" customWidth="1"/>
    <col min="6143" max="6143" width="56.28515625" style="1118" customWidth="1"/>
    <col min="6144" max="6144" width="14.7109375" style="1118" customWidth="1"/>
    <col min="6145" max="6145" width="15.140625" style="1118" customWidth="1"/>
    <col min="6146" max="6153" width="9.140625" style="1118" customWidth="1"/>
    <col min="6154" max="6397" width="9.140625" style="1118"/>
    <col min="6398" max="6398" width="11.85546875" style="1118" customWidth="1"/>
    <col min="6399" max="6399" width="56.28515625" style="1118" customWidth="1"/>
    <col min="6400" max="6400" width="14.7109375" style="1118" customWidth="1"/>
    <col min="6401" max="6401" width="15.140625" style="1118" customWidth="1"/>
    <col min="6402" max="6409" width="9.140625" style="1118" customWidth="1"/>
    <col min="6410" max="6653" width="9.140625" style="1118"/>
    <col min="6654" max="6654" width="11.85546875" style="1118" customWidth="1"/>
    <col min="6655" max="6655" width="56.28515625" style="1118" customWidth="1"/>
    <col min="6656" max="6656" width="14.7109375" style="1118" customWidth="1"/>
    <col min="6657" max="6657" width="15.140625" style="1118" customWidth="1"/>
    <col min="6658" max="6665" width="9.140625" style="1118" customWidth="1"/>
    <col min="6666" max="6909" width="9.140625" style="1118"/>
    <col min="6910" max="6910" width="11.85546875" style="1118" customWidth="1"/>
    <col min="6911" max="6911" width="56.28515625" style="1118" customWidth="1"/>
    <col min="6912" max="6912" width="14.7109375" style="1118" customWidth="1"/>
    <col min="6913" max="6913" width="15.140625" style="1118" customWidth="1"/>
    <col min="6914" max="6921" width="9.140625" style="1118" customWidth="1"/>
    <col min="6922" max="7165" width="9.140625" style="1118"/>
    <col min="7166" max="7166" width="11.85546875" style="1118" customWidth="1"/>
    <col min="7167" max="7167" width="56.28515625" style="1118" customWidth="1"/>
    <col min="7168" max="7168" width="14.7109375" style="1118" customWidth="1"/>
    <col min="7169" max="7169" width="15.140625" style="1118" customWidth="1"/>
    <col min="7170" max="7177" width="9.140625" style="1118" customWidth="1"/>
    <col min="7178" max="7421" width="9.140625" style="1118"/>
    <col min="7422" max="7422" width="11.85546875" style="1118" customWidth="1"/>
    <col min="7423" max="7423" width="56.28515625" style="1118" customWidth="1"/>
    <col min="7424" max="7424" width="14.7109375" style="1118" customWidth="1"/>
    <col min="7425" max="7425" width="15.140625" style="1118" customWidth="1"/>
    <col min="7426" max="7433" width="9.140625" style="1118" customWidth="1"/>
    <col min="7434" max="7677" width="9.140625" style="1118"/>
    <col min="7678" max="7678" width="11.85546875" style="1118" customWidth="1"/>
    <col min="7679" max="7679" width="56.28515625" style="1118" customWidth="1"/>
    <col min="7680" max="7680" width="14.7109375" style="1118" customWidth="1"/>
    <col min="7681" max="7681" width="15.140625" style="1118" customWidth="1"/>
    <col min="7682" max="7689" width="9.140625" style="1118" customWidth="1"/>
    <col min="7690" max="7933" width="9.140625" style="1118"/>
    <col min="7934" max="7934" width="11.85546875" style="1118" customWidth="1"/>
    <col min="7935" max="7935" width="56.28515625" style="1118" customWidth="1"/>
    <col min="7936" max="7936" width="14.7109375" style="1118" customWidth="1"/>
    <col min="7937" max="7937" width="15.140625" style="1118" customWidth="1"/>
    <col min="7938" max="7945" width="9.140625" style="1118" customWidth="1"/>
    <col min="7946" max="8189" width="9.140625" style="1118"/>
    <col min="8190" max="8190" width="11.85546875" style="1118" customWidth="1"/>
    <col min="8191" max="8191" width="56.28515625" style="1118" customWidth="1"/>
    <col min="8192" max="8192" width="14.7109375" style="1118" customWidth="1"/>
    <col min="8193" max="8193" width="15.140625" style="1118" customWidth="1"/>
    <col min="8194" max="8201" width="9.140625" style="1118" customWidth="1"/>
    <col min="8202" max="8445" width="9.140625" style="1118"/>
    <col min="8446" max="8446" width="11.85546875" style="1118" customWidth="1"/>
    <col min="8447" max="8447" width="56.28515625" style="1118" customWidth="1"/>
    <col min="8448" max="8448" width="14.7109375" style="1118" customWidth="1"/>
    <col min="8449" max="8449" width="15.140625" style="1118" customWidth="1"/>
    <col min="8450" max="8457" width="9.140625" style="1118" customWidth="1"/>
    <col min="8458" max="8701" width="9.140625" style="1118"/>
    <col min="8702" max="8702" width="11.85546875" style="1118" customWidth="1"/>
    <col min="8703" max="8703" width="56.28515625" style="1118" customWidth="1"/>
    <col min="8704" max="8704" width="14.7109375" style="1118" customWidth="1"/>
    <col min="8705" max="8705" width="15.140625" style="1118" customWidth="1"/>
    <col min="8706" max="8713" width="9.140625" style="1118" customWidth="1"/>
    <col min="8714" max="8957" width="9.140625" style="1118"/>
    <col min="8958" max="8958" width="11.85546875" style="1118" customWidth="1"/>
    <col min="8959" max="8959" width="56.28515625" style="1118" customWidth="1"/>
    <col min="8960" max="8960" width="14.7109375" style="1118" customWidth="1"/>
    <col min="8961" max="8961" width="15.140625" style="1118" customWidth="1"/>
    <col min="8962" max="8969" width="9.140625" style="1118" customWidth="1"/>
    <col min="8970" max="9213" width="9.140625" style="1118"/>
    <col min="9214" max="9214" width="11.85546875" style="1118" customWidth="1"/>
    <col min="9215" max="9215" width="56.28515625" style="1118" customWidth="1"/>
    <col min="9216" max="9216" width="14.7109375" style="1118" customWidth="1"/>
    <col min="9217" max="9217" width="15.140625" style="1118" customWidth="1"/>
    <col min="9218" max="9225" width="9.140625" style="1118" customWidth="1"/>
    <col min="9226" max="9469" width="9.140625" style="1118"/>
    <col min="9470" max="9470" width="11.85546875" style="1118" customWidth="1"/>
    <col min="9471" max="9471" width="56.28515625" style="1118" customWidth="1"/>
    <col min="9472" max="9472" width="14.7109375" style="1118" customWidth="1"/>
    <col min="9473" max="9473" width="15.140625" style="1118" customWidth="1"/>
    <col min="9474" max="9481" width="9.140625" style="1118" customWidth="1"/>
    <col min="9482" max="9725" width="9.140625" style="1118"/>
    <col min="9726" max="9726" width="11.85546875" style="1118" customWidth="1"/>
    <col min="9727" max="9727" width="56.28515625" style="1118" customWidth="1"/>
    <col min="9728" max="9728" width="14.7109375" style="1118" customWidth="1"/>
    <col min="9729" max="9729" width="15.140625" style="1118" customWidth="1"/>
    <col min="9730" max="9737" width="9.140625" style="1118" customWidth="1"/>
    <col min="9738" max="9981" width="9.140625" style="1118"/>
    <col min="9982" max="9982" width="11.85546875" style="1118" customWidth="1"/>
    <col min="9983" max="9983" width="56.28515625" style="1118" customWidth="1"/>
    <col min="9984" max="9984" width="14.7109375" style="1118" customWidth="1"/>
    <col min="9985" max="9985" width="15.140625" style="1118" customWidth="1"/>
    <col min="9986" max="9993" width="9.140625" style="1118" customWidth="1"/>
    <col min="9994" max="10237" width="9.140625" style="1118"/>
    <col min="10238" max="10238" width="11.85546875" style="1118" customWidth="1"/>
    <col min="10239" max="10239" width="56.28515625" style="1118" customWidth="1"/>
    <col min="10240" max="10240" width="14.7109375" style="1118" customWidth="1"/>
    <col min="10241" max="10241" width="15.140625" style="1118" customWidth="1"/>
    <col min="10242" max="10249" width="9.140625" style="1118" customWidth="1"/>
    <col min="10250" max="10493" width="9.140625" style="1118"/>
    <col min="10494" max="10494" width="11.85546875" style="1118" customWidth="1"/>
    <col min="10495" max="10495" width="56.28515625" style="1118" customWidth="1"/>
    <col min="10496" max="10496" width="14.7109375" style="1118" customWidth="1"/>
    <col min="10497" max="10497" width="15.140625" style="1118" customWidth="1"/>
    <col min="10498" max="10505" width="9.140625" style="1118" customWidth="1"/>
    <col min="10506" max="10749" width="9.140625" style="1118"/>
    <col min="10750" max="10750" width="11.85546875" style="1118" customWidth="1"/>
    <col min="10751" max="10751" width="56.28515625" style="1118" customWidth="1"/>
    <col min="10752" max="10752" width="14.7109375" style="1118" customWidth="1"/>
    <col min="10753" max="10753" width="15.140625" style="1118" customWidth="1"/>
    <col min="10754" max="10761" width="9.140625" style="1118" customWidth="1"/>
    <col min="10762" max="11005" width="9.140625" style="1118"/>
    <col min="11006" max="11006" width="11.85546875" style="1118" customWidth="1"/>
    <col min="11007" max="11007" width="56.28515625" style="1118" customWidth="1"/>
    <col min="11008" max="11008" width="14.7109375" style="1118" customWidth="1"/>
    <col min="11009" max="11009" width="15.140625" style="1118" customWidth="1"/>
    <col min="11010" max="11017" width="9.140625" style="1118" customWidth="1"/>
    <col min="11018" max="11261" width="9.140625" style="1118"/>
    <col min="11262" max="11262" width="11.85546875" style="1118" customWidth="1"/>
    <col min="11263" max="11263" width="56.28515625" style="1118" customWidth="1"/>
    <col min="11264" max="11264" width="14.7109375" style="1118" customWidth="1"/>
    <col min="11265" max="11265" width="15.140625" style="1118" customWidth="1"/>
    <col min="11266" max="11273" width="9.140625" style="1118" customWidth="1"/>
    <col min="11274" max="11517" width="9.140625" style="1118"/>
    <col min="11518" max="11518" width="11.85546875" style="1118" customWidth="1"/>
    <col min="11519" max="11519" width="56.28515625" style="1118" customWidth="1"/>
    <col min="11520" max="11520" width="14.7109375" style="1118" customWidth="1"/>
    <col min="11521" max="11521" width="15.140625" style="1118" customWidth="1"/>
    <col min="11522" max="11529" width="9.140625" style="1118" customWidth="1"/>
    <col min="11530" max="11773" width="9.140625" style="1118"/>
    <col min="11774" max="11774" width="11.85546875" style="1118" customWidth="1"/>
    <col min="11775" max="11775" width="56.28515625" style="1118" customWidth="1"/>
    <col min="11776" max="11776" width="14.7109375" style="1118" customWidth="1"/>
    <col min="11777" max="11777" width="15.140625" style="1118" customWidth="1"/>
    <col min="11778" max="11785" width="9.140625" style="1118" customWidth="1"/>
    <col min="11786" max="12029" width="9.140625" style="1118"/>
    <col min="12030" max="12030" width="11.85546875" style="1118" customWidth="1"/>
    <col min="12031" max="12031" width="56.28515625" style="1118" customWidth="1"/>
    <col min="12032" max="12032" width="14.7109375" style="1118" customWidth="1"/>
    <col min="12033" max="12033" width="15.140625" style="1118" customWidth="1"/>
    <col min="12034" max="12041" width="9.140625" style="1118" customWidth="1"/>
    <col min="12042" max="12285" width="9.140625" style="1118"/>
    <col min="12286" max="12286" width="11.85546875" style="1118" customWidth="1"/>
    <col min="12287" max="12287" width="56.28515625" style="1118" customWidth="1"/>
    <col min="12288" max="12288" width="14.7109375" style="1118" customWidth="1"/>
    <col min="12289" max="12289" width="15.140625" style="1118" customWidth="1"/>
    <col min="12290" max="12297" width="9.140625" style="1118" customWidth="1"/>
    <col min="12298" max="12541" width="9.140625" style="1118"/>
    <col min="12542" max="12542" width="11.85546875" style="1118" customWidth="1"/>
    <col min="12543" max="12543" width="56.28515625" style="1118" customWidth="1"/>
    <col min="12544" max="12544" width="14.7109375" style="1118" customWidth="1"/>
    <col min="12545" max="12545" width="15.140625" style="1118" customWidth="1"/>
    <col min="12546" max="12553" width="9.140625" style="1118" customWidth="1"/>
    <col min="12554" max="12797" width="9.140625" style="1118"/>
    <col min="12798" max="12798" width="11.85546875" style="1118" customWidth="1"/>
    <col min="12799" max="12799" width="56.28515625" style="1118" customWidth="1"/>
    <col min="12800" max="12800" width="14.7109375" style="1118" customWidth="1"/>
    <col min="12801" max="12801" width="15.140625" style="1118" customWidth="1"/>
    <col min="12802" max="12809" width="9.140625" style="1118" customWidth="1"/>
    <col min="12810" max="13053" width="9.140625" style="1118"/>
    <col min="13054" max="13054" width="11.85546875" style="1118" customWidth="1"/>
    <col min="13055" max="13055" width="56.28515625" style="1118" customWidth="1"/>
    <col min="13056" max="13056" width="14.7109375" style="1118" customWidth="1"/>
    <col min="13057" max="13057" width="15.140625" style="1118" customWidth="1"/>
    <col min="13058" max="13065" width="9.140625" style="1118" customWidth="1"/>
    <col min="13066" max="13309" width="9.140625" style="1118"/>
    <col min="13310" max="13310" width="11.85546875" style="1118" customWidth="1"/>
    <col min="13311" max="13311" width="56.28515625" style="1118" customWidth="1"/>
    <col min="13312" max="13312" width="14.7109375" style="1118" customWidth="1"/>
    <col min="13313" max="13313" width="15.140625" style="1118" customWidth="1"/>
    <col min="13314" max="13321" width="9.140625" style="1118" customWidth="1"/>
    <col min="13322" max="13565" width="9.140625" style="1118"/>
    <col min="13566" max="13566" width="11.85546875" style="1118" customWidth="1"/>
    <col min="13567" max="13567" width="56.28515625" style="1118" customWidth="1"/>
    <col min="13568" max="13568" width="14.7109375" style="1118" customWidth="1"/>
    <col min="13569" max="13569" width="15.140625" style="1118" customWidth="1"/>
    <col min="13570" max="13577" width="9.140625" style="1118" customWidth="1"/>
    <col min="13578" max="13821" width="9.140625" style="1118"/>
    <col min="13822" max="13822" width="11.85546875" style="1118" customWidth="1"/>
    <col min="13823" max="13823" width="56.28515625" style="1118" customWidth="1"/>
    <col min="13824" max="13824" width="14.7109375" style="1118" customWidth="1"/>
    <col min="13825" max="13825" width="15.140625" style="1118" customWidth="1"/>
    <col min="13826" max="13833" width="9.140625" style="1118" customWidth="1"/>
    <col min="13834" max="14077" width="9.140625" style="1118"/>
    <col min="14078" max="14078" width="11.85546875" style="1118" customWidth="1"/>
    <col min="14079" max="14079" width="56.28515625" style="1118" customWidth="1"/>
    <col min="14080" max="14080" width="14.7109375" style="1118" customWidth="1"/>
    <col min="14081" max="14081" width="15.140625" style="1118" customWidth="1"/>
    <col min="14082" max="14089" width="9.140625" style="1118" customWidth="1"/>
    <col min="14090" max="14333" width="9.140625" style="1118"/>
    <col min="14334" max="14334" width="11.85546875" style="1118" customWidth="1"/>
    <col min="14335" max="14335" width="56.28515625" style="1118" customWidth="1"/>
    <col min="14336" max="14336" width="14.7109375" style="1118" customWidth="1"/>
    <col min="14337" max="14337" width="15.140625" style="1118" customWidth="1"/>
    <col min="14338" max="14345" width="9.140625" style="1118" customWidth="1"/>
    <col min="14346" max="14589" width="9.140625" style="1118"/>
    <col min="14590" max="14590" width="11.85546875" style="1118" customWidth="1"/>
    <col min="14591" max="14591" width="56.28515625" style="1118" customWidth="1"/>
    <col min="14592" max="14592" width="14.7109375" style="1118" customWidth="1"/>
    <col min="14593" max="14593" width="15.140625" style="1118" customWidth="1"/>
    <col min="14594" max="14601" width="9.140625" style="1118" customWidth="1"/>
    <col min="14602" max="14845" width="9.140625" style="1118"/>
    <col min="14846" max="14846" width="11.85546875" style="1118" customWidth="1"/>
    <col min="14847" max="14847" width="56.28515625" style="1118" customWidth="1"/>
    <col min="14848" max="14848" width="14.7109375" style="1118" customWidth="1"/>
    <col min="14849" max="14849" width="15.140625" style="1118" customWidth="1"/>
    <col min="14850" max="14857" width="9.140625" style="1118" customWidth="1"/>
    <col min="14858" max="15101" width="9.140625" style="1118"/>
    <col min="15102" max="15102" width="11.85546875" style="1118" customWidth="1"/>
    <col min="15103" max="15103" width="56.28515625" style="1118" customWidth="1"/>
    <col min="15104" max="15104" width="14.7109375" style="1118" customWidth="1"/>
    <col min="15105" max="15105" width="15.140625" style="1118" customWidth="1"/>
    <col min="15106" max="15113" width="9.140625" style="1118" customWidth="1"/>
    <col min="15114" max="15357" width="9.140625" style="1118"/>
    <col min="15358" max="15358" width="11.85546875" style="1118" customWidth="1"/>
    <col min="15359" max="15359" width="56.28515625" style="1118" customWidth="1"/>
    <col min="15360" max="15360" width="14.7109375" style="1118" customWidth="1"/>
    <col min="15361" max="15361" width="15.140625" style="1118" customWidth="1"/>
    <col min="15362" max="15369" width="9.140625" style="1118" customWidth="1"/>
    <col min="15370" max="15613" width="9.140625" style="1118"/>
    <col min="15614" max="15614" width="11.85546875" style="1118" customWidth="1"/>
    <col min="15615" max="15615" width="56.28515625" style="1118" customWidth="1"/>
    <col min="15616" max="15616" width="14.7109375" style="1118" customWidth="1"/>
    <col min="15617" max="15617" width="15.140625" style="1118" customWidth="1"/>
    <col min="15618" max="15625" width="9.140625" style="1118" customWidth="1"/>
    <col min="15626" max="15869" width="9.140625" style="1118"/>
    <col min="15870" max="15870" width="11.85546875" style="1118" customWidth="1"/>
    <col min="15871" max="15871" width="56.28515625" style="1118" customWidth="1"/>
    <col min="15872" max="15872" width="14.7109375" style="1118" customWidth="1"/>
    <col min="15873" max="15873" width="15.140625" style="1118" customWidth="1"/>
    <col min="15874" max="15881" width="9.140625" style="1118" customWidth="1"/>
    <col min="15882" max="16125" width="9.140625" style="1118"/>
    <col min="16126" max="16126" width="11.85546875" style="1118" customWidth="1"/>
    <col min="16127" max="16127" width="56.28515625" style="1118" customWidth="1"/>
    <col min="16128" max="16128" width="14.7109375" style="1118" customWidth="1"/>
    <col min="16129" max="16129" width="15.140625" style="1118" customWidth="1"/>
    <col min="16130" max="16137" width="9.140625" style="1118" customWidth="1"/>
    <col min="16138" max="16384" width="9.140625" style="1118"/>
  </cols>
  <sheetData>
    <row r="1" spans="1:11" s="1101" customFormat="1" ht="21" customHeight="1" thickBot="1" x14ac:dyDescent="0.3">
      <c r="A1" s="1862" t="s">
        <v>1232</v>
      </c>
      <c r="B1" s="1862"/>
      <c r="C1" s="1862"/>
      <c r="D1" s="1862"/>
      <c r="E1" s="1245"/>
      <c r="F1" s="1245"/>
      <c r="G1" s="1245"/>
      <c r="H1" s="1245"/>
      <c r="I1" s="1245"/>
    </row>
    <row r="2" spans="1:11" s="1106" customFormat="1" ht="25.5" customHeight="1" x14ac:dyDescent="0.25">
      <c r="A2" s="1246" t="s">
        <v>943</v>
      </c>
      <c r="B2" s="1103" t="s">
        <v>944</v>
      </c>
      <c r="C2" s="1858" t="s">
        <v>945</v>
      </c>
      <c r="D2" s="1859"/>
      <c r="E2" s="1247"/>
      <c r="F2" s="1247"/>
      <c r="G2" s="1247"/>
      <c r="H2" s="1247"/>
      <c r="I2" s="1247"/>
    </row>
    <row r="3" spans="1:11" s="1106" customFormat="1" ht="24.75" thickBot="1" x14ac:dyDescent="0.3">
      <c r="A3" s="1248" t="s">
        <v>652</v>
      </c>
      <c r="B3" s="1282" t="s">
        <v>1212</v>
      </c>
      <c r="C3" s="1860"/>
      <c r="D3" s="1861"/>
      <c r="E3" s="1247"/>
      <c r="F3" s="1247"/>
      <c r="G3" s="1247"/>
      <c r="H3" s="1247"/>
      <c r="I3" s="1247"/>
    </row>
    <row r="4" spans="1:11" s="1113" customFormat="1" ht="15.95" customHeight="1" thickBot="1" x14ac:dyDescent="0.3">
      <c r="A4" s="1109"/>
      <c r="B4" s="1110"/>
      <c r="C4" s="1812" t="s">
        <v>654</v>
      </c>
      <c r="D4" s="1813"/>
      <c r="E4" s="1247"/>
      <c r="F4" s="1247"/>
      <c r="G4" s="1247"/>
      <c r="H4" s="1247"/>
      <c r="I4" s="1247"/>
    </row>
    <row r="5" spans="1:11" ht="36.75" thickBot="1" x14ac:dyDescent="0.3">
      <c r="A5" s="1239" t="s">
        <v>655</v>
      </c>
      <c r="B5" s="1114" t="s">
        <v>656</v>
      </c>
      <c r="C5" s="1115" t="s">
        <v>927</v>
      </c>
      <c r="D5" s="1116" t="s">
        <v>928</v>
      </c>
      <c r="E5" s="1249" t="s">
        <v>665</v>
      </c>
      <c r="F5" s="1249" t="s">
        <v>687</v>
      </c>
      <c r="G5" s="1249" t="s">
        <v>690</v>
      </c>
      <c r="H5" s="1249" t="s">
        <v>947</v>
      </c>
      <c r="I5" s="1250"/>
      <c r="J5" s="1250"/>
      <c r="K5" s="1250"/>
    </row>
    <row r="6" spans="1:11" s="1125" customFormat="1" ht="12.95" customHeight="1" thickBot="1" x14ac:dyDescent="0.3">
      <c r="A6" s="1119">
        <v>1</v>
      </c>
      <c r="B6" s="1120">
        <v>2</v>
      </c>
      <c r="C6" s="1122">
        <v>3</v>
      </c>
      <c r="D6" s="1122">
        <v>4</v>
      </c>
      <c r="E6" s="1251"/>
      <c r="F6" s="1251"/>
      <c r="G6" s="1251"/>
      <c r="H6" s="1251"/>
      <c r="I6" s="1251"/>
    </row>
    <row r="7" spans="1:11" s="1125" customFormat="1" ht="15.95" customHeight="1" thickBot="1" x14ac:dyDescent="0.3">
      <c r="A7" s="1814" t="s">
        <v>657</v>
      </c>
      <c r="B7" s="1815"/>
      <c r="C7" s="1815"/>
      <c r="D7" s="1816"/>
      <c r="E7" s="1251"/>
      <c r="F7" s="1251"/>
      <c r="G7" s="1251"/>
      <c r="H7" s="1251"/>
      <c r="I7" s="1251"/>
    </row>
    <row r="8" spans="1:11" s="1138" customFormat="1" ht="12" customHeight="1" thickBot="1" x14ac:dyDescent="0.3">
      <c r="A8" s="1119" t="s">
        <v>696</v>
      </c>
      <c r="B8" s="1252" t="s">
        <v>948</v>
      </c>
      <c r="C8" s="1253">
        <f>SUM(C9:C18)</f>
        <v>26083738</v>
      </c>
      <c r="D8" s="1253">
        <f>SUM(D9:D18)</f>
        <v>0</v>
      </c>
      <c r="E8" s="1254"/>
      <c r="F8" s="1254"/>
      <c r="G8" s="1254"/>
      <c r="H8" s="1254"/>
      <c r="I8" s="1254"/>
    </row>
    <row r="9" spans="1:11" s="1138" customFormat="1" ht="12" customHeight="1" x14ac:dyDescent="0.25">
      <c r="A9" s="1255" t="s">
        <v>698</v>
      </c>
      <c r="B9" s="1191" t="s">
        <v>756</v>
      </c>
      <c r="C9" s="1256">
        <f t="shared" ref="C9:C18" si="0">SUM(E9:O9)</f>
        <v>0</v>
      </c>
      <c r="D9" s="1257"/>
      <c r="E9" s="1117"/>
      <c r="F9" s="1117"/>
      <c r="G9" s="1117"/>
      <c r="H9" s="1117"/>
      <c r="I9" s="1117"/>
    </row>
    <row r="10" spans="1:11" s="1138" customFormat="1" ht="12" customHeight="1" x14ac:dyDescent="0.25">
      <c r="A10" s="1258" t="s">
        <v>700</v>
      </c>
      <c r="B10" s="1194" t="s">
        <v>758</v>
      </c>
      <c r="C10" s="1256">
        <f t="shared" si="0"/>
        <v>8980000</v>
      </c>
      <c r="D10" s="1259"/>
      <c r="E10" s="1117"/>
      <c r="F10" s="1117">
        <v>8980000</v>
      </c>
      <c r="G10" s="1117"/>
      <c r="H10" s="1117"/>
      <c r="I10" s="1117"/>
    </row>
    <row r="11" spans="1:11" s="1138" customFormat="1" ht="12" customHeight="1" x14ac:dyDescent="0.25">
      <c r="A11" s="1258" t="s">
        <v>702</v>
      </c>
      <c r="B11" s="1194" t="s">
        <v>760</v>
      </c>
      <c r="C11" s="1256">
        <f t="shared" si="0"/>
        <v>0</v>
      </c>
      <c r="D11" s="1260"/>
      <c r="E11" s="1117"/>
      <c r="F11" s="1117"/>
      <c r="G11" s="1117"/>
      <c r="H11" s="1117"/>
      <c r="I11" s="1117"/>
    </row>
    <row r="12" spans="1:11" s="1138" customFormat="1" ht="12" customHeight="1" x14ac:dyDescent="0.25">
      <c r="A12" s="1258" t="s">
        <v>704</v>
      </c>
      <c r="B12" s="1194" t="s">
        <v>762</v>
      </c>
      <c r="C12" s="1256">
        <f t="shared" si="0"/>
        <v>0</v>
      </c>
      <c r="D12" s="1260"/>
      <c r="E12" s="1117"/>
      <c r="F12" s="1117"/>
      <c r="G12" s="1117"/>
      <c r="H12" s="1117"/>
      <c r="I12" s="1117"/>
    </row>
    <row r="13" spans="1:11" s="1138" customFormat="1" ht="12" customHeight="1" x14ac:dyDescent="0.25">
      <c r="A13" s="1258" t="s">
        <v>706</v>
      </c>
      <c r="B13" s="1194" t="s">
        <v>764</v>
      </c>
      <c r="C13" s="1256">
        <f t="shared" si="0"/>
        <v>7400000</v>
      </c>
      <c r="D13" s="1260"/>
      <c r="E13" s="1117"/>
      <c r="F13" s="1117">
        <v>7400000</v>
      </c>
      <c r="G13" s="1117"/>
      <c r="H13" s="1117"/>
      <c r="I13" s="1117"/>
    </row>
    <row r="14" spans="1:11" s="1138" customFormat="1" ht="12" customHeight="1" x14ac:dyDescent="0.25">
      <c r="A14" s="1258" t="s">
        <v>708</v>
      </c>
      <c r="B14" s="1194" t="s">
        <v>949</v>
      </c>
      <c r="C14" s="1256">
        <f t="shared" si="0"/>
        <v>4463738</v>
      </c>
      <c r="D14" s="1260"/>
      <c r="E14" s="1117"/>
      <c r="F14" s="1117">
        <v>4463738</v>
      </c>
      <c r="G14" s="1117"/>
      <c r="H14" s="1117"/>
      <c r="I14" s="1117"/>
    </row>
    <row r="15" spans="1:11" s="1138" customFormat="1" ht="12" customHeight="1" x14ac:dyDescent="0.25">
      <c r="A15" s="1258" t="s">
        <v>862</v>
      </c>
      <c r="B15" s="1215" t="s">
        <v>950</v>
      </c>
      <c r="C15" s="1256">
        <f t="shared" si="0"/>
        <v>5240000</v>
      </c>
      <c r="D15" s="1260"/>
      <c r="E15" s="1117"/>
      <c r="F15" s="1117">
        <v>5240000</v>
      </c>
      <c r="G15" s="1117"/>
      <c r="H15" s="1117"/>
      <c r="I15" s="1117"/>
    </row>
    <row r="16" spans="1:11" s="1138" customFormat="1" ht="12" customHeight="1" x14ac:dyDescent="0.25">
      <c r="A16" s="1258" t="s">
        <v>864</v>
      </c>
      <c r="B16" s="1194" t="s">
        <v>770</v>
      </c>
      <c r="C16" s="1256">
        <f t="shared" si="0"/>
        <v>0</v>
      </c>
      <c r="D16" s="1261"/>
      <c r="E16" s="1117"/>
      <c r="F16" s="1117"/>
      <c r="G16" s="1117"/>
      <c r="H16" s="1117"/>
      <c r="I16" s="1117"/>
    </row>
    <row r="17" spans="1:9" s="1142" customFormat="1" ht="12" customHeight="1" x14ac:dyDescent="0.25">
      <c r="A17" s="1258" t="s">
        <v>866</v>
      </c>
      <c r="B17" s="1194" t="s">
        <v>772</v>
      </c>
      <c r="C17" s="1256">
        <f t="shared" si="0"/>
        <v>0</v>
      </c>
      <c r="D17" s="1260"/>
      <c r="E17" s="1117"/>
      <c r="F17" s="1117"/>
      <c r="G17" s="1117"/>
      <c r="H17" s="1117"/>
      <c r="I17" s="1117"/>
    </row>
    <row r="18" spans="1:9" s="1142" customFormat="1" ht="12" customHeight="1" thickBot="1" x14ac:dyDescent="0.3">
      <c r="A18" s="1258" t="s">
        <v>868</v>
      </c>
      <c r="B18" s="1215" t="s">
        <v>774</v>
      </c>
      <c r="C18" s="1256">
        <f t="shared" si="0"/>
        <v>0</v>
      </c>
      <c r="D18" s="1262"/>
      <c r="E18" s="1117"/>
      <c r="F18" s="1117"/>
      <c r="G18" s="1117"/>
      <c r="H18" s="1117"/>
      <c r="I18" s="1117"/>
    </row>
    <row r="19" spans="1:9" s="1138" customFormat="1" ht="12" customHeight="1" thickBot="1" x14ac:dyDescent="0.3">
      <c r="A19" s="1119" t="s">
        <v>710</v>
      </c>
      <c r="B19" s="1252" t="s">
        <v>951</v>
      </c>
      <c r="C19" s="1253">
        <f>SUM(C20:C22)</f>
        <v>0</v>
      </c>
      <c r="D19" s="1253">
        <f>SUM(D20:D22)</f>
        <v>0</v>
      </c>
      <c r="E19" s="1117"/>
      <c r="F19" s="1117"/>
      <c r="G19" s="1117"/>
      <c r="H19" s="1117"/>
      <c r="I19" s="1117"/>
    </row>
    <row r="20" spans="1:9" s="1142" customFormat="1" ht="12" customHeight="1" x14ac:dyDescent="0.25">
      <c r="A20" s="1258" t="s">
        <v>712</v>
      </c>
      <c r="B20" s="1214" t="s">
        <v>713</v>
      </c>
      <c r="C20" s="1256">
        <f>SUM(E20:O20)</f>
        <v>0</v>
      </c>
      <c r="D20" s="1260"/>
      <c r="E20" s="1117"/>
      <c r="F20" s="1117"/>
      <c r="G20" s="1117"/>
      <c r="H20" s="1117"/>
      <c r="I20" s="1117"/>
    </row>
    <row r="21" spans="1:9" s="1142" customFormat="1" ht="12" customHeight="1" x14ac:dyDescent="0.25">
      <c r="A21" s="1258" t="s">
        <v>714</v>
      </c>
      <c r="B21" s="1194" t="s">
        <v>952</v>
      </c>
      <c r="C21" s="1256">
        <f>SUM(E21:O21)</f>
        <v>0</v>
      </c>
      <c r="D21" s="1260"/>
      <c r="E21" s="1117"/>
      <c r="F21" s="1117"/>
      <c r="G21" s="1117"/>
      <c r="H21" s="1117"/>
      <c r="I21" s="1117"/>
    </row>
    <row r="22" spans="1:9" s="1142" customFormat="1" ht="12" customHeight="1" x14ac:dyDescent="0.25">
      <c r="A22" s="1258" t="s">
        <v>716</v>
      </c>
      <c r="B22" s="1194" t="s">
        <v>953</v>
      </c>
      <c r="C22" s="1256">
        <f>SUM(E22:O22)</f>
        <v>0</v>
      </c>
      <c r="D22" s="1260"/>
      <c r="E22" s="1117"/>
      <c r="F22" s="1117"/>
      <c r="G22" s="1117"/>
      <c r="H22" s="1117"/>
      <c r="I22" s="1117"/>
    </row>
    <row r="23" spans="1:9" s="1142" customFormat="1" ht="12" customHeight="1" thickBot="1" x14ac:dyDescent="0.3">
      <c r="A23" s="1258" t="s">
        <v>718</v>
      </c>
      <c r="B23" s="1194" t="s">
        <v>954</v>
      </c>
      <c r="C23" s="1256">
        <f>SUM(E23:O23)</f>
        <v>0</v>
      </c>
      <c r="D23" s="1260"/>
      <c r="E23" s="1117"/>
      <c r="F23" s="1117"/>
      <c r="G23" s="1117"/>
      <c r="H23" s="1117"/>
      <c r="I23" s="1117"/>
    </row>
    <row r="24" spans="1:9" s="1142" customFormat="1" ht="12" customHeight="1" thickBot="1" x14ac:dyDescent="0.3">
      <c r="A24" s="1263" t="s">
        <v>724</v>
      </c>
      <c r="B24" s="1213" t="s">
        <v>250</v>
      </c>
      <c r="C24" s="1264"/>
      <c r="D24" s="1264"/>
      <c r="E24" s="1117"/>
      <c r="F24" s="1117"/>
      <c r="G24" s="1117"/>
      <c r="H24" s="1117"/>
      <c r="I24" s="1117"/>
    </row>
    <row r="25" spans="1:9" s="1142" customFormat="1" ht="12" customHeight="1" thickBot="1" x14ac:dyDescent="0.3">
      <c r="A25" s="1263" t="s">
        <v>900</v>
      </c>
      <c r="B25" s="1213" t="s">
        <v>955</v>
      </c>
      <c r="C25" s="1253">
        <f>+C26+C27</f>
        <v>0</v>
      </c>
      <c r="D25" s="1253">
        <f>+D26+D27</f>
        <v>0</v>
      </c>
      <c r="E25" s="1117"/>
      <c r="F25" s="1117"/>
      <c r="G25" s="1117"/>
      <c r="H25" s="1117"/>
      <c r="I25" s="1117"/>
    </row>
    <row r="26" spans="1:9" s="1142" customFormat="1" ht="12" customHeight="1" x14ac:dyDescent="0.25">
      <c r="A26" s="1265" t="s">
        <v>740</v>
      </c>
      <c r="B26" s="1266" t="s">
        <v>952</v>
      </c>
      <c r="C26" s="1256">
        <f>SUM(E26:O26)</f>
        <v>0</v>
      </c>
      <c r="D26" s="1256"/>
      <c r="E26" s="1117"/>
      <c r="F26" s="1117"/>
      <c r="G26" s="1117"/>
      <c r="H26" s="1117"/>
      <c r="I26" s="1117"/>
    </row>
    <row r="27" spans="1:9" s="1142" customFormat="1" ht="12" customHeight="1" x14ac:dyDescent="0.25">
      <c r="A27" s="1265" t="s">
        <v>752</v>
      </c>
      <c r="B27" s="1267" t="s">
        <v>956</v>
      </c>
      <c r="C27" s="1256">
        <f>SUM(E27:O27)</f>
        <v>0</v>
      </c>
      <c r="D27" s="1268"/>
      <c r="E27" s="1117"/>
      <c r="F27" s="1117"/>
      <c r="G27" s="1117"/>
      <c r="H27" s="1117"/>
      <c r="I27" s="1117"/>
    </row>
    <row r="28" spans="1:9" s="1142" customFormat="1" ht="12" customHeight="1" thickBot="1" x14ac:dyDescent="0.3">
      <c r="A28" s="1258" t="s">
        <v>957</v>
      </c>
      <c r="B28" s="1269" t="s">
        <v>958</v>
      </c>
      <c r="C28" s="1256">
        <f>SUM(E28:O28)</f>
        <v>0</v>
      </c>
      <c r="D28" s="1270"/>
      <c r="E28" s="1117"/>
      <c r="F28" s="1117"/>
      <c r="G28" s="1117"/>
      <c r="H28" s="1117"/>
      <c r="I28" s="1117"/>
    </row>
    <row r="29" spans="1:9" s="1142" customFormat="1" ht="12" customHeight="1" thickBot="1" x14ac:dyDescent="0.3">
      <c r="A29" s="1263" t="s">
        <v>753</v>
      </c>
      <c r="B29" s="1213" t="s">
        <v>959</v>
      </c>
      <c r="C29" s="1253">
        <f>+C30+C31+C32</f>
        <v>152362</v>
      </c>
      <c r="D29" s="1253">
        <f>+D30+D31+D32</f>
        <v>0</v>
      </c>
      <c r="E29" s="1117"/>
      <c r="F29" s="1117"/>
      <c r="G29" s="1117"/>
      <c r="H29" s="1117"/>
      <c r="I29" s="1117"/>
    </row>
    <row r="30" spans="1:9" s="1142" customFormat="1" ht="12" customHeight="1" x14ac:dyDescent="0.25">
      <c r="A30" s="1265" t="s">
        <v>755</v>
      </c>
      <c r="B30" s="1266" t="s">
        <v>778</v>
      </c>
      <c r="C30" s="1256">
        <f>SUM(E30:O30)</f>
        <v>0</v>
      </c>
      <c r="D30" s="1256"/>
      <c r="E30" s="1117"/>
      <c r="F30" s="1117"/>
      <c r="G30" s="1117"/>
      <c r="H30" s="1117"/>
      <c r="I30" s="1117"/>
    </row>
    <row r="31" spans="1:9" s="1142" customFormat="1" ht="12" customHeight="1" x14ac:dyDescent="0.25">
      <c r="A31" s="1265" t="s">
        <v>757</v>
      </c>
      <c r="B31" s="1267" t="s">
        <v>525</v>
      </c>
      <c r="C31" s="1256">
        <f>SUM(E31:O31)</f>
        <v>0</v>
      </c>
      <c r="D31" s="1268"/>
      <c r="E31" s="1117"/>
      <c r="F31" s="1117"/>
      <c r="G31" s="1117"/>
      <c r="H31" s="1117"/>
      <c r="I31" s="1117"/>
    </row>
    <row r="32" spans="1:9" s="1142" customFormat="1" ht="12" customHeight="1" thickBot="1" x14ac:dyDescent="0.3">
      <c r="A32" s="1258" t="s">
        <v>759</v>
      </c>
      <c r="B32" s="1271" t="s">
        <v>781</v>
      </c>
      <c r="C32" s="1256">
        <f>SUM(E32:O32)</f>
        <v>152362</v>
      </c>
      <c r="D32" s="1270"/>
      <c r="E32" s="1117"/>
      <c r="F32" s="1117">
        <v>152362</v>
      </c>
      <c r="G32" s="1117"/>
      <c r="H32" s="1117"/>
      <c r="I32" s="1117"/>
    </row>
    <row r="33" spans="1:9" s="1138" customFormat="1" ht="12" customHeight="1" thickBot="1" x14ac:dyDescent="0.3">
      <c r="A33" s="1263" t="s">
        <v>775</v>
      </c>
      <c r="B33" s="1213" t="s">
        <v>960</v>
      </c>
      <c r="C33" s="1264"/>
      <c r="D33" s="1264"/>
      <c r="E33" s="1117"/>
      <c r="F33" s="1117"/>
      <c r="G33" s="1117"/>
      <c r="H33" s="1117"/>
      <c r="I33" s="1117"/>
    </row>
    <row r="34" spans="1:9" s="1138" customFormat="1" ht="12" customHeight="1" thickBot="1" x14ac:dyDescent="0.3">
      <c r="A34" s="1263" t="s">
        <v>911</v>
      </c>
      <c r="B34" s="1213" t="s">
        <v>961</v>
      </c>
      <c r="C34" s="1272"/>
      <c r="D34" s="1272"/>
      <c r="E34" s="1117"/>
      <c r="F34" s="1117"/>
      <c r="G34" s="1117"/>
      <c r="H34" s="1117"/>
      <c r="I34" s="1117"/>
    </row>
    <row r="35" spans="1:9" s="1138" customFormat="1" ht="12" customHeight="1" thickBot="1" x14ac:dyDescent="0.3">
      <c r="A35" s="1119" t="s">
        <v>796</v>
      </c>
      <c r="B35" s="1213" t="s">
        <v>962</v>
      </c>
      <c r="C35" s="1273">
        <f>+C8+C19+C24+C25+C29+C33+C34</f>
        <v>26236100</v>
      </c>
      <c r="D35" s="1273">
        <f>+D8+D19+D24+D25+D29+D33+D34</f>
        <v>0</v>
      </c>
      <c r="E35" s="1117"/>
      <c r="F35" s="1117"/>
      <c r="G35" s="1117"/>
      <c r="H35" s="1117"/>
      <c r="I35" s="1117"/>
    </row>
    <row r="36" spans="1:9" s="1138" customFormat="1" ht="12" customHeight="1" thickBot="1" x14ac:dyDescent="0.3">
      <c r="A36" s="1274" t="s">
        <v>806</v>
      </c>
      <c r="B36" s="1213" t="s">
        <v>963</v>
      </c>
      <c r="C36" s="1273">
        <f>+C37+C38+C39</f>
        <v>15199648</v>
      </c>
      <c r="D36" s="1273">
        <f>+D37+D38+D39</f>
        <v>0</v>
      </c>
      <c r="E36" s="1117"/>
      <c r="F36" s="1117"/>
      <c r="G36" s="1117"/>
      <c r="H36" s="1117"/>
      <c r="I36" s="1117"/>
    </row>
    <row r="37" spans="1:9" s="1138" customFormat="1" ht="12" customHeight="1" x14ac:dyDescent="0.25">
      <c r="A37" s="1265" t="s">
        <v>964</v>
      </c>
      <c r="B37" s="1266" t="s">
        <v>965</v>
      </c>
      <c r="C37" s="1256">
        <f>SUM(E37:O37)</f>
        <v>0</v>
      </c>
      <c r="D37" s="1256"/>
      <c r="E37" s="1117"/>
      <c r="F37" s="1117"/>
      <c r="G37" s="1117"/>
      <c r="H37" s="1117"/>
      <c r="I37" s="1117"/>
    </row>
    <row r="38" spans="1:9" s="1138" customFormat="1" ht="12" customHeight="1" x14ac:dyDescent="0.25">
      <c r="A38" s="1265" t="s">
        <v>966</v>
      </c>
      <c r="B38" s="1267" t="s">
        <v>967</v>
      </c>
      <c r="C38" s="1256">
        <f>SUM(E38:O38)</f>
        <v>0</v>
      </c>
      <c r="D38" s="1268"/>
      <c r="E38" s="1117"/>
      <c r="F38" s="1117"/>
      <c r="G38" s="1117"/>
      <c r="H38" s="1117"/>
      <c r="I38" s="1117"/>
    </row>
    <row r="39" spans="1:9" s="1142" customFormat="1" ht="12" customHeight="1" thickBot="1" x14ac:dyDescent="0.3">
      <c r="A39" s="1258" t="s">
        <v>968</v>
      </c>
      <c r="B39" s="1271" t="s">
        <v>969</v>
      </c>
      <c r="C39" s="1256">
        <f>SUM(E39:O39)</f>
        <v>15199648</v>
      </c>
      <c r="D39" s="1270"/>
      <c r="E39" s="1117">
        <v>15199648</v>
      </c>
      <c r="F39" s="1117"/>
      <c r="G39" s="1117"/>
      <c r="H39" s="1117"/>
      <c r="I39" s="1117"/>
    </row>
    <row r="40" spans="1:9" s="1142" customFormat="1" ht="15" customHeight="1" thickBot="1" x14ac:dyDescent="0.25">
      <c r="A40" s="1274" t="s">
        <v>923</v>
      </c>
      <c r="B40" s="1275" t="s">
        <v>970</v>
      </c>
      <c r="C40" s="1276">
        <f>+C35+C36</f>
        <v>41435748</v>
      </c>
      <c r="D40" s="1276">
        <f>+D35+D36</f>
        <v>0</v>
      </c>
      <c r="E40" s="1117">
        <f t="shared" ref="E40:H40" si="1">SUM(E8:E39)</f>
        <v>15199648</v>
      </c>
      <c r="F40" s="1117">
        <f t="shared" si="1"/>
        <v>26236100</v>
      </c>
      <c r="G40" s="1117">
        <f t="shared" si="1"/>
        <v>0</v>
      </c>
      <c r="H40" s="1117">
        <f t="shared" si="1"/>
        <v>0</v>
      </c>
      <c r="I40" s="1117"/>
    </row>
    <row r="41" spans="1:9" s="1142" customFormat="1" ht="15" customHeight="1" x14ac:dyDescent="0.25">
      <c r="A41" s="1178"/>
      <c r="B41" s="1179"/>
      <c r="C41" s="1180"/>
      <c r="D41" s="1180"/>
      <c r="E41" s="1117"/>
      <c r="F41" s="1117"/>
      <c r="G41" s="1117"/>
      <c r="H41" s="1117"/>
      <c r="I41" s="1117"/>
    </row>
    <row r="42" spans="1:9" ht="13.5" thickBot="1" x14ac:dyDescent="0.3">
      <c r="A42" s="1277"/>
      <c r="B42" s="1183"/>
      <c r="C42" s="1184"/>
      <c r="D42" s="1184"/>
      <c r="E42" s="1117"/>
      <c r="F42" s="1117"/>
      <c r="G42" s="1117"/>
      <c r="H42" s="1117"/>
      <c r="I42" s="1117"/>
    </row>
    <row r="43" spans="1:9" s="1125" customFormat="1" ht="16.5" customHeight="1" thickBot="1" x14ac:dyDescent="0.3">
      <c r="A43" s="1814" t="s">
        <v>856</v>
      </c>
      <c r="B43" s="1815"/>
      <c r="C43" s="1815"/>
      <c r="D43" s="1816"/>
      <c r="E43" s="1132"/>
      <c r="F43" s="1132"/>
      <c r="G43" s="1132"/>
      <c r="H43" s="1132"/>
      <c r="I43" s="1132"/>
    </row>
    <row r="44" spans="1:9" s="1189" customFormat="1" ht="12" customHeight="1" thickBot="1" x14ac:dyDescent="0.3">
      <c r="A44" s="1263" t="s">
        <v>696</v>
      </c>
      <c r="B44" s="1213" t="s">
        <v>971</v>
      </c>
      <c r="C44" s="1253">
        <f>SUM(C45:C49)</f>
        <v>40810197</v>
      </c>
      <c r="D44" s="1253">
        <f>SUM(D45:D49)</f>
        <v>0</v>
      </c>
      <c r="E44" s="1117"/>
      <c r="F44" s="1117"/>
      <c r="G44" s="1117"/>
      <c r="H44" s="1117"/>
      <c r="I44" s="1117"/>
    </row>
    <row r="45" spans="1:9" ht="12" customHeight="1" x14ac:dyDescent="0.25">
      <c r="A45" s="1258" t="s">
        <v>698</v>
      </c>
      <c r="B45" s="1214" t="s">
        <v>858</v>
      </c>
      <c r="C45" s="1256">
        <f>SUM(E45:O45)</f>
        <v>12910704</v>
      </c>
      <c r="D45" s="1256"/>
      <c r="E45" s="1117"/>
      <c r="F45" s="1117">
        <v>12910704</v>
      </c>
      <c r="G45" s="1117"/>
      <c r="H45" s="1117"/>
      <c r="I45" s="1117"/>
    </row>
    <row r="46" spans="1:9" ht="12" customHeight="1" x14ac:dyDescent="0.25">
      <c r="A46" s="1258" t="s">
        <v>700</v>
      </c>
      <c r="B46" s="1194" t="s">
        <v>25</v>
      </c>
      <c r="C46" s="1256">
        <f>SUM(E46:O46)</f>
        <v>2411873</v>
      </c>
      <c r="D46" s="1278"/>
      <c r="E46" s="1117"/>
      <c r="F46" s="1117">
        <v>2411873</v>
      </c>
      <c r="G46" s="1117"/>
      <c r="H46" s="1117"/>
      <c r="I46" s="1117"/>
    </row>
    <row r="47" spans="1:9" ht="12" customHeight="1" x14ac:dyDescent="0.25">
      <c r="A47" s="1258" t="s">
        <v>702</v>
      </c>
      <c r="B47" s="1194" t="s">
        <v>859</v>
      </c>
      <c r="C47" s="1256">
        <f>SUM(E47:O47)</f>
        <v>25487620</v>
      </c>
      <c r="D47" s="1278"/>
      <c r="E47" s="1117"/>
      <c r="F47" s="1117">
        <v>25487620</v>
      </c>
      <c r="G47" s="1117"/>
      <c r="H47" s="1117"/>
      <c r="I47" s="1117"/>
    </row>
    <row r="48" spans="1:9" ht="12" customHeight="1" x14ac:dyDescent="0.25">
      <c r="A48" s="1258" t="s">
        <v>704</v>
      </c>
      <c r="B48" s="1194" t="s">
        <v>216</v>
      </c>
      <c r="C48" s="1256">
        <f>SUM(E48:O48)</f>
        <v>0</v>
      </c>
      <c r="D48" s="1278"/>
      <c r="E48" s="1117"/>
      <c r="F48" s="1117"/>
      <c r="G48" s="1117"/>
      <c r="H48" s="1117"/>
      <c r="I48" s="1117"/>
    </row>
    <row r="49" spans="1:9" ht="12" customHeight="1" thickBot="1" x14ac:dyDescent="0.3">
      <c r="A49" s="1258" t="s">
        <v>706</v>
      </c>
      <c r="B49" s="1194" t="s">
        <v>55</v>
      </c>
      <c r="C49" s="1256">
        <f>SUM(E49:O49)</f>
        <v>0</v>
      </c>
      <c r="D49" s="1278"/>
      <c r="E49" s="1117"/>
      <c r="F49" s="1117"/>
      <c r="G49" s="1117"/>
      <c r="H49" s="1117"/>
      <c r="I49" s="1117"/>
    </row>
    <row r="50" spans="1:9" ht="12" customHeight="1" thickBot="1" x14ac:dyDescent="0.3">
      <c r="A50" s="1263" t="s">
        <v>710</v>
      </c>
      <c r="B50" s="1213" t="s">
        <v>972</v>
      </c>
      <c r="C50" s="1253">
        <f>SUM(C51:C53)</f>
        <v>625551</v>
      </c>
      <c r="D50" s="1253">
        <f>SUM(D51:D53)</f>
        <v>0</v>
      </c>
      <c r="E50" s="1117"/>
      <c r="F50" s="1117"/>
      <c r="G50" s="1117"/>
      <c r="H50" s="1117"/>
      <c r="I50" s="1117"/>
    </row>
    <row r="51" spans="1:9" s="1189" customFormat="1" ht="12" customHeight="1" x14ac:dyDescent="0.25">
      <c r="A51" s="1258" t="s">
        <v>712</v>
      </c>
      <c r="B51" s="1214" t="s">
        <v>63</v>
      </c>
      <c r="C51" s="1256">
        <f>SUM(E51:O51)</f>
        <v>625551</v>
      </c>
      <c r="D51" s="1256"/>
      <c r="E51" s="1117"/>
      <c r="F51" s="1117">
        <v>625551</v>
      </c>
      <c r="G51" s="1117"/>
      <c r="H51" s="1117"/>
      <c r="I51" s="1117"/>
    </row>
    <row r="52" spans="1:9" ht="12" customHeight="1" x14ac:dyDescent="0.25">
      <c r="A52" s="1258" t="s">
        <v>714</v>
      </c>
      <c r="B52" s="1194" t="s">
        <v>153</v>
      </c>
      <c r="C52" s="1256">
        <f>SUM(E52:O52)</f>
        <v>0</v>
      </c>
      <c r="D52" s="1278"/>
      <c r="E52" s="1117"/>
      <c r="F52" s="1117"/>
      <c r="G52" s="1117"/>
      <c r="H52" s="1117"/>
      <c r="I52" s="1117"/>
    </row>
    <row r="53" spans="1:9" ht="12" customHeight="1" x14ac:dyDescent="0.25">
      <c r="A53" s="1258" t="s">
        <v>716</v>
      </c>
      <c r="B53" s="1194" t="s">
        <v>973</v>
      </c>
      <c r="C53" s="1256">
        <f>SUM(E53:O53)</f>
        <v>0</v>
      </c>
      <c r="D53" s="1278"/>
      <c r="E53" s="1117"/>
      <c r="F53" s="1117"/>
      <c r="G53" s="1117"/>
      <c r="H53" s="1117"/>
      <c r="I53" s="1117"/>
    </row>
    <row r="54" spans="1:9" ht="12" customHeight="1" thickBot="1" x14ac:dyDescent="0.3">
      <c r="A54" s="1258" t="s">
        <v>718</v>
      </c>
      <c r="B54" s="1194" t="s">
        <v>974</v>
      </c>
      <c r="C54" s="1256">
        <f>SUM(E54:O54)</f>
        <v>0</v>
      </c>
      <c r="D54" s="1278"/>
      <c r="E54" s="1117"/>
      <c r="F54" s="1117"/>
      <c r="G54" s="1117"/>
      <c r="H54" s="1117"/>
      <c r="I54" s="1117"/>
    </row>
    <row r="55" spans="1:9" ht="15" customHeight="1" thickBot="1" x14ac:dyDescent="0.3">
      <c r="A55" s="1263" t="s">
        <v>724</v>
      </c>
      <c r="B55" s="1279" t="s">
        <v>975</v>
      </c>
      <c r="C55" s="1280">
        <f>+C44+C50</f>
        <v>41435748</v>
      </c>
      <c r="D55" s="1280">
        <f>+D44+D50</f>
        <v>0</v>
      </c>
      <c r="E55" s="1117">
        <f t="shared" ref="E55:H55" si="2">SUM(E45:E54)</f>
        <v>0</v>
      </c>
      <c r="F55" s="1117">
        <f t="shared" si="2"/>
        <v>41435748</v>
      </c>
      <c r="G55" s="1117">
        <f t="shared" si="2"/>
        <v>0</v>
      </c>
      <c r="H55" s="1117">
        <f t="shared" si="2"/>
        <v>0</v>
      </c>
      <c r="I55" s="1117"/>
    </row>
    <row r="56" spans="1:9" ht="13.5" thickBot="1" x14ac:dyDescent="0.3">
      <c r="C56" s="1226"/>
      <c r="D56" s="1226"/>
      <c r="E56" s="1117"/>
      <c r="F56" s="1117"/>
      <c r="G56" s="1117"/>
      <c r="H56" s="1117"/>
      <c r="I56" s="1117"/>
    </row>
    <row r="57" spans="1:9" ht="15" customHeight="1" thickBot="1" x14ac:dyDescent="0.3">
      <c r="A57" s="1227" t="s">
        <v>925</v>
      </c>
      <c r="B57" s="1228"/>
      <c r="C57" s="1230">
        <v>3</v>
      </c>
      <c r="D57" s="1230"/>
      <c r="E57" s="1117"/>
      <c r="F57" s="1117"/>
      <c r="G57" s="1117"/>
      <c r="H57" s="1117"/>
      <c r="I57" s="1117"/>
    </row>
    <row r="58" spans="1:9" ht="14.25" customHeight="1" thickBot="1" x14ac:dyDescent="0.3">
      <c r="A58" s="1227" t="s">
        <v>926</v>
      </c>
      <c r="B58" s="1228"/>
      <c r="C58" s="1230">
        <v>0</v>
      </c>
      <c r="D58" s="1230"/>
      <c r="E58" s="1117"/>
      <c r="F58" s="1117"/>
      <c r="G58" s="1117"/>
      <c r="H58" s="1117"/>
      <c r="I58" s="1117"/>
    </row>
    <row r="59" spans="1:9" ht="12.75" customHeight="1" x14ac:dyDescent="0.25">
      <c r="A59" s="1846"/>
      <c r="B59" s="1846"/>
      <c r="C59" s="1846"/>
      <c r="D59" s="1846"/>
      <c r="E59" s="1117"/>
      <c r="F59" s="1117"/>
      <c r="G59" s="1117"/>
      <c r="H59" s="1117"/>
      <c r="I59" s="1117"/>
    </row>
    <row r="60" spans="1:9" x14ac:dyDescent="0.25">
      <c r="E60" s="1117"/>
      <c r="F60" s="1117"/>
      <c r="G60" s="1117"/>
      <c r="H60" s="1117"/>
      <c r="I60" s="1117"/>
    </row>
    <row r="61" spans="1:9" x14ac:dyDescent="0.25">
      <c r="E61" s="1117"/>
      <c r="F61" s="1117"/>
      <c r="G61" s="1117"/>
      <c r="H61" s="1117"/>
      <c r="I61" s="1117"/>
    </row>
  </sheetData>
  <sheetProtection selectLockedCells="1" selectUnlockedCells="1"/>
  <mergeCells count="6">
    <mergeCell ref="A59:D59"/>
    <mergeCell ref="A1:D1"/>
    <mergeCell ref="C2:D3"/>
    <mergeCell ref="C4:D4"/>
    <mergeCell ref="A7:D7"/>
    <mergeCell ref="A43:D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P146"/>
  <sheetViews>
    <sheetView view="pageBreakPreview" zoomScaleNormal="100" zoomScaleSheetLayoutView="100" workbookViewId="0">
      <selection activeCell="G33" sqref="G33"/>
    </sheetView>
  </sheetViews>
  <sheetFormatPr defaultRowHeight="12.75" x14ac:dyDescent="0.25"/>
  <cols>
    <col min="1" max="1" width="11.85546875" style="1224" customWidth="1"/>
    <col min="2" max="2" width="54.5703125" style="1225" customWidth="1"/>
    <col min="3" max="3" width="15.5703125" style="1225" customWidth="1"/>
    <col min="4" max="4" width="15.42578125" style="1225" customWidth="1"/>
    <col min="5" max="7" width="9.140625" style="1118" hidden="1" customWidth="1"/>
    <col min="8" max="8" width="12.28515625" style="1118" hidden="1" customWidth="1"/>
    <col min="9" max="13" width="9.140625" style="1118" hidden="1" customWidth="1"/>
    <col min="14" max="25" width="9.140625" style="1118" customWidth="1"/>
    <col min="26" max="256" width="9.140625" style="1118"/>
    <col min="257" max="257" width="11.85546875" style="1118" customWidth="1"/>
    <col min="258" max="258" width="54.5703125" style="1118" customWidth="1"/>
    <col min="259" max="259" width="15.5703125" style="1118" customWidth="1"/>
    <col min="260" max="260" width="15.42578125" style="1118" customWidth="1"/>
    <col min="261" max="267" width="9.140625" style="1118" customWidth="1"/>
    <col min="268" max="512" width="9.140625" style="1118"/>
    <col min="513" max="513" width="11.85546875" style="1118" customWidth="1"/>
    <col min="514" max="514" width="54.5703125" style="1118" customWidth="1"/>
    <col min="515" max="515" width="15.5703125" style="1118" customWidth="1"/>
    <col min="516" max="516" width="15.42578125" style="1118" customWidth="1"/>
    <col min="517" max="523" width="9.140625" style="1118" customWidth="1"/>
    <col min="524" max="768" width="9.140625" style="1118"/>
    <col min="769" max="769" width="11.85546875" style="1118" customWidth="1"/>
    <col min="770" max="770" width="54.5703125" style="1118" customWidth="1"/>
    <col min="771" max="771" width="15.5703125" style="1118" customWidth="1"/>
    <col min="772" max="772" width="15.42578125" style="1118" customWidth="1"/>
    <col min="773" max="779" width="9.140625" style="1118" customWidth="1"/>
    <col min="780" max="1024" width="9.140625" style="1118"/>
    <col min="1025" max="1025" width="11.85546875" style="1118" customWidth="1"/>
    <col min="1026" max="1026" width="54.5703125" style="1118" customWidth="1"/>
    <col min="1027" max="1027" width="15.5703125" style="1118" customWidth="1"/>
    <col min="1028" max="1028" width="15.42578125" style="1118" customWidth="1"/>
    <col min="1029" max="1035" width="9.140625" style="1118" customWidth="1"/>
    <col min="1036" max="1280" width="9.140625" style="1118"/>
    <col min="1281" max="1281" width="11.85546875" style="1118" customWidth="1"/>
    <col min="1282" max="1282" width="54.5703125" style="1118" customWidth="1"/>
    <col min="1283" max="1283" width="15.5703125" style="1118" customWidth="1"/>
    <col min="1284" max="1284" width="15.42578125" style="1118" customWidth="1"/>
    <col min="1285" max="1291" width="9.140625" style="1118" customWidth="1"/>
    <col min="1292" max="1536" width="9.140625" style="1118"/>
    <col min="1537" max="1537" width="11.85546875" style="1118" customWidth="1"/>
    <col min="1538" max="1538" width="54.5703125" style="1118" customWidth="1"/>
    <col min="1539" max="1539" width="15.5703125" style="1118" customWidth="1"/>
    <col min="1540" max="1540" width="15.42578125" style="1118" customWidth="1"/>
    <col min="1541" max="1547" width="9.140625" style="1118" customWidth="1"/>
    <col min="1548" max="1792" width="9.140625" style="1118"/>
    <col min="1793" max="1793" width="11.85546875" style="1118" customWidth="1"/>
    <col min="1794" max="1794" width="54.5703125" style="1118" customWidth="1"/>
    <col min="1795" max="1795" width="15.5703125" style="1118" customWidth="1"/>
    <col min="1796" max="1796" width="15.42578125" style="1118" customWidth="1"/>
    <col min="1797" max="1803" width="9.140625" style="1118" customWidth="1"/>
    <col min="1804" max="2048" width="9.140625" style="1118"/>
    <col min="2049" max="2049" width="11.85546875" style="1118" customWidth="1"/>
    <col min="2050" max="2050" width="54.5703125" style="1118" customWidth="1"/>
    <col min="2051" max="2051" width="15.5703125" style="1118" customWidth="1"/>
    <col min="2052" max="2052" width="15.42578125" style="1118" customWidth="1"/>
    <col min="2053" max="2059" width="9.140625" style="1118" customWidth="1"/>
    <col min="2060" max="2304" width="9.140625" style="1118"/>
    <col min="2305" max="2305" width="11.85546875" style="1118" customWidth="1"/>
    <col min="2306" max="2306" width="54.5703125" style="1118" customWidth="1"/>
    <col min="2307" max="2307" width="15.5703125" style="1118" customWidth="1"/>
    <col min="2308" max="2308" width="15.42578125" style="1118" customWidth="1"/>
    <col min="2309" max="2315" width="9.140625" style="1118" customWidth="1"/>
    <col min="2316" max="2560" width="9.140625" style="1118"/>
    <col min="2561" max="2561" width="11.85546875" style="1118" customWidth="1"/>
    <col min="2562" max="2562" width="54.5703125" style="1118" customWidth="1"/>
    <col min="2563" max="2563" width="15.5703125" style="1118" customWidth="1"/>
    <col min="2564" max="2564" width="15.42578125" style="1118" customWidth="1"/>
    <col min="2565" max="2571" width="9.140625" style="1118" customWidth="1"/>
    <col min="2572" max="2816" width="9.140625" style="1118"/>
    <col min="2817" max="2817" width="11.85546875" style="1118" customWidth="1"/>
    <col min="2818" max="2818" width="54.5703125" style="1118" customWidth="1"/>
    <col min="2819" max="2819" width="15.5703125" style="1118" customWidth="1"/>
    <col min="2820" max="2820" width="15.42578125" style="1118" customWidth="1"/>
    <col min="2821" max="2827" width="9.140625" style="1118" customWidth="1"/>
    <col min="2828" max="3072" width="9.140625" style="1118"/>
    <col min="3073" max="3073" width="11.85546875" style="1118" customWidth="1"/>
    <col min="3074" max="3074" width="54.5703125" style="1118" customWidth="1"/>
    <col min="3075" max="3075" width="15.5703125" style="1118" customWidth="1"/>
    <col min="3076" max="3076" width="15.42578125" style="1118" customWidth="1"/>
    <col min="3077" max="3083" width="9.140625" style="1118" customWidth="1"/>
    <col min="3084" max="3328" width="9.140625" style="1118"/>
    <col min="3329" max="3329" width="11.85546875" style="1118" customWidth="1"/>
    <col min="3330" max="3330" width="54.5703125" style="1118" customWidth="1"/>
    <col min="3331" max="3331" width="15.5703125" style="1118" customWidth="1"/>
    <col min="3332" max="3332" width="15.42578125" style="1118" customWidth="1"/>
    <col min="3333" max="3339" width="9.140625" style="1118" customWidth="1"/>
    <col min="3340" max="3584" width="9.140625" style="1118"/>
    <col min="3585" max="3585" width="11.85546875" style="1118" customWidth="1"/>
    <col min="3586" max="3586" width="54.5703125" style="1118" customWidth="1"/>
    <col min="3587" max="3587" width="15.5703125" style="1118" customWidth="1"/>
    <col min="3588" max="3588" width="15.42578125" style="1118" customWidth="1"/>
    <col min="3589" max="3595" width="9.140625" style="1118" customWidth="1"/>
    <col min="3596" max="3840" width="9.140625" style="1118"/>
    <col min="3841" max="3841" width="11.85546875" style="1118" customWidth="1"/>
    <col min="3842" max="3842" width="54.5703125" style="1118" customWidth="1"/>
    <col min="3843" max="3843" width="15.5703125" style="1118" customWidth="1"/>
    <col min="3844" max="3844" width="15.42578125" style="1118" customWidth="1"/>
    <col min="3845" max="3851" width="9.140625" style="1118" customWidth="1"/>
    <col min="3852" max="4096" width="9.140625" style="1118"/>
    <col min="4097" max="4097" width="11.85546875" style="1118" customWidth="1"/>
    <col min="4098" max="4098" width="54.5703125" style="1118" customWidth="1"/>
    <col min="4099" max="4099" width="15.5703125" style="1118" customWidth="1"/>
    <col min="4100" max="4100" width="15.42578125" style="1118" customWidth="1"/>
    <col min="4101" max="4107" width="9.140625" style="1118" customWidth="1"/>
    <col min="4108" max="4352" width="9.140625" style="1118"/>
    <col min="4353" max="4353" width="11.85546875" style="1118" customWidth="1"/>
    <col min="4354" max="4354" width="54.5703125" style="1118" customWidth="1"/>
    <col min="4355" max="4355" width="15.5703125" style="1118" customWidth="1"/>
    <col min="4356" max="4356" width="15.42578125" style="1118" customWidth="1"/>
    <col min="4357" max="4363" width="9.140625" style="1118" customWidth="1"/>
    <col min="4364" max="4608" width="9.140625" style="1118"/>
    <col min="4609" max="4609" width="11.85546875" style="1118" customWidth="1"/>
    <col min="4610" max="4610" width="54.5703125" style="1118" customWidth="1"/>
    <col min="4611" max="4611" width="15.5703125" style="1118" customWidth="1"/>
    <col min="4612" max="4612" width="15.42578125" style="1118" customWidth="1"/>
    <col min="4613" max="4619" width="9.140625" style="1118" customWidth="1"/>
    <col min="4620" max="4864" width="9.140625" style="1118"/>
    <col min="4865" max="4865" width="11.85546875" style="1118" customWidth="1"/>
    <col min="4866" max="4866" width="54.5703125" style="1118" customWidth="1"/>
    <col min="4867" max="4867" width="15.5703125" style="1118" customWidth="1"/>
    <col min="4868" max="4868" width="15.42578125" style="1118" customWidth="1"/>
    <col min="4869" max="4875" width="9.140625" style="1118" customWidth="1"/>
    <col min="4876" max="5120" width="9.140625" style="1118"/>
    <col min="5121" max="5121" width="11.85546875" style="1118" customWidth="1"/>
    <col min="5122" max="5122" width="54.5703125" style="1118" customWidth="1"/>
    <col min="5123" max="5123" width="15.5703125" style="1118" customWidth="1"/>
    <col min="5124" max="5124" width="15.42578125" style="1118" customWidth="1"/>
    <col min="5125" max="5131" width="9.140625" style="1118" customWidth="1"/>
    <col min="5132" max="5376" width="9.140625" style="1118"/>
    <col min="5377" max="5377" width="11.85546875" style="1118" customWidth="1"/>
    <col min="5378" max="5378" width="54.5703125" style="1118" customWidth="1"/>
    <col min="5379" max="5379" width="15.5703125" style="1118" customWidth="1"/>
    <col min="5380" max="5380" width="15.42578125" style="1118" customWidth="1"/>
    <col min="5381" max="5387" width="9.140625" style="1118" customWidth="1"/>
    <col min="5388" max="5632" width="9.140625" style="1118"/>
    <col min="5633" max="5633" width="11.85546875" style="1118" customWidth="1"/>
    <col min="5634" max="5634" width="54.5703125" style="1118" customWidth="1"/>
    <col min="5635" max="5635" width="15.5703125" style="1118" customWidth="1"/>
    <col min="5636" max="5636" width="15.42578125" style="1118" customWidth="1"/>
    <col min="5637" max="5643" width="9.140625" style="1118" customWidth="1"/>
    <col min="5644" max="5888" width="9.140625" style="1118"/>
    <col min="5889" max="5889" width="11.85546875" style="1118" customWidth="1"/>
    <col min="5890" max="5890" width="54.5703125" style="1118" customWidth="1"/>
    <col min="5891" max="5891" width="15.5703125" style="1118" customWidth="1"/>
    <col min="5892" max="5892" width="15.42578125" style="1118" customWidth="1"/>
    <col min="5893" max="5899" width="9.140625" style="1118" customWidth="1"/>
    <col min="5900" max="6144" width="9.140625" style="1118"/>
    <col min="6145" max="6145" width="11.85546875" style="1118" customWidth="1"/>
    <col min="6146" max="6146" width="54.5703125" style="1118" customWidth="1"/>
    <col min="6147" max="6147" width="15.5703125" style="1118" customWidth="1"/>
    <col min="6148" max="6148" width="15.42578125" style="1118" customWidth="1"/>
    <col min="6149" max="6155" width="9.140625" style="1118" customWidth="1"/>
    <col min="6156" max="6400" width="9.140625" style="1118"/>
    <col min="6401" max="6401" width="11.85546875" style="1118" customWidth="1"/>
    <col min="6402" max="6402" width="54.5703125" style="1118" customWidth="1"/>
    <col min="6403" max="6403" width="15.5703125" style="1118" customWidth="1"/>
    <col min="6404" max="6404" width="15.42578125" style="1118" customWidth="1"/>
    <col min="6405" max="6411" width="9.140625" style="1118" customWidth="1"/>
    <col min="6412" max="6656" width="9.140625" style="1118"/>
    <col min="6657" max="6657" width="11.85546875" style="1118" customWidth="1"/>
    <col min="6658" max="6658" width="54.5703125" style="1118" customWidth="1"/>
    <col min="6659" max="6659" width="15.5703125" style="1118" customWidth="1"/>
    <col min="6660" max="6660" width="15.42578125" style="1118" customWidth="1"/>
    <col min="6661" max="6667" width="9.140625" style="1118" customWidth="1"/>
    <col min="6668" max="6912" width="9.140625" style="1118"/>
    <col min="6913" max="6913" width="11.85546875" style="1118" customWidth="1"/>
    <col min="6914" max="6914" width="54.5703125" style="1118" customWidth="1"/>
    <col min="6915" max="6915" width="15.5703125" style="1118" customWidth="1"/>
    <col min="6916" max="6916" width="15.42578125" style="1118" customWidth="1"/>
    <col min="6917" max="6923" width="9.140625" style="1118" customWidth="1"/>
    <col min="6924" max="7168" width="9.140625" style="1118"/>
    <col min="7169" max="7169" width="11.85546875" style="1118" customWidth="1"/>
    <col min="7170" max="7170" width="54.5703125" style="1118" customWidth="1"/>
    <col min="7171" max="7171" width="15.5703125" style="1118" customWidth="1"/>
    <col min="7172" max="7172" width="15.42578125" style="1118" customWidth="1"/>
    <col min="7173" max="7179" width="9.140625" style="1118" customWidth="1"/>
    <col min="7180" max="7424" width="9.140625" style="1118"/>
    <col min="7425" max="7425" width="11.85546875" style="1118" customWidth="1"/>
    <col min="7426" max="7426" width="54.5703125" style="1118" customWidth="1"/>
    <col min="7427" max="7427" width="15.5703125" style="1118" customWidth="1"/>
    <col min="7428" max="7428" width="15.42578125" style="1118" customWidth="1"/>
    <col min="7429" max="7435" width="9.140625" style="1118" customWidth="1"/>
    <col min="7436" max="7680" width="9.140625" style="1118"/>
    <col min="7681" max="7681" width="11.85546875" style="1118" customWidth="1"/>
    <col min="7682" max="7682" width="54.5703125" style="1118" customWidth="1"/>
    <col min="7683" max="7683" width="15.5703125" style="1118" customWidth="1"/>
    <col min="7684" max="7684" width="15.42578125" style="1118" customWidth="1"/>
    <col min="7685" max="7691" width="9.140625" style="1118" customWidth="1"/>
    <col min="7692" max="7936" width="9.140625" style="1118"/>
    <col min="7937" max="7937" width="11.85546875" style="1118" customWidth="1"/>
    <col min="7938" max="7938" width="54.5703125" style="1118" customWidth="1"/>
    <col min="7939" max="7939" width="15.5703125" style="1118" customWidth="1"/>
    <col min="7940" max="7940" width="15.42578125" style="1118" customWidth="1"/>
    <col min="7941" max="7947" width="9.140625" style="1118" customWidth="1"/>
    <col min="7948" max="8192" width="9.140625" style="1118"/>
    <col min="8193" max="8193" width="11.85546875" style="1118" customWidth="1"/>
    <col min="8194" max="8194" width="54.5703125" style="1118" customWidth="1"/>
    <col min="8195" max="8195" width="15.5703125" style="1118" customWidth="1"/>
    <col min="8196" max="8196" width="15.42578125" style="1118" customWidth="1"/>
    <col min="8197" max="8203" width="9.140625" style="1118" customWidth="1"/>
    <col min="8204" max="8448" width="9.140625" style="1118"/>
    <col min="8449" max="8449" width="11.85546875" style="1118" customWidth="1"/>
    <col min="8450" max="8450" width="54.5703125" style="1118" customWidth="1"/>
    <col min="8451" max="8451" width="15.5703125" style="1118" customWidth="1"/>
    <col min="8452" max="8452" width="15.42578125" style="1118" customWidth="1"/>
    <col min="8453" max="8459" width="9.140625" style="1118" customWidth="1"/>
    <col min="8460" max="8704" width="9.140625" style="1118"/>
    <col min="8705" max="8705" width="11.85546875" style="1118" customWidth="1"/>
    <col min="8706" max="8706" width="54.5703125" style="1118" customWidth="1"/>
    <col min="8707" max="8707" width="15.5703125" style="1118" customWidth="1"/>
    <col min="8708" max="8708" width="15.42578125" style="1118" customWidth="1"/>
    <col min="8709" max="8715" width="9.140625" style="1118" customWidth="1"/>
    <col min="8716" max="8960" width="9.140625" style="1118"/>
    <col min="8961" max="8961" width="11.85546875" style="1118" customWidth="1"/>
    <col min="8962" max="8962" width="54.5703125" style="1118" customWidth="1"/>
    <col min="8963" max="8963" width="15.5703125" style="1118" customWidth="1"/>
    <col min="8964" max="8964" width="15.42578125" style="1118" customWidth="1"/>
    <col min="8965" max="8971" width="9.140625" style="1118" customWidth="1"/>
    <col min="8972" max="9216" width="9.140625" style="1118"/>
    <col min="9217" max="9217" width="11.85546875" style="1118" customWidth="1"/>
    <col min="9218" max="9218" width="54.5703125" style="1118" customWidth="1"/>
    <col min="9219" max="9219" width="15.5703125" style="1118" customWidth="1"/>
    <col min="9220" max="9220" width="15.42578125" style="1118" customWidth="1"/>
    <col min="9221" max="9227" width="9.140625" style="1118" customWidth="1"/>
    <col min="9228" max="9472" width="9.140625" style="1118"/>
    <col min="9473" max="9473" width="11.85546875" style="1118" customWidth="1"/>
    <col min="9474" max="9474" width="54.5703125" style="1118" customWidth="1"/>
    <col min="9475" max="9475" width="15.5703125" style="1118" customWidth="1"/>
    <col min="9476" max="9476" width="15.42578125" style="1118" customWidth="1"/>
    <col min="9477" max="9483" width="9.140625" style="1118" customWidth="1"/>
    <col min="9484" max="9728" width="9.140625" style="1118"/>
    <col min="9729" max="9729" width="11.85546875" style="1118" customWidth="1"/>
    <col min="9730" max="9730" width="54.5703125" style="1118" customWidth="1"/>
    <col min="9731" max="9731" width="15.5703125" style="1118" customWidth="1"/>
    <col min="9732" max="9732" width="15.42578125" style="1118" customWidth="1"/>
    <col min="9733" max="9739" width="9.140625" style="1118" customWidth="1"/>
    <col min="9740" max="9984" width="9.140625" style="1118"/>
    <col min="9985" max="9985" width="11.85546875" style="1118" customWidth="1"/>
    <col min="9986" max="9986" width="54.5703125" style="1118" customWidth="1"/>
    <col min="9987" max="9987" width="15.5703125" style="1118" customWidth="1"/>
    <col min="9988" max="9988" width="15.42578125" style="1118" customWidth="1"/>
    <col min="9989" max="9995" width="9.140625" style="1118" customWidth="1"/>
    <col min="9996" max="10240" width="9.140625" style="1118"/>
    <col min="10241" max="10241" width="11.85546875" style="1118" customWidth="1"/>
    <col min="10242" max="10242" width="54.5703125" style="1118" customWidth="1"/>
    <col min="10243" max="10243" width="15.5703125" style="1118" customWidth="1"/>
    <col min="10244" max="10244" width="15.42578125" style="1118" customWidth="1"/>
    <col min="10245" max="10251" width="9.140625" style="1118" customWidth="1"/>
    <col min="10252" max="10496" width="9.140625" style="1118"/>
    <col min="10497" max="10497" width="11.85546875" style="1118" customWidth="1"/>
    <col min="10498" max="10498" width="54.5703125" style="1118" customWidth="1"/>
    <col min="10499" max="10499" width="15.5703125" style="1118" customWidth="1"/>
    <col min="10500" max="10500" width="15.42578125" style="1118" customWidth="1"/>
    <col min="10501" max="10507" width="9.140625" style="1118" customWidth="1"/>
    <col min="10508" max="10752" width="9.140625" style="1118"/>
    <col min="10753" max="10753" width="11.85546875" style="1118" customWidth="1"/>
    <col min="10754" max="10754" width="54.5703125" style="1118" customWidth="1"/>
    <col min="10755" max="10755" width="15.5703125" style="1118" customWidth="1"/>
    <col min="10756" max="10756" width="15.42578125" style="1118" customWidth="1"/>
    <col min="10757" max="10763" width="9.140625" style="1118" customWidth="1"/>
    <col min="10764" max="11008" width="9.140625" style="1118"/>
    <col min="11009" max="11009" width="11.85546875" style="1118" customWidth="1"/>
    <col min="11010" max="11010" width="54.5703125" style="1118" customWidth="1"/>
    <col min="11011" max="11011" width="15.5703125" style="1118" customWidth="1"/>
    <col min="11012" max="11012" width="15.42578125" style="1118" customWidth="1"/>
    <col min="11013" max="11019" width="9.140625" style="1118" customWidth="1"/>
    <col min="11020" max="11264" width="9.140625" style="1118"/>
    <col min="11265" max="11265" width="11.85546875" style="1118" customWidth="1"/>
    <col min="11266" max="11266" width="54.5703125" style="1118" customWidth="1"/>
    <col min="11267" max="11267" width="15.5703125" style="1118" customWidth="1"/>
    <col min="11268" max="11268" width="15.42578125" style="1118" customWidth="1"/>
    <col min="11269" max="11275" width="9.140625" style="1118" customWidth="1"/>
    <col min="11276" max="11520" width="9.140625" style="1118"/>
    <col min="11521" max="11521" width="11.85546875" style="1118" customWidth="1"/>
    <col min="11522" max="11522" width="54.5703125" style="1118" customWidth="1"/>
    <col min="11523" max="11523" width="15.5703125" style="1118" customWidth="1"/>
    <col min="11524" max="11524" width="15.42578125" style="1118" customWidth="1"/>
    <col min="11525" max="11531" width="9.140625" style="1118" customWidth="1"/>
    <col min="11532" max="11776" width="9.140625" style="1118"/>
    <col min="11777" max="11777" width="11.85546875" style="1118" customWidth="1"/>
    <col min="11778" max="11778" width="54.5703125" style="1118" customWidth="1"/>
    <col min="11779" max="11779" width="15.5703125" style="1118" customWidth="1"/>
    <col min="11780" max="11780" width="15.42578125" style="1118" customWidth="1"/>
    <col min="11781" max="11787" width="9.140625" style="1118" customWidth="1"/>
    <col min="11788" max="12032" width="9.140625" style="1118"/>
    <col min="12033" max="12033" width="11.85546875" style="1118" customWidth="1"/>
    <col min="12034" max="12034" width="54.5703125" style="1118" customWidth="1"/>
    <col min="12035" max="12035" width="15.5703125" style="1118" customWidth="1"/>
    <col min="12036" max="12036" width="15.42578125" style="1118" customWidth="1"/>
    <col min="12037" max="12043" width="9.140625" style="1118" customWidth="1"/>
    <col min="12044" max="12288" width="9.140625" style="1118"/>
    <col min="12289" max="12289" width="11.85546875" style="1118" customWidth="1"/>
    <col min="12290" max="12290" width="54.5703125" style="1118" customWidth="1"/>
    <col min="12291" max="12291" width="15.5703125" style="1118" customWidth="1"/>
    <col min="12292" max="12292" width="15.42578125" style="1118" customWidth="1"/>
    <col min="12293" max="12299" width="9.140625" style="1118" customWidth="1"/>
    <col min="12300" max="12544" width="9.140625" style="1118"/>
    <col min="12545" max="12545" width="11.85546875" style="1118" customWidth="1"/>
    <col min="12546" max="12546" width="54.5703125" style="1118" customWidth="1"/>
    <col min="12547" max="12547" width="15.5703125" style="1118" customWidth="1"/>
    <col min="12548" max="12548" width="15.42578125" style="1118" customWidth="1"/>
    <col min="12549" max="12555" width="9.140625" style="1118" customWidth="1"/>
    <col min="12556" max="12800" width="9.140625" style="1118"/>
    <col min="12801" max="12801" width="11.85546875" style="1118" customWidth="1"/>
    <col min="12802" max="12802" width="54.5703125" style="1118" customWidth="1"/>
    <col min="12803" max="12803" width="15.5703125" style="1118" customWidth="1"/>
    <col min="12804" max="12804" width="15.42578125" style="1118" customWidth="1"/>
    <col min="12805" max="12811" width="9.140625" style="1118" customWidth="1"/>
    <col min="12812" max="13056" width="9.140625" style="1118"/>
    <col min="13057" max="13057" width="11.85546875" style="1118" customWidth="1"/>
    <col min="13058" max="13058" width="54.5703125" style="1118" customWidth="1"/>
    <col min="13059" max="13059" width="15.5703125" style="1118" customWidth="1"/>
    <col min="13060" max="13060" width="15.42578125" style="1118" customWidth="1"/>
    <col min="13061" max="13067" width="9.140625" style="1118" customWidth="1"/>
    <col min="13068" max="13312" width="9.140625" style="1118"/>
    <col min="13313" max="13313" width="11.85546875" style="1118" customWidth="1"/>
    <col min="13314" max="13314" width="54.5703125" style="1118" customWidth="1"/>
    <col min="13315" max="13315" width="15.5703125" style="1118" customWidth="1"/>
    <col min="13316" max="13316" width="15.42578125" style="1118" customWidth="1"/>
    <col min="13317" max="13323" width="9.140625" style="1118" customWidth="1"/>
    <col min="13324" max="13568" width="9.140625" style="1118"/>
    <col min="13569" max="13569" width="11.85546875" style="1118" customWidth="1"/>
    <col min="13570" max="13570" width="54.5703125" style="1118" customWidth="1"/>
    <col min="13571" max="13571" width="15.5703125" style="1118" customWidth="1"/>
    <col min="13572" max="13572" width="15.42578125" style="1118" customWidth="1"/>
    <col min="13573" max="13579" width="9.140625" style="1118" customWidth="1"/>
    <col min="13580" max="13824" width="9.140625" style="1118"/>
    <col min="13825" max="13825" width="11.85546875" style="1118" customWidth="1"/>
    <col min="13826" max="13826" width="54.5703125" style="1118" customWidth="1"/>
    <col min="13827" max="13827" width="15.5703125" style="1118" customWidth="1"/>
    <col min="13828" max="13828" width="15.42578125" style="1118" customWidth="1"/>
    <col min="13829" max="13835" width="9.140625" style="1118" customWidth="1"/>
    <col min="13836" max="14080" width="9.140625" style="1118"/>
    <col min="14081" max="14081" width="11.85546875" style="1118" customWidth="1"/>
    <col min="14082" max="14082" width="54.5703125" style="1118" customWidth="1"/>
    <col min="14083" max="14083" width="15.5703125" style="1118" customWidth="1"/>
    <col min="14084" max="14084" width="15.42578125" style="1118" customWidth="1"/>
    <col min="14085" max="14091" width="9.140625" style="1118" customWidth="1"/>
    <col min="14092" max="14336" width="9.140625" style="1118"/>
    <col min="14337" max="14337" width="11.85546875" style="1118" customWidth="1"/>
    <col min="14338" max="14338" width="54.5703125" style="1118" customWidth="1"/>
    <col min="14339" max="14339" width="15.5703125" style="1118" customWidth="1"/>
    <col min="14340" max="14340" width="15.42578125" style="1118" customWidth="1"/>
    <col min="14341" max="14347" width="9.140625" style="1118" customWidth="1"/>
    <col min="14348" max="14592" width="9.140625" style="1118"/>
    <col min="14593" max="14593" width="11.85546875" style="1118" customWidth="1"/>
    <col min="14594" max="14594" width="54.5703125" style="1118" customWidth="1"/>
    <col min="14595" max="14595" width="15.5703125" style="1118" customWidth="1"/>
    <col min="14596" max="14596" width="15.42578125" style="1118" customWidth="1"/>
    <col min="14597" max="14603" width="9.140625" style="1118" customWidth="1"/>
    <col min="14604" max="14848" width="9.140625" style="1118"/>
    <col min="14849" max="14849" width="11.85546875" style="1118" customWidth="1"/>
    <col min="14850" max="14850" width="54.5703125" style="1118" customWidth="1"/>
    <col min="14851" max="14851" width="15.5703125" style="1118" customWidth="1"/>
    <col min="14852" max="14852" width="15.42578125" style="1118" customWidth="1"/>
    <col min="14853" max="14859" width="9.140625" style="1118" customWidth="1"/>
    <col min="14860" max="15104" width="9.140625" style="1118"/>
    <col min="15105" max="15105" width="11.85546875" style="1118" customWidth="1"/>
    <col min="15106" max="15106" width="54.5703125" style="1118" customWidth="1"/>
    <col min="15107" max="15107" width="15.5703125" style="1118" customWidth="1"/>
    <col min="15108" max="15108" width="15.42578125" style="1118" customWidth="1"/>
    <col min="15109" max="15115" width="9.140625" style="1118" customWidth="1"/>
    <col min="15116" max="15360" width="9.140625" style="1118"/>
    <col min="15361" max="15361" width="11.85546875" style="1118" customWidth="1"/>
    <col min="15362" max="15362" width="54.5703125" style="1118" customWidth="1"/>
    <col min="15363" max="15363" width="15.5703125" style="1118" customWidth="1"/>
    <col min="15364" max="15364" width="15.42578125" style="1118" customWidth="1"/>
    <col min="15365" max="15371" width="9.140625" style="1118" customWidth="1"/>
    <col min="15372" max="15616" width="9.140625" style="1118"/>
    <col min="15617" max="15617" width="11.85546875" style="1118" customWidth="1"/>
    <col min="15618" max="15618" width="54.5703125" style="1118" customWidth="1"/>
    <col min="15619" max="15619" width="15.5703125" style="1118" customWidth="1"/>
    <col min="15620" max="15620" width="15.42578125" style="1118" customWidth="1"/>
    <col min="15621" max="15627" width="9.140625" style="1118" customWidth="1"/>
    <col min="15628" max="15872" width="9.140625" style="1118"/>
    <col min="15873" max="15873" width="11.85546875" style="1118" customWidth="1"/>
    <col min="15874" max="15874" width="54.5703125" style="1118" customWidth="1"/>
    <col min="15875" max="15875" width="15.5703125" style="1118" customWidth="1"/>
    <col min="15876" max="15876" width="15.42578125" style="1118" customWidth="1"/>
    <col min="15877" max="15883" width="9.140625" style="1118" customWidth="1"/>
    <col min="15884" max="16128" width="9.140625" style="1118"/>
    <col min="16129" max="16129" width="11.85546875" style="1118" customWidth="1"/>
    <col min="16130" max="16130" width="54.5703125" style="1118" customWidth="1"/>
    <col min="16131" max="16131" width="15.5703125" style="1118" customWidth="1"/>
    <col min="16132" max="16132" width="15.42578125" style="1118" customWidth="1"/>
    <col min="16133" max="16139" width="9.140625" style="1118" customWidth="1"/>
    <col min="16140" max="16384" width="9.140625" style="1118"/>
  </cols>
  <sheetData>
    <row r="1" spans="1:16" s="1101" customFormat="1" ht="21" customHeight="1" thickBot="1" x14ac:dyDescent="0.3">
      <c r="A1" s="1863" t="s">
        <v>1242</v>
      </c>
      <c r="B1" s="1863"/>
      <c r="C1" s="1863"/>
      <c r="D1" s="1863"/>
    </row>
    <row r="2" spans="1:16" s="1106" customFormat="1" ht="25.5" customHeight="1" x14ac:dyDescent="0.25">
      <c r="A2" s="1102" t="s">
        <v>943</v>
      </c>
      <c r="B2" s="1281" t="s">
        <v>976</v>
      </c>
      <c r="C2" s="1864" t="s">
        <v>977</v>
      </c>
      <c r="D2" s="1859"/>
    </row>
    <row r="3" spans="1:16" s="1106" customFormat="1" ht="24.75" thickBot="1" x14ac:dyDescent="0.3">
      <c r="A3" s="1248" t="s">
        <v>652</v>
      </c>
      <c r="B3" s="1700" t="s">
        <v>653</v>
      </c>
      <c r="C3" s="1865"/>
      <c r="D3" s="1861"/>
    </row>
    <row r="4" spans="1:16" s="1113" customFormat="1" ht="15.95" customHeight="1" thickBot="1" x14ac:dyDescent="0.3">
      <c r="A4" s="1109"/>
      <c r="B4" s="1708"/>
      <c r="C4" s="1866" t="s">
        <v>654</v>
      </c>
      <c r="D4" s="1867"/>
    </row>
    <row r="5" spans="1:16" ht="36.75" thickBot="1" x14ac:dyDescent="0.3">
      <c r="A5" s="1701" t="s">
        <v>655</v>
      </c>
      <c r="B5" s="1115" t="s">
        <v>656</v>
      </c>
      <c r="C5" s="1283" t="s">
        <v>927</v>
      </c>
      <c r="D5" s="1284" t="s">
        <v>928</v>
      </c>
      <c r="E5" s="1285" t="s">
        <v>978</v>
      </c>
      <c r="F5" s="1285" t="s">
        <v>979</v>
      </c>
      <c r="G5" s="1285" t="s">
        <v>685</v>
      </c>
      <c r="H5" s="1285" t="s">
        <v>665</v>
      </c>
      <c r="I5" s="1285" t="s">
        <v>980</v>
      </c>
      <c r="J5" s="1285" t="s">
        <v>687</v>
      </c>
      <c r="K5" s="1285" t="s">
        <v>981</v>
      </c>
      <c r="L5" s="1286"/>
      <c r="M5" s="1286"/>
      <c r="N5" s="1286"/>
      <c r="O5" s="1286"/>
      <c r="P5" s="1286"/>
    </row>
    <row r="6" spans="1:16" s="1125" customFormat="1" ht="12.95" customHeight="1" thickBot="1" x14ac:dyDescent="0.3">
      <c r="A6" s="1119">
        <v>1</v>
      </c>
      <c r="B6" s="1121">
        <v>2</v>
      </c>
      <c r="C6" s="1287">
        <v>3</v>
      </c>
      <c r="D6" s="1122">
        <v>4</v>
      </c>
    </row>
    <row r="7" spans="1:16" s="1125" customFormat="1" ht="15.95" customHeight="1" thickBot="1" x14ac:dyDescent="0.3">
      <c r="A7" s="1814" t="s">
        <v>657</v>
      </c>
      <c r="B7" s="1815"/>
      <c r="C7" s="1815"/>
      <c r="D7" s="1816"/>
    </row>
    <row r="8" spans="1:16" s="1138" customFormat="1" ht="12" customHeight="1" thickBot="1" x14ac:dyDescent="0.3">
      <c r="A8" s="1119" t="s">
        <v>696</v>
      </c>
      <c r="B8" s="1288" t="s">
        <v>948</v>
      </c>
      <c r="C8" s="1289">
        <f>SUM(C9:C18)</f>
        <v>2210100</v>
      </c>
      <c r="D8" s="1253">
        <f>SUM(D9:D18)</f>
        <v>2210100</v>
      </c>
      <c r="E8" s="1117"/>
      <c r="F8" s="1117"/>
      <c r="G8" s="1117"/>
      <c r="H8" s="1117"/>
      <c r="I8" s="1117"/>
      <c r="J8" s="1117"/>
      <c r="K8" s="1117"/>
    </row>
    <row r="9" spans="1:16" s="1138" customFormat="1" ht="12" customHeight="1" x14ac:dyDescent="0.25">
      <c r="A9" s="1255" t="s">
        <v>698</v>
      </c>
      <c r="B9" s="1290" t="s">
        <v>756</v>
      </c>
      <c r="C9" s="1291">
        <f>SUM(E9:O9)</f>
        <v>0</v>
      </c>
      <c r="D9" s="1702">
        <f>C9</f>
        <v>0</v>
      </c>
      <c r="E9" s="1117"/>
      <c r="F9" s="1117"/>
      <c r="G9" s="1117"/>
      <c r="H9" s="1117"/>
      <c r="I9" s="1117"/>
      <c r="J9" s="1117"/>
      <c r="K9" s="1117"/>
    </row>
    <row r="10" spans="1:16" s="1138" customFormat="1" ht="12" customHeight="1" x14ac:dyDescent="0.25">
      <c r="A10" s="1258" t="s">
        <v>700</v>
      </c>
      <c r="B10" s="1292" t="s">
        <v>758</v>
      </c>
      <c r="C10" s="1291">
        <f t="shared" ref="C10:C23" si="0">SUM(E10:O10)</f>
        <v>0</v>
      </c>
      <c r="D10" s="1703">
        <f t="shared" ref="D10:D18" si="1">C10</f>
        <v>0</v>
      </c>
      <c r="E10" s="1117"/>
      <c r="F10" s="1117"/>
      <c r="G10" s="1117"/>
      <c r="H10" s="1117"/>
      <c r="I10" s="1117"/>
      <c r="J10" s="1117"/>
      <c r="K10" s="1117"/>
    </row>
    <row r="11" spans="1:16" s="1138" customFormat="1" ht="12" customHeight="1" x14ac:dyDescent="0.25">
      <c r="A11" s="1258" t="s">
        <v>702</v>
      </c>
      <c r="B11" s="1292" t="s">
        <v>760</v>
      </c>
      <c r="C11" s="1291">
        <f t="shared" si="0"/>
        <v>1730000</v>
      </c>
      <c r="D11" s="1703">
        <f t="shared" si="1"/>
        <v>1730000</v>
      </c>
      <c r="E11" s="1117"/>
      <c r="F11" s="1117"/>
      <c r="G11" s="1117">
        <v>1730000</v>
      </c>
      <c r="H11" s="1117"/>
      <c r="I11" s="1117"/>
      <c r="J11" s="1117"/>
      <c r="K11" s="1117"/>
    </row>
    <row r="12" spans="1:16" s="1138" customFormat="1" ht="12" customHeight="1" x14ac:dyDescent="0.25">
      <c r="A12" s="1258" t="s">
        <v>704</v>
      </c>
      <c r="B12" s="1292" t="s">
        <v>762</v>
      </c>
      <c r="C12" s="1291">
        <f t="shared" si="0"/>
        <v>0</v>
      </c>
      <c r="D12" s="1703">
        <f t="shared" si="1"/>
        <v>0</v>
      </c>
      <c r="E12" s="1117"/>
      <c r="F12" s="1117"/>
      <c r="G12" s="1117"/>
      <c r="H12" s="1117"/>
      <c r="I12" s="1117"/>
      <c r="J12" s="1117"/>
      <c r="K12" s="1117"/>
    </row>
    <row r="13" spans="1:16" s="1138" customFormat="1" ht="12" customHeight="1" x14ac:dyDescent="0.25">
      <c r="A13" s="1258" t="s">
        <v>706</v>
      </c>
      <c r="B13" s="1292" t="s">
        <v>764</v>
      </c>
      <c r="C13" s="1291">
        <f t="shared" si="0"/>
        <v>0</v>
      </c>
      <c r="D13" s="1703">
        <f t="shared" si="1"/>
        <v>0</v>
      </c>
      <c r="E13" s="1117"/>
      <c r="F13" s="1117"/>
      <c r="G13" s="1117"/>
      <c r="H13" s="1117"/>
      <c r="I13" s="1117"/>
      <c r="J13" s="1117"/>
      <c r="K13" s="1117"/>
    </row>
    <row r="14" spans="1:16" s="1138" customFormat="1" ht="12" customHeight="1" x14ac:dyDescent="0.25">
      <c r="A14" s="1258" t="s">
        <v>708</v>
      </c>
      <c r="B14" s="1292" t="s">
        <v>949</v>
      </c>
      <c r="C14" s="1291">
        <f t="shared" si="0"/>
        <v>467100</v>
      </c>
      <c r="D14" s="1703">
        <f t="shared" si="1"/>
        <v>467100</v>
      </c>
      <c r="E14" s="1117"/>
      <c r="F14" s="1117"/>
      <c r="G14" s="1117">
        <v>467100</v>
      </c>
      <c r="H14" s="1117"/>
      <c r="I14" s="1117"/>
      <c r="J14" s="1117"/>
      <c r="K14" s="1117"/>
    </row>
    <row r="15" spans="1:16" s="1138" customFormat="1" ht="12" customHeight="1" x14ac:dyDescent="0.25">
      <c r="A15" s="1258" t="s">
        <v>862</v>
      </c>
      <c r="B15" s="1293" t="s">
        <v>950</v>
      </c>
      <c r="C15" s="1291">
        <f t="shared" si="0"/>
        <v>0</v>
      </c>
      <c r="D15" s="1703">
        <f t="shared" si="1"/>
        <v>0</v>
      </c>
      <c r="E15" s="1117"/>
      <c r="F15" s="1117"/>
      <c r="G15" s="1117"/>
      <c r="H15" s="1117"/>
      <c r="I15" s="1117"/>
      <c r="J15" s="1117"/>
      <c r="K15" s="1117"/>
    </row>
    <row r="16" spans="1:16" s="1138" customFormat="1" ht="12" customHeight="1" x14ac:dyDescent="0.25">
      <c r="A16" s="1258" t="s">
        <v>864</v>
      </c>
      <c r="B16" s="1292" t="s">
        <v>770</v>
      </c>
      <c r="C16" s="1291">
        <f t="shared" si="0"/>
        <v>0</v>
      </c>
      <c r="D16" s="1703">
        <f t="shared" si="1"/>
        <v>0</v>
      </c>
      <c r="E16" s="1117"/>
      <c r="F16" s="1117"/>
      <c r="G16" s="1117"/>
      <c r="H16" s="1117"/>
      <c r="I16" s="1117"/>
      <c r="J16" s="1117"/>
      <c r="K16" s="1117"/>
    </row>
    <row r="17" spans="1:11" s="1142" customFormat="1" ht="12" customHeight="1" x14ac:dyDescent="0.25">
      <c r="A17" s="1258" t="s">
        <v>866</v>
      </c>
      <c r="B17" s="1292" t="s">
        <v>772</v>
      </c>
      <c r="C17" s="1291">
        <f t="shared" si="0"/>
        <v>0</v>
      </c>
      <c r="D17" s="1703">
        <f t="shared" si="1"/>
        <v>0</v>
      </c>
      <c r="E17" s="1117"/>
      <c r="F17" s="1117"/>
      <c r="G17" s="1117"/>
      <c r="H17" s="1117"/>
      <c r="I17" s="1117"/>
      <c r="J17" s="1117"/>
      <c r="K17" s="1117"/>
    </row>
    <row r="18" spans="1:11" s="1142" customFormat="1" ht="12" customHeight="1" thickBot="1" x14ac:dyDescent="0.3">
      <c r="A18" s="1258" t="s">
        <v>868</v>
      </c>
      <c r="B18" s="1293" t="s">
        <v>774</v>
      </c>
      <c r="C18" s="1291">
        <f t="shared" si="0"/>
        <v>13000</v>
      </c>
      <c r="D18" s="1704">
        <f t="shared" si="1"/>
        <v>13000</v>
      </c>
      <c r="E18" s="1117">
        <v>10000</v>
      </c>
      <c r="F18" s="1117"/>
      <c r="G18" s="1117"/>
      <c r="H18" s="1117"/>
      <c r="I18" s="1117">
        <v>3000</v>
      </c>
      <c r="J18" s="1117"/>
      <c r="K18" s="1117"/>
    </row>
    <row r="19" spans="1:11" s="1138" customFormat="1" ht="12" customHeight="1" thickBot="1" x14ac:dyDescent="0.3">
      <c r="A19" s="1119" t="s">
        <v>710</v>
      </c>
      <c r="B19" s="1288" t="s">
        <v>951</v>
      </c>
      <c r="C19" s="1289">
        <f>SUM(C20:C22)</f>
        <v>0</v>
      </c>
      <c r="D19" s="1253">
        <f>SUM(D20:D22)</f>
        <v>0</v>
      </c>
      <c r="E19" s="1117"/>
      <c r="F19" s="1117"/>
      <c r="G19" s="1117"/>
      <c r="H19" s="1117"/>
      <c r="I19" s="1117"/>
      <c r="J19" s="1117"/>
      <c r="K19" s="1117"/>
    </row>
    <row r="20" spans="1:11" s="1142" customFormat="1" ht="12" customHeight="1" x14ac:dyDescent="0.25">
      <c r="A20" s="1258" t="s">
        <v>712</v>
      </c>
      <c r="B20" s="1294" t="s">
        <v>713</v>
      </c>
      <c r="C20" s="1291">
        <f t="shared" si="0"/>
        <v>0</v>
      </c>
      <c r="D20" s="1702">
        <f>C20</f>
        <v>0</v>
      </c>
      <c r="E20" s="1117"/>
      <c r="F20" s="1117"/>
      <c r="G20" s="1117"/>
      <c r="H20" s="1117"/>
      <c r="I20" s="1117"/>
      <c r="J20" s="1117"/>
      <c r="K20" s="1117"/>
    </row>
    <row r="21" spans="1:11" s="1142" customFormat="1" ht="12" customHeight="1" x14ac:dyDescent="0.25">
      <c r="A21" s="1258" t="s">
        <v>714</v>
      </c>
      <c r="B21" s="1292" t="s">
        <v>952</v>
      </c>
      <c r="C21" s="1291">
        <f t="shared" si="0"/>
        <v>0</v>
      </c>
      <c r="D21" s="1703">
        <f t="shared" ref="D21:D23" si="2">C21</f>
        <v>0</v>
      </c>
      <c r="E21" s="1117"/>
      <c r="F21" s="1117"/>
      <c r="G21" s="1117"/>
      <c r="H21" s="1117"/>
      <c r="I21" s="1117"/>
      <c r="J21" s="1117"/>
      <c r="K21" s="1117"/>
    </row>
    <row r="22" spans="1:11" s="1142" customFormat="1" ht="12" customHeight="1" x14ac:dyDescent="0.25">
      <c r="A22" s="1258" t="s">
        <v>716</v>
      </c>
      <c r="B22" s="1292" t="s">
        <v>953</v>
      </c>
      <c r="C22" s="1291">
        <f t="shared" si="0"/>
        <v>0</v>
      </c>
      <c r="D22" s="1703">
        <f t="shared" si="2"/>
        <v>0</v>
      </c>
      <c r="E22" s="1117"/>
      <c r="F22" s="1117"/>
      <c r="G22" s="1117"/>
      <c r="H22" s="1117"/>
      <c r="I22" s="1117"/>
      <c r="J22" s="1117"/>
      <c r="K22" s="1117"/>
    </row>
    <row r="23" spans="1:11" s="1142" customFormat="1" ht="12" customHeight="1" thickBot="1" x14ac:dyDescent="0.3">
      <c r="A23" s="1258" t="s">
        <v>718</v>
      </c>
      <c r="B23" s="1292" t="s">
        <v>954</v>
      </c>
      <c r="C23" s="1291">
        <f t="shared" si="0"/>
        <v>0</v>
      </c>
      <c r="D23" s="1704">
        <f t="shared" si="2"/>
        <v>0</v>
      </c>
      <c r="E23" s="1117"/>
      <c r="F23" s="1117"/>
      <c r="G23" s="1117"/>
      <c r="H23" s="1117"/>
      <c r="I23" s="1117"/>
      <c r="J23" s="1117"/>
      <c r="K23" s="1117"/>
    </row>
    <row r="24" spans="1:11" s="1142" customFormat="1" ht="12" customHeight="1" thickBot="1" x14ac:dyDescent="0.3">
      <c r="A24" s="1263" t="s">
        <v>724</v>
      </c>
      <c r="B24" s="1295" t="s">
        <v>250</v>
      </c>
      <c r="C24" s="1296"/>
      <c r="D24" s="1264"/>
      <c r="E24" s="1117"/>
      <c r="F24" s="1117"/>
      <c r="G24" s="1117"/>
      <c r="H24" s="1117"/>
      <c r="I24" s="1117"/>
      <c r="J24" s="1117"/>
      <c r="K24" s="1117"/>
    </row>
    <row r="25" spans="1:11" s="1142" customFormat="1" ht="12" customHeight="1" thickBot="1" x14ac:dyDescent="0.3">
      <c r="A25" s="1263" t="s">
        <v>900</v>
      </c>
      <c r="B25" s="1295" t="s">
        <v>955</v>
      </c>
      <c r="C25" s="1289">
        <f>+C26+C27</f>
        <v>0</v>
      </c>
      <c r="D25" s="1253">
        <f>+D26+D27</f>
        <v>0</v>
      </c>
      <c r="E25" s="1117"/>
      <c r="F25" s="1117"/>
      <c r="G25" s="1117"/>
      <c r="H25" s="1117"/>
      <c r="I25" s="1117"/>
      <c r="J25" s="1117"/>
      <c r="K25" s="1117"/>
    </row>
    <row r="26" spans="1:11" s="1142" customFormat="1" ht="12" customHeight="1" x14ac:dyDescent="0.25">
      <c r="A26" s="1265" t="s">
        <v>740</v>
      </c>
      <c r="B26" s="1297" t="s">
        <v>952</v>
      </c>
      <c r="C26" s="1291">
        <f t="shared" ref="C26:C32" si="3">SUM(E26:O26)</f>
        <v>0</v>
      </c>
      <c r="D26" s="1702">
        <f t="shared" ref="D26:D28" si="4">C26</f>
        <v>0</v>
      </c>
      <c r="E26" s="1117"/>
      <c r="F26" s="1117"/>
      <c r="G26" s="1117"/>
      <c r="H26" s="1117"/>
      <c r="I26" s="1117"/>
      <c r="J26" s="1117"/>
      <c r="K26" s="1117"/>
    </row>
    <row r="27" spans="1:11" s="1142" customFormat="1" ht="12" customHeight="1" x14ac:dyDescent="0.25">
      <c r="A27" s="1265" t="s">
        <v>752</v>
      </c>
      <c r="B27" s="1298" t="s">
        <v>956</v>
      </c>
      <c r="C27" s="1291">
        <f t="shared" si="3"/>
        <v>0</v>
      </c>
      <c r="D27" s="1703">
        <f t="shared" si="4"/>
        <v>0</v>
      </c>
      <c r="E27" s="1117"/>
      <c r="F27" s="1117"/>
      <c r="G27" s="1117"/>
      <c r="H27" s="1117"/>
      <c r="I27" s="1117"/>
      <c r="J27" s="1117"/>
      <c r="K27" s="1117"/>
    </row>
    <row r="28" spans="1:11" s="1142" customFormat="1" ht="12" customHeight="1" thickBot="1" x14ac:dyDescent="0.3">
      <c r="A28" s="1258" t="s">
        <v>957</v>
      </c>
      <c r="B28" s="1299" t="s">
        <v>958</v>
      </c>
      <c r="C28" s="1291">
        <f t="shared" si="3"/>
        <v>0</v>
      </c>
      <c r="D28" s="1704">
        <f t="shared" si="4"/>
        <v>0</v>
      </c>
      <c r="E28" s="1117"/>
      <c r="F28" s="1117"/>
      <c r="G28" s="1117"/>
      <c r="H28" s="1117"/>
      <c r="I28" s="1117"/>
      <c r="J28" s="1117"/>
      <c r="K28" s="1117"/>
    </row>
    <row r="29" spans="1:11" s="1142" customFormat="1" ht="12" customHeight="1" thickBot="1" x14ac:dyDescent="0.3">
      <c r="A29" s="1263" t="s">
        <v>753</v>
      </c>
      <c r="B29" s="1295" t="s">
        <v>959</v>
      </c>
      <c r="C29" s="1289">
        <f>+C30+C31+C32</f>
        <v>0</v>
      </c>
      <c r="D29" s="1253">
        <f>+D30+D31+D32</f>
        <v>0</v>
      </c>
      <c r="E29" s="1117"/>
      <c r="F29" s="1117"/>
      <c r="G29" s="1117"/>
      <c r="H29" s="1117"/>
      <c r="I29" s="1117"/>
      <c r="J29" s="1117"/>
      <c r="K29" s="1117"/>
    </row>
    <row r="30" spans="1:11" s="1142" customFormat="1" ht="12" customHeight="1" x14ac:dyDescent="0.25">
      <c r="A30" s="1265" t="s">
        <v>755</v>
      </c>
      <c r="B30" s="1297" t="s">
        <v>778</v>
      </c>
      <c r="C30" s="1291">
        <f t="shared" si="3"/>
        <v>0</v>
      </c>
      <c r="D30" s="1702">
        <f t="shared" ref="D30:D32" si="5">C30</f>
        <v>0</v>
      </c>
      <c r="E30" s="1117"/>
      <c r="F30" s="1117"/>
      <c r="G30" s="1117"/>
      <c r="H30" s="1117"/>
      <c r="I30" s="1117"/>
      <c r="J30" s="1117"/>
      <c r="K30" s="1117"/>
    </row>
    <row r="31" spans="1:11" s="1142" customFormat="1" ht="12" customHeight="1" x14ac:dyDescent="0.25">
      <c r="A31" s="1265" t="s">
        <v>757</v>
      </c>
      <c r="B31" s="1298" t="s">
        <v>525</v>
      </c>
      <c r="C31" s="1291">
        <f t="shared" si="3"/>
        <v>0</v>
      </c>
      <c r="D31" s="1703">
        <f t="shared" si="5"/>
        <v>0</v>
      </c>
      <c r="E31" s="1117"/>
      <c r="F31" s="1117"/>
      <c r="G31" s="1117"/>
      <c r="H31" s="1117"/>
      <c r="I31" s="1117"/>
      <c r="J31" s="1117"/>
      <c r="K31" s="1117"/>
    </row>
    <row r="32" spans="1:11" s="1142" customFormat="1" ht="12" customHeight="1" thickBot="1" x14ac:dyDescent="0.3">
      <c r="A32" s="1258" t="s">
        <v>759</v>
      </c>
      <c r="B32" s="1300" t="s">
        <v>781</v>
      </c>
      <c r="C32" s="1291">
        <f t="shared" si="3"/>
        <v>0</v>
      </c>
      <c r="D32" s="1704">
        <f t="shared" si="5"/>
        <v>0</v>
      </c>
      <c r="E32" s="1117"/>
      <c r="F32" s="1117"/>
      <c r="G32" s="1117"/>
      <c r="H32" s="1117"/>
      <c r="I32" s="1117"/>
      <c r="J32" s="1117"/>
      <c r="K32" s="1117"/>
    </row>
    <row r="33" spans="1:14" s="1138" customFormat="1" ht="12" customHeight="1" thickBot="1" x14ac:dyDescent="0.3">
      <c r="A33" s="1263" t="s">
        <v>775</v>
      </c>
      <c r="B33" s="1295" t="s">
        <v>960</v>
      </c>
      <c r="C33" s="1296"/>
      <c r="D33" s="1264"/>
      <c r="E33" s="1117"/>
      <c r="F33" s="1117"/>
      <c r="G33" s="1117"/>
      <c r="H33" s="1117"/>
      <c r="I33" s="1117"/>
      <c r="J33" s="1117"/>
      <c r="K33" s="1117"/>
    </row>
    <row r="34" spans="1:14" s="1138" customFormat="1" ht="12" customHeight="1" thickBot="1" x14ac:dyDescent="0.3">
      <c r="A34" s="1263" t="s">
        <v>911</v>
      </c>
      <c r="B34" s="1295" t="s">
        <v>961</v>
      </c>
      <c r="C34" s="1296"/>
      <c r="D34" s="1272"/>
      <c r="E34" s="1117"/>
      <c r="F34" s="1117"/>
      <c r="G34" s="1117"/>
      <c r="H34" s="1117"/>
      <c r="I34" s="1117"/>
      <c r="J34" s="1117"/>
      <c r="K34" s="1117"/>
    </row>
    <row r="35" spans="1:14" s="1138" customFormat="1" ht="12" customHeight="1" thickBot="1" x14ac:dyDescent="0.3">
      <c r="A35" s="1119" t="s">
        <v>796</v>
      </c>
      <c r="B35" s="1295" t="s">
        <v>962</v>
      </c>
      <c r="C35" s="1289">
        <f>+C8+C19+C24+C25+C29+C33+C34</f>
        <v>2210100</v>
      </c>
      <c r="D35" s="1273">
        <f>+D8+D19+D24+D25+D29+D33+D34</f>
        <v>2210100</v>
      </c>
      <c r="E35" s="1117"/>
      <c r="F35" s="1117"/>
      <c r="G35" s="1117"/>
      <c r="H35" s="1117"/>
      <c r="I35" s="1117"/>
      <c r="J35" s="1117"/>
      <c r="K35" s="1117"/>
    </row>
    <row r="36" spans="1:14" s="1138" customFormat="1" ht="12" customHeight="1" thickBot="1" x14ac:dyDescent="0.3">
      <c r="A36" s="1274" t="s">
        <v>806</v>
      </c>
      <c r="B36" s="1295" t="s">
        <v>963</v>
      </c>
      <c r="C36" s="1289">
        <f>+C37+C38+C39</f>
        <v>97571668</v>
      </c>
      <c r="D36" s="1273">
        <f>+D37+D38+D39</f>
        <v>100851169</v>
      </c>
      <c r="E36" s="1117"/>
      <c r="F36" s="1117"/>
      <c r="G36" s="1117"/>
      <c r="H36" s="1117"/>
      <c r="I36" s="1117"/>
      <c r="J36" s="1117"/>
      <c r="K36" s="1117"/>
    </row>
    <row r="37" spans="1:14" s="1138" customFormat="1" ht="12" customHeight="1" x14ac:dyDescent="0.25">
      <c r="A37" s="1265" t="s">
        <v>964</v>
      </c>
      <c r="B37" s="1297" t="s">
        <v>965</v>
      </c>
      <c r="C37" s="1291">
        <f>SUM(E37:O37)</f>
        <v>0</v>
      </c>
      <c r="D37" s="1702">
        <f>C37+83501</f>
        <v>83501</v>
      </c>
      <c r="E37" s="1117"/>
      <c r="F37" s="1117"/>
      <c r="G37" s="1117"/>
      <c r="H37" s="1117"/>
      <c r="I37" s="1117"/>
      <c r="J37" s="1117"/>
      <c r="K37" s="1117"/>
    </row>
    <row r="38" spans="1:14" s="1138" customFormat="1" ht="12" customHeight="1" x14ac:dyDescent="0.25">
      <c r="A38" s="1265" t="s">
        <v>966</v>
      </c>
      <c r="B38" s="1298" t="s">
        <v>967</v>
      </c>
      <c r="C38" s="1291">
        <f>SUM(E38:O38)</f>
        <v>0</v>
      </c>
      <c r="D38" s="1703">
        <f t="shared" ref="D38" si="6">C38</f>
        <v>0</v>
      </c>
      <c r="E38" s="1117"/>
      <c r="F38" s="1117"/>
      <c r="G38" s="1117"/>
      <c r="H38" s="1117"/>
      <c r="I38" s="1117"/>
      <c r="J38" s="1117"/>
      <c r="K38" s="1117"/>
    </row>
    <row r="39" spans="1:14" s="1142" customFormat="1" ht="12" customHeight="1" thickBot="1" x14ac:dyDescent="0.3">
      <c r="A39" s="1258" t="s">
        <v>968</v>
      </c>
      <c r="B39" s="1300" t="s">
        <v>969</v>
      </c>
      <c r="C39" s="1291">
        <f>SUM(E39:O39)</f>
        <v>97571668</v>
      </c>
      <c r="D39" s="1704">
        <f>C39+1600000-500000+2006000+90000</f>
        <v>100767668</v>
      </c>
      <c r="E39" s="1117"/>
      <c r="F39" s="1117"/>
      <c r="G39" s="1117"/>
      <c r="H39" s="1117">
        <v>97571668</v>
      </c>
      <c r="I39" s="1117"/>
      <c r="J39" s="1117"/>
      <c r="K39" s="1117"/>
    </row>
    <row r="40" spans="1:14" s="1142" customFormat="1" ht="15" customHeight="1" thickBot="1" x14ac:dyDescent="0.25">
      <c r="A40" s="1274" t="s">
        <v>923</v>
      </c>
      <c r="B40" s="1301" t="s">
        <v>970</v>
      </c>
      <c r="C40" s="1302">
        <f>+C35+C36</f>
        <v>99781768</v>
      </c>
      <c r="D40" s="1276">
        <f>+D35+D36</f>
        <v>103061269</v>
      </c>
      <c r="E40" s="1117">
        <f>SUM(E8:E39)</f>
        <v>10000</v>
      </c>
      <c r="F40" s="1117">
        <f t="shared" ref="F40:K40" si="7">SUM(F8:F39)</f>
        <v>0</v>
      </c>
      <c r="G40" s="1117">
        <f t="shared" si="7"/>
        <v>2197100</v>
      </c>
      <c r="H40" s="1117">
        <f t="shared" si="7"/>
        <v>97571668</v>
      </c>
      <c r="I40" s="1117">
        <f t="shared" si="7"/>
        <v>3000</v>
      </c>
      <c r="J40" s="1117">
        <f t="shared" si="7"/>
        <v>0</v>
      </c>
      <c r="K40" s="1117">
        <f t="shared" si="7"/>
        <v>0</v>
      </c>
    </row>
    <row r="41" spans="1:14" s="1142" customFormat="1" ht="15" customHeight="1" x14ac:dyDescent="0.25">
      <c r="A41" s="1718"/>
      <c r="B41" s="1719"/>
      <c r="C41" s="1720"/>
      <c r="D41" s="1721"/>
      <c r="E41" s="1117"/>
      <c r="F41" s="1117"/>
      <c r="G41" s="1117"/>
      <c r="H41" s="1117"/>
      <c r="I41" s="1117"/>
      <c r="J41" s="1117"/>
      <c r="K41" s="1117"/>
    </row>
    <row r="42" spans="1:14" ht="13.5" thickBot="1" x14ac:dyDescent="0.3">
      <c r="A42" s="1722"/>
      <c r="B42" s="1723"/>
      <c r="C42" s="1724"/>
      <c r="D42" s="1725"/>
      <c r="E42" s="1117"/>
      <c r="F42" s="1117"/>
      <c r="G42" s="1117"/>
      <c r="H42" s="1117"/>
      <c r="I42" s="1117"/>
      <c r="J42" s="1117"/>
      <c r="K42" s="1117"/>
    </row>
    <row r="43" spans="1:14" s="1125" customFormat="1" ht="16.5" customHeight="1" thickBot="1" x14ac:dyDescent="0.3">
      <c r="A43" s="1814" t="s">
        <v>856</v>
      </c>
      <c r="B43" s="1815"/>
      <c r="C43" s="1815"/>
      <c r="D43" s="1816"/>
      <c r="E43" s="1132"/>
      <c r="F43" s="1132"/>
      <c r="G43" s="1132"/>
      <c r="H43" s="1132"/>
      <c r="I43" s="1132"/>
      <c r="J43" s="1132"/>
      <c r="K43" s="1132"/>
    </row>
    <row r="44" spans="1:14" s="1189" customFormat="1" ht="12" customHeight="1" thickBot="1" x14ac:dyDescent="0.3">
      <c r="A44" s="1263" t="s">
        <v>696</v>
      </c>
      <c r="B44" s="1295" t="s">
        <v>971</v>
      </c>
      <c r="C44" s="1289">
        <f>SUM(C45:C49)</f>
        <v>98886274</v>
      </c>
      <c r="D44" s="1253">
        <f>SUM(D45:D49)</f>
        <v>101992274</v>
      </c>
      <c r="E44" s="1117"/>
      <c r="F44" s="1117"/>
      <c r="G44" s="1117"/>
      <c r="H44" s="1117"/>
      <c r="I44" s="1117"/>
      <c r="J44" s="1117"/>
      <c r="K44" s="1117"/>
    </row>
    <row r="45" spans="1:14" ht="12" customHeight="1" x14ac:dyDescent="0.25">
      <c r="A45" s="1258" t="s">
        <v>698</v>
      </c>
      <c r="B45" s="1294" t="s">
        <v>858</v>
      </c>
      <c r="C45" s="1291">
        <f>SUM(E45:O45)</f>
        <v>73086649</v>
      </c>
      <c r="D45" s="1702">
        <f>C45-200000+200000+1380000-500000+1736000</f>
        <v>75702649</v>
      </c>
      <c r="E45" s="1117">
        <v>58137436</v>
      </c>
      <c r="F45" s="1117">
        <v>1920000</v>
      </c>
      <c r="G45" s="1117"/>
      <c r="H45" s="1117"/>
      <c r="I45" s="1117">
        <v>13029213</v>
      </c>
      <c r="J45" s="1117"/>
      <c r="K45" s="1117"/>
      <c r="L45" s="1117"/>
      <c r="M45" s="1117"/>
      <c r="N45" s="1117"/>
    </row>
    <row r="46" spans="1:14" ht="12" customHeight="1" x14ac:dyDescent="0.25">
      <c r="A46" s="1258" t="s">
        <v>700</v>
      </c>
      <c r="B46" s="1292" t="s">
        <v>25</v>
      </c>
      <c r="C46" s="1291">
        <f>SUM(E46:O46)</f>
        <v>14258518</v>
      </c>
      <c r="D46" s="1703">
        <f>C46+220000+270000</f>
        <v>14748518</v>
      </c>
      <c r="E46" s="1117">
        <v>10647342</v>
      </c>
      <c r="F46" s="1117">
        <v>336000</v>
      </c>
      <c r="G46" s="1117"/>
      <c r="H46" s="1117"/>
      <c r="I46" s="1117">
        <v>3275176</v>
      </c>
      <c r="J46" s="1117"/>
      <c r="K46" s="1117"/>
      <c r="L46" s="1117"/>
      <c r="M46" s="1117"/>
      <c r="N46" s="1117"/>
    </row>
    <row r="47" spans="1:14" ht="12" customHeight="1" x14ac:dyDescent="0.25">
      <c r="A47" s="1258" t="s">
        <v>702</v>
      </c>
      <c r="B47" s="1292" t="s">
        <v>859</v>
      </c>
      <c r="C47" s="1291">
        <f>SUM(E47:O47)</f>
        <v>11541107</v>
      </c>
      <c r="D47" s="1703">
        <f>C47+100000-100000+15000-15000</f>
        <v>11541107</v>
      </c>
      <c r="E47" s="1117">
        <v>1333860</v>
      </c>
      <c r="F47" s="1117">
        <f>2880000-869963</f>
        <v>2010037</v>
      </c>
      <c r="G47" s="1117">
        <v>6118700</v>
      </c>
      <c r="H47" s="1117"/>
      <c r="I47" s="1117">
        <v>2078510</v>
      </c>
      <c r="J47" s="1117"/>
      <c r="K47" s="1117"/>
      <c r="L47" s="1117"/>
      <c r="M47" s="1117"/>
      <c r="N47" s="1117"/>
    </row>
    <row r="48" spans="1:14" ht="12" customHeight="1" x14ac:dyDescent="0.25">
      <c r="A48" s="1258" t="s">
        <v>704</v>
      </c>
      <c r="B48" s="1292" t="s">
        <v>216</v>
      </c>
      <c r="C48" s="1291">
        <f>SUM(E48:O48)</f>
        <v>0</v>
      </c>
      <c r="D48" s="1703">
        <f t="shared" ref="D48:D49" si="8">C48</f>
        <v>0</v>
      </c>
      <c r="E48" s="1117"/>
      <c r="F48" s="1117"/>
      <c r="G48" s="1117"/>
      <c r="H48" s="1117"/>
      <c r="I48" s="1117"/>
      <c r="J48" s="1117"/>
      <c r="K48" s="1117"/>
      <c r="L48" s="1117"/>
      <c r="M48" s="1117"/>
      <c r="N48" s="1117"/>
    </row>
    <row r="49" spans="1:14" ht="12" customHeight="1" thickBot="1" x14ac:dyDescent="0.3">
      <c r="A49" s="1258" t="s">
        <v>706</v>
      </c>
      <c r="B49" s="1292" t="s">
        <v>55</v>
      </c>
      <c r="C49" s="1291">
        <f>SUM(E49:O49)</f>
        <v>0</v>
      </c>
      <c r="D49" s="1704">
        <f t="shared" si="8"/>
        <v>0</v>
      </c>
      <c r="E49" s="1117"/>
      <c r="F49" s="1117"/>
      <c r="G49" s="1117"/>
      <c r="H49" s="1117"/>
      <c r="I49" s="1117"/>
      <c r="J49" s="1117"/>
      <c r="K49" s="1117"/>
      <c r="L49" s="1117"/>
      <c r="M49" s="1117"/>
      <c r="N49" s="1117"/>
    </row>
    <row r="50" spans="1:14" ht="12" customHeight="1" thickBot="1" x14ac:dyDescent="0.3">
      <c r="A50" s="1263" t="s">
        <v>710</v>
      </c>
      <c r="B50" s="1295" t="s">
        <v>972</v>
      </c>
      <c r="C50" s="1289">
        <f>SUM(C51:C53)</f>
        <v>895494</v>
      </c>
      <c r="D50" s="1253">
        <f>SUM(D51:D53)</f>
        <v>1068995</v>
      </c>
      <c r="E50" s="1117"/>
      <c r="F50" s="1117"/>
      <c r="G50" s="1117"/>
      <c r="H50" s="1117"/>
      <c r="I50" s="1117"/>
      <c r="J50" s="1117"/>
      <c r="K50" s="1117"/>
      <c r="L50" s="1117"/>
      <c r="M50" s="1117"/>
      <c r="N50" s="1117"/>
    </row>
    <row r="51" spans="1:14" s="1189" customFormat="1" ht="12" customHeight="1" x14ac:dyDescent="0.25">
      <c r="A51" s="1258" t="s">
        <v>712</v>
      </c>
      <c r="B51" s="1294" t="s">
        <v>63</v>
      </c>
      <c r="C51" s="1291">
        <f>SUM(E51:O51)</f>
        <v>0</v>
      </c>
      <c r="D51" s="1702">
        <f>C51+70000+20000+5000+60501+18000</f>
        <v>173501</v>
      </c>
      <c r="E51" s="1117"/>
      <c r="F51" s="1117"/>
      <c r="G51" s="1117"/>
      <c r="H51" s="1117"/>
      <c r="I51" s="1117"/>
      <c r="J51" s="1117"/>
      <c r="K51" s="1117"/>
      <c r="L51" s="1303"/>
      <c r="M51" s="1303"/>
      <c r="N51" s="1303"/>
    </row>
    <row r="52" spans="1:14" ht="12" customHeight="1" x14ac:dyDescent="0.25">
      <c r="A52" s="1258" t="s">
        <v>714</v>
      </c>
      <c r="B52" s="1292" t="s">
        <v>153</v>
      </c>
      <c r="C52" s="1291">
        <f>SUM(E52:O52)</f>
        <v>895494</v>
      </c>
      <c r="D52" s="1703">
        <f t="shared" ref="D52:D54" si="9">C52</f>
        <v>895494</v>
      </c>
      <c r="E52" s="1117"/>
      <c r="F52" s="1117"/>
      <c r="G52" s="1117">
        <v>401000</v>
      </c>
      <c r="H52" s="1117"/>
      <c r="I52" s="1117">
        <v>494494</v>
      </c>
      <c r="J52" s="1117"/>
      <c r="K52" s="1117"/>
      <c r="L52" s="1117"/>
      <c r="M52" s="1117"/>
      <c r="N52" s="1117"/>
    </row>
    <row r="53" spans="1:14" ht="12" customHeight="1" x14ac:dyDescent="0.25">
      <c r="A53" s="1258" t="s">
        <v>716</v>
      </c>
      <c r="B53" s="1292" t="s">
        <v>973</v>
      </c>
      <c r="C53" s="1291">
        <f>SUM(E53:O53)</f>
        <v>0</v>
      </c>
      <c r="D53" s="1703">
        <f t="shared" si="9"/>
        <v>0</v>
      </c>
      <c r="E53" s="1117"/>
      <c r="F53" s="1117"/>
      <c r="G53" s="1117"/>
      <c r="H53" s="1117"/>
      <c r="I53" s="1117"/>
      <c r="J53" s="1117"/>
      <c r="K53" s="1117"/>
      <c r="L53" s="1117"/>
      <c r="M53" s="1117"/>
      <c r="N53" s="1117"/>
    </row>
    <row r="54" spans="1:14" ht="12" customHeight="1" thickBot="1" x14ac:dyDescent="0.3">
      <c r="A54" s="1258" t="s">
        <v>718</v>
      </c>
      <c r="B54" s="1292" t="s">
        <v>974</v>
      </c>
      <c r="C54" s="1291">
        <f>SUM(E54:O54)</f>
        <v>0</v>
      </c>
      <c r="D54" s="1704">
        <f t="shared" si="9"/>
        <v>0</v>
      </c>
      <c r="E54" s="1117"/>
      <c r="F54" s="1117"/>
      <c r="G54" s="1117"/>
      <c r="H54" s="1117"/>
      <c r="I54" s="1117"/>
      <c r="J54" s="1117"/>
      <c r="K54" s="1117"/>
      <c r="L54" s="1117"/>
      <c r="M54" s="1117"/>
      <c r="N54" s="1117"/>
    </row>
    <row r="55" spans="1:14" ht="15" customHeight="1" thickBot="1" x14ac:dyDescent="0.3">
      <c r="A55" s="1263" t="s">
        <v>724</v>
      </c>
      <c r="B55" s="1304" t="s">
        <v>975</v>
      </c>
      <c r="C55" s="1302">
        <f>+C44+C50</f>
        <v>99781768</v>
      </c>
      <c r="D55" s="1280">
        <f>+D44+D50</f>
        <v>103061269</v>
      </c>
      <c r="E55" s="1117">
        <f>SUM(E44:E54)</f>
        <v>70118638</v>
      </c>
      <c r="F55" s="1117">
        <f t="shared" ref="F55:K55" si="10">SUM(F44:F54)</f>
        <v>4266037</v>
      </c>
      <c r="G55" s="1117">
        <f t="shared" si="10"/>
        <v>6519700</v>
      </c>
      <c r="H55" s="1117">
        <f t="shared" si="10"/>
        <v>0</v>
      </c>
      <c r="I55" s="1117">
        <f t="shared" si="10"/>
        <v>18877393</v>
      </c>
      <c r="J55" s="1117">
        <f t="shared" si="10"/>
        <v>0</v>
      </c>
      <c r="K55" s="1117">
        <f t="shared" si="10"/>
        <v>0</v>
      </c>
      <c r="L55" s="1117"/>
      <c r="M55" s="1117"/>
      <c r="N55" s="1117"/>
    </row>
    <row r="56" spans="1:14" ht="13.5" thickBot="1" x14ac:dyDescent="0.3">
      <c r="A56" s="1726"/>
      <c r="B56" s="1727"/>
      <c r="C56" s="1728"/>
      <c r="D56" s="1729"/>
      <c r="E56" s="1117"/>
      <c r="F56" s="1117"/>
      <c r="G56" s="1117"/>
      <c r="H56" s="1117"/>
      <c r="I56" s="1117"/>
      <c r="J56" s="1117"/>
      <c r="K56" s="1117"/>
      <c r="L56" s="1117"/>
      <c r="M56" s="1117"/>
      <c r="N56" s="1117"/>
    </row>
    <row r="57" spans="1:14" ht="15" customHeight="1" thickBot="1" x14ac:dyDescent="0.3">
      <c r="A57" s="1227" t="s">
        <v>925</v>
      </c>
      <c r="B57" s="1305"/>
      <c r="C57" s="1306">
        <v>22</v>
      </c>
      <c r="D57" s="1230">
        <v>22</v>
      </c>
      <c r="E57" s="1117"/>
      <c r="F57" s="1117"/>
      <c r="G57" s="1117"/>
      <c r="H57" s="1117"/>
      <c r="I57" s="1117"/>
      <c r="J57" s="1117"/>
      <c r="K57" s="1117"/>
      <c r="L57" s="1117"/>
      <c r="M57" s="1117"/>
      <c r="N57" s="1117"/>
    </row>
    <row r="58" spans="1:14" ht="14.25" customHeight="1" thickBot="1" x14ac:dyDescent="0.3">
      <c r="A58" s="1227" t="s">
        <v>926</v>
      </c>
      <c r="B58" s="1305"/>
      <c r="C58" s="1306">
        <v>0</v>
      </c>
      <c r="D58" s="1230">
        <v>0</v>
      </c>
      <c r="E58" s="1117"/>
      <c r="F58" s="1117"/>
      <c r="G58" s="1117"/>
      <c r="H58" s="1117"/>
      <c r="I58" s="1117"/>
      <c r="J58" s="1117"/>
      <c r="K58" s="1117"/>
    </row>
    <row r="59" spans="1:14" ht="12.75" customHeight="1" x14ac:dyDescent="0.25">
      <c r="A59" s="1855"/>
      <c r="B59" s="1846"/>
      <c r="C59" s="1846"/>
      <c r="D59" s="1856"/>
      <c r="E59" s="1117"/>
      <c r="F59" s="1117"/>
      <c r="G59" s="1117"/>
      <c r="H59" s="1117"/>
      <c r="I59" s="1117"/>
      <c r="J59" s="1117"/>
      <c r="K59" s="1117"/>
    </row>
    <row r="60" spans="1:14" x14ac:dyDescent="0.25">
      <c r="A60" s="1726"/>
      <c r="B60" s="1727"/>
      <c r="C60" s="1727"/>
      <c r="D60" s="1730"/>
    </row>
    <row r="61" spans="1:14" x14ac:dyDescent="0.25">
      <c r="A61" s="1726"/>
      <c r="B61" s="1727"/>
      <c r="C61" s="1727"/>
      <c r="D61" s="1730"/>
    </row>
    <row r="62" spans="1:14" x14ac:dyDescent="0.25">
      <c r="A62" s="1726"/>
      <c r="B62" s="1727"/>
      <c r="C62" s="1727"/>
      <c r="D62" s="1730"/>
    </row>
    <row r="63" spans="1:14" x14ac:dyDescent="0.25">
      <c r="A63" s="1726"/>
      <c r="B63" s="1727"/>
      <c r="C63" s="1727"/>
      <c r="D63" s="1730"/>
    </row>
    <row r="64" spans="1:14" x14ac:dyDescent="0.25">
      <c r="A64" s="1726"/>
      <c r="B64" s="1727"/>
      <c r="C64" s="1727"/>
      <c r="D64" s="1730"/>
    </row>
    <row r="65" spans="1:4" x14ac:dyDescent="0.25">
      <c r="A65" s="1726"/>
      <c r="B65" s="1727"/>
      <c r="C65" s="1727"/>
      <c r="D65" s="1730"/>
    </row>
    <row r="66" spans="1:4" x14ac:dyDescent="0.25">
      <c r="A66" s="1726"/>
      <c r="B66" s="1727"/>
      <c r="C66" s="1727"/>
      <c r="D66" s="1730"/>
    </row>
    <row r="67" spans="1:4" x14ac:dyDescent="0.25">
      <c r="A67" s="1726"/>
      <c r="B67" s="1727"/>
      <c r="C67" s="1727"/>
      <c r="D67" s="1730"/>
    </row>
    <row r="68" spans="1:4" x14ac:dyDescent="0.25">
      <c r="A68" s="1726"/>
      <c r="B68" s="1727"/>
      <c r="C68" s="1727"/>
      <c r="D68" s="1730"/>
    </row>
    <row r="69" spans="1:4" x14ac:dyDescent="0.25">
      <c r="A69" s="1726"/>
      <c r="B69" s="1727"/>
      <c r="C69" s="1727"/>
      <c r="D69" s="1730"/>
    </row>
    <row r="70" spans="1:4" x14ac:dyDescent="0.25">
      <c r="A70" s="1726"/>
      <c r="B70" s="1727"/>
      <c r="C70" s="1727"/>
      <c r="D70" s="1730"/>
    </row>
    <row r="71" spans="1:4" x14ac:dyDescent="0.25">
      <c r="A71" s="1726"/>
      <c r="B71" s="1727"/>
      <c r="C71" s="1727"/>
      <c r="D71" s="1730"/>
    </row>
    <row r="72" spans="1:4" x14ac:dyDescent="0.25">
      <c r="A72" s="1726"/>
      <c r="B72" s="1727"/>
      <c r="C72" s="1727"/>
      <c r="D72" s="1730"/>
    </row>
    <row r="73" spans="1:4" x14ac:dyDescent="0.25">
      <c r="A73" s="1726"/>
      <c r="B73" s="1727"/>
      <c r="C73" s="1727"/>
      <c r="D73" s="1730"/>
    </row>
    <row r="74" spans="1:4" x14ac:dyDescent="0.25">
      <c r="A74" s="1726"/>
      <c r="B74" s="1727"/>
      <c r="C74" s="1727"/>
      <c r="D74" s="1730"/>
    </row>
    <row r="75" spans="1:4" x14ac:dyDescent="0.25">
      <c r="A75" s="1726"/>
      <c r="B75" s="1727"/>
      <c r="C75" s="1727"/>
      <c r="D75" s="1730"/>
    </row>
    <row r="76" spans="1:4" x14ac:dyDescent="0.25">
      <c r="A76" s="1726"/>
      <c r="B76" s="1727"/>
      <c r="C76" s="1727"/>
      <c r="D76" s="1730"/>
    </row>
    <row r="77" spans="1:4" x14ac:dyDescent="0.25">
      <c r="A77" s="1726"/>
      <c r="B77" s="1727"/>
      <c r="C77" s="1727"/>
      <c r="D77" s="1730"/>
    </row>
    <row r="78" spans="1:4" x14ac:dyDescent="0.25">
      <c r="A78" s="1726"/>
      <c r="B78" s="1727"/>
      <c r="C78" s="1727"/>
      <c r="D78" s="1730"/>
    </row>
    <row r="79" spans="1:4" x14ac:dyDescent="0.25">
      <c r="A79" s="1726"/>
      <c r="B79" s="1727"/>
      <c r="C79" s="1727"/>
      <c r="D79" s="1730"/>
    </row>
    <row r="80" spans="1:4" x14ac:dyDescent="0.25">
      <c r="A80" s="1726"/>
      <c r="B80" s="1727"/>
      <c r="C80" s="1727"/>
      <c r="D80" s="1730"/>
    </row>
    <row r="81" spans="1:4" x14ac:dyDescent="0.25">
      <c r="A81" s="1726"/>
      <c r="B81" s="1727"/>
      <c r="C81" s="1727"/>
      <c r="D81" s="1730"/>
    </row>
    <row r="82" spans="1:4" x14ac:dyDescent="0.25">
      <c r="A82" s="1726"/>
      <c r="B82" s="1727"/>
      <c r="C82" s="1727"/>
      <c r="D82" s="1730"/>
    </row>
    <row r="83" spans="1:4" x14ac:dyDescent="0.25">
      <c r="A83" s="1726"/>
      <c r="B83" s="1727"/>
      <c r="C83" s="1727"/>
      <c r="D83" s="1730"/>
    </row>
    <row r="84" spans="1:4" x14ac:dyDescent="0.25">
      <c r="A84" s="1726"/>
      <c r="B84" s="1727"/>
      <c r="C84" s="1727"/>
      <c r="D84" s="1730"/>
    </row>
    <row r="85" spans="1:4" x14ac:dyDescent="0.25">
      <c r="A85" s="1726"/>
      <c r="B85" s="1727"/>
      <c r="C85" s="1727"/>
      <c r="D85" s="1730"/>
    </row>
    <row r="86" spans="1:4" x14ac:dyDescent="0.25">
      <c r="A86" s="1726"/>
      <c r="B86" s="1727"/>
      <c r="C86" s="1727"/>
      <c r="D86" s="1730"/>
    </row>
    <row r="87" spans="1:4" x14ac:dyDescent="0.25">
      <c r="A87" s="1726"/>
      <c r="B87" s="1727"/>
      <c r="C87" s="1727"/>
      <c r="D87" s="1730"/>
    </row>
    <row r="88" spans="1:4" ht="13.5" thickBot="1" x14ac:dyDescent="0.3">
      <c r="A88" s="1731"/>
      <c r="B88" s="1732"/>
      <c r="C88" s="1732"/>
      <c r="D88" s="1733"/>
    </row>
    <row r="90" spans="1:4" ht="13.5" thickBot="1" x14ac:dyDescent="0.3"/>
    <row r="91" spans="1:4" x14ac:dyDescent="0.25">
      <c r="A91" s="1739"/>
      <c r="B91" s="1740"/>
      <c r="C91" s="1740"/>
      <c r="D91" s="1741"/>
    </row>
    <row r="92" spans="1:4" x14ac:dyDescent="0.25">
      <c r="A92" s="1726"/>
      <c r="B92" s="1727"/>
      <c r="C92" s="1727"/>
      <c r="D92" s="1730"/>
    </row>
    <row r="93" spans="1:4" x14ac:dyDescent="0.25">
      <c r="A93" s="1726"/>
      <c r="B93" s="1727"/>
      <c r="C93" s="1727"/>
      <c r="D93" s="1730"/>
    </row>
    <row r="94" spans="1:4" x14ac:dyDescent="0.25">
      <c r="A94" s="1726"/>
      <c r="B94" s="1727"/>
      <c r="C94" s="1727"/>
      <c r="D94" s="1730"/>
    </row>
    <row r="95" spans="1:4" x14ac:dyDescent="0.25">
      <c r="A95" s="1726"/>
      <c r="B95" s="1727"/>
      <c r="C95" s="1727"/>
      <c r="D95" s="1730"/>
    </row>
    <row r="96" spans="1:4" x14ac:dyDescent="0.25">
      <c r="A96" s="1726"/>
      <c r="B96" s="1727"/>
      <c r="C96" s="1727"/>
      <c r="D96" s="1730"/>
    </row>
    <row r="97" spans="1:4" x14ac:dyDescent="0.25">
      <c r="A97" s="1726"/>
      <c r="B97" s="1727"/>
      <c r="C97" s="1727"/>
      <c r="D97" s="1730"/>
    </row>
    <row r="98" spans="1:4" x14ac:dyDescent="0.25">
      <c r="A98" s="1726"/>
      <c r="B98" s="1727"/>
      <c r="C98" s="1727"/>
      <c r="D98" s="1730"/>
    </row>
    <row r="99" spans="1:4" x14ac:dyDescent="0.25">
      <c r="A99" s="1726"/>
      <c r="B99" s="1727"/>
      <c r="C99" s="1727"/>
      <c r="D99" s="1730"/>
    </row>
    <row r="100" spans="1:4" x14ac:dyDescent="0.25">
      <c r="A100" s="1726"/>
      <c r="B100" s="1727"/>
      <c r="C100" s="1727"/>
      <c r="D100" s="1730"/>
    </row>
    <row r="101" spans="1:4" x14ac:dyDescent="0.25">
      <c r="A101" s="1726"/>
      <c r="B101" s="1727"/>
      <c r="C101" s="1727"/>
      <c r="D101" s="1730"/>
    </row>
    <row r="102" spans="1:4" x14ac:dyDescent="0.25">
      <c r="A102" s="1726"/>
      <c r="B102" s="1727"/>
      <c r="C102" s="1727"/>
      <c r="D102" s="1730"/>
    </row>
    <row r="103" spans="1:4" x14ac:dyDescent="0.25">
      <c r="A103" s="1726"/>
      <c r="B103" s="1727"/>
      <c r="C103" s="1727"/>
      <c r="D103" s="1730"/>
    </row>
    <row r="104" spans="1:4" x14ac:dyDescent="0.25">
      <c r="A104" s="1726"/>
      <c r="B104" s="1727"/>
      <c r="C104" s="1727"/>
      <c r="D104" s="1730"/>
    </row>
    <row r="105" spans="1:4" x14ac:dyDescent="0.25">
      <c r="A105" s="1726"/>
      <c r="B105" s="1727"/>
      <c r="C105" s="1727"/>
      <c r="D105" s="1730"/>
    </row>
    <row r="106" spans="1:4" x14ac:dyDescent="0.25">
      <c r="A106" s="1726"/>
      <c r="B106" s="1727"/>
      <c r="C106" s="1727"/>
      <c r="D106" s="1730"/>
    </row>
    <row r="107" spans="1:4" x14ac:dyDescent="0.25">
      <c r="A107" s="1726"/>
      <c r="B107" s="1727"/>
      <c r="C107" s="1727"/>
      <c r="D107" s="1730"/>
    </row>
    <row r="108" spans="1:4" x14ac:dyDescent="0.25">
      <c r="A108" s="1726"/>
      <c r="B108" s="1727"/>
      <c r="C108" s="1727"/>
      <c r="D108" s="1730"/>
    </row>
    <row r="109" spans="1:4" x14ac:dyDescent="0.25">
      <c r="A109" s="1726"/>
      <c r="B109" s="1727"/>
      <c r="C109" s="1727"/>
      <c r="D109" s="1730"/>
    </row>
    <row r="110" spans="1:4" x14ac:dyDescent="0.25">
      <c r="A110" s="1726"/>
      <c r="B110" s="1727"/>
      <c r="C110" s="1727"/>
      <c r="D110" s="1730"/>
    </row>
    <row r="111" spans="1:4" x14ac:dyDescent="0.25">
      <c r="A111" s="1726"/>
      <c r="B111" s="1727"/>
      <c r="C111" s="1727"/>
      <c r="D111" s="1730"/>
    </row>
    <row r="112" spans="1:4" x14ac:dyDescent="0.25">
      <c r="A112" s="1726"/>
      <c r="B112" s="1727"/>
      <c r="C112" s="1727"/>
      <c r="D112" s="1730"/>
    </row>
    <row r="113" spans="1:4" x14ac:dyDescent="0.25">
      <c r="A113" s="1726"/>
      <c r="B113" s="1727"/>
      <c r="C113" s="1727"/>
      <c r="D113" s="1730"/>
    </row>
    <row r="114" spans="1:4" x14ac:dyDescent="0.25">
      <c r="A114" s="1726"/>
      <c r="B114" s="1727"/>
      <c r="C114" s="1727"/>
      <c r="D114" s="1730"/>
    </row>
    <row r="115" spans="1:4" x14ac:dyDescent="0.25">
      <c r="A115" s="1726"/>
      <c r="B115" s="1727"/>
      <c r="C115" s="1727"/>
      <c r="D115" s="1730"/>
    </row>
    <row r="116" spans="1:4" x14ac:dyDescent="0.25">
      <c r="A116" s="1726"/>
      <c r="B116" s="1727"/>
      <c r="C116" s="1727"/>
      <c r="D116" s="1730"/>
    </row>
    <row r="117" spans="1:4" x14ac:dyDescent="0.25">
      <c r="A117" s="1726"/>
      <c r="B117" s="1727"/>
      <c r="C117" s="1727"/>
      <c r="D117" s="1730"/>
    </row>
    <row r="118" spans="1:4" x14ac:dyDescent="0.25">
      <c r="A118" s="1726"/>
      <c r="B118" s="1727"/>
      <c r="C118" s="1727"/>
      <c r="D118" s="1730"/>
    </row>
    <row r="119" spans="1:4" x14ac:dyDescent="0.25">
      <c r="A119" s="1726"/>
      <c r="B119" s="1727"/>
      <c r="C119" s="1727"/>
      <c r="D119" s="1730"/>
    </row>
    <row r="120" spans="1:4" x14ac:dyDescent="0.25">
      <c r="A120" s="1726"/>
      <c r="B120" s="1727"/>
      <c r="C120" s="1727"/>
      <c r="D120" s="1730"/>
    </row>
    <row r="121" spans="1:4" x14ac:dyDescent="0.25">
      <c r="A121" s="1726"/>
      <c r="B121" s="1727"/>
      <c r="C121" s="1727"/>
      <c r="D121" s="1730"/>
    </row>
    <row r="122" spans="1:4" x14ac:dyDescent="0.25">
      <c r="A122" s="1726"/>
      <c r="B122" s="1727"/>
      <c r="C122" s="1727"/>
      <c r="D122" s="1730"/>
    </row>
    <row r="123" spans="1:4" x14ac:dyDescent="0.25">
      <c r="A123" s="1726"/>
      <c r="B123" s="1727"/>
      <c r="C123" s="1727"/>
      <c r="D123" s="1730"/>
    </row>
    <row r="124" spans="1:4" x14ac:dyDescent="0.25">
      <c r="A124" s="1726"/>
      <c r="B124" s="1727"/>
      <c r="C124" s="1727"/>
      <c r="D124" s="1730"/>
    </row>
    <row r="125" spans="1:4" x14ac:dyDescent="0.25">
      <c r="A125" s="1726"/>
      <c r="B125" s="1727"/>
      <c r="C125" s="1727"/>
      <c r="D125" s="1730"/>
    </row>
    <row r="126" spans="1:4" x14ac:dyDescent="0.25">
      <c r="A126" s="1726"/>
      <c r="B126" s="1727"/>
      <c r="C126" s="1727"/>
      <c r="D126" s="1730"/>
    </row>
    <row r="127" spans="1:4" x14ac:dyDescent="0.25">
      <c r="A127" s="1726"/>
      <c r="B127" s="1727"/>
      <c r="C127" s="1727"/>
      <c r="D127" s="1730"/>
    </row>
    <row r="128" spans="1:4" x14ac:dyDescent="0.25">
      <c r="A128" s="1726"/>
      <c r="B128" s="1727"/>
      <c r="C128" s="1727"/>
      <c r="D128" s="1730"/>
    </row>
    <row r="129" spans="1:4" x14ac:dyDescent="0.25">
      <c r="A129" s="1726"/>
      <c r="B129" s="1727"/>
      <c r="C129" s="1727"/>
      <c r="D129" s="1730"/>
    </row>
    <row r="130" spans="1:4" x14ac:dyDescent="0.25">
      <c r="A130" s="1726"/>
      <c r="B130" s="1727"/>
      <c r="C130" s="1727"/>
      <c r="D130" s="1730"/>
    </row>
    <row r="131" spans="1:4" x14ac:dyDescent="0.25">
      <c r="A131" s="1726"/>
      <c r="B131" s="1727"/>
      <c r="C131" s="1727"/>
      <c r="D131" s="1730"/>
    </row>
    <row r="132" spans="1:4" x14ac:dyDescent="0.25">
      <c r="A132" s="1726"/>
      <c r="B132" s="1727"/>
      <c r="C132" s="1727"/>
      <c r="D132" s="1730"/>
    </row>
    <row r="133" spans="1:4" x14ac:dyDescent="0.25">
      <c r="A133" s="1726"/>
      <c r="B133" s="1727"/>
      <c r="C133" s="1727"/>
      <c r="D133" s="1730"/>
    </row>
    <row r="134" spans="1:4" x14ac:dyDescent="0.25">
      <c r="A134" s="1726"/>
      <c r="B134" s="1727"/>
      <c r="C134" s="1727"/>
      <c r="D134" s="1730"/>
    </row>
    <row r="135" spans="1:4" x14ac:dyDescent="0.25">
      <c r="A135" s="1726"/>
      <c r="B135" s="1727"/>
      <c r="C135" s="1727"/>
      <c r="D135" s="1730"/>
    </row>
    <row r="136" spans="1:4" x14ac:dyDescent="0.25">
      <c r="A136" s="1726"/>
      <c r="B136" s="1727"/>
      <c r="C136" s="1727"/>
      <c r="D136" s="1730"/>
    </row>
    <row r="137" spans="1:4" x14ac:dyDescent="0.25">
      <c r="A137" s="1726"/>
      <c r="B137" s="1727"/>
      <c r="C137" s="1727"/>
      <c r="D137" s="1730"/>
    </row>
    <row r="138" spans="1:4" x14ac:dyDescent="0.25">
      <c r="A138" s="1726"/>
      <c r="B138" s="1727"/>
      <c r="C138" s="1727"/>
      <c r="D138" s="1730"/>
    </row>
    <row r="139" spans="1:4" x14ac:dyDescent="0.25">
      <c r="A139" s="1726"/>
      <c r="B139" s="1727"/>
      <c r="C139" s="1727"/>
      <c r="D139" s="1730"/>
    </row>
    <row r="140" spans="1:4" x14ac:dyDescent="0.25">
      <c r="A140" s="1726"/>
      <c r="B140" s="1727"/>
      <c r="C140" s="1727"/>
      <c r="D140" s="1730"/>
    </row>
    <row r="141" spans="1:4" x14ac:dyDescent="0.25">
      <c r="A141" s="1726"/>
      <c r="B141" s="1727"/>
      <c r="C141" s="1727"/>
      <c r="D141" s="1730"/>
    </row>
    <row r="142" spans="1:4" x14ac:dyDescent="0.25">
      <c r="A142" s="1726"/>
      <c r="B142" s="1727"/>
      <c r="C142" s="1727"/>
      <c r="D142" s="1730"/>
    </row>
    <row r="143" spans="1:4" x14ac:dyDescent="0.25">
      <c r="A143" s="1726"/>
      <c r="B143" s="1727"/>
      <c r="C143" s="1727"/>
      <c r="D143" s="1730"/>
    </row>
    <row r="144" spans="1:4" x14ac:dyDescent="0.25">
      <c r="A144" s="1726"/>
      <c r="B144" s="1727"/>
      <c r="C144" s="1727"/>
      <c r="D144" s="1730"/>
    </row>
    <row r="145" spans="1:4" x14ac:dyDescent="0.25">
      <c r="A145" s="1726"/>
      <c r="B145" s="1727"/>
      <c r="C145" s="1727"/>
      <c r="D145" s="1730"/>
    </row>
    <row r="146" spans="1:4" ht="13.5" thickBot="1" x14ac:dyDescent="0.3">
      <c r="A146" s="1731"/>
      <c r="B146" s="1732"/>
      <c r="C146" s="1732"/>
      <c r="D146" s="1733"/>
    </row>
  </sheetData>
  <sheetProtection selectLockedCells="1" selectUnlockedCells="1"/>
  <mergeCells count="6">
    <mergeCell ref="A59:D59"/>
    <mergeCell ref="A1:D1"/>
    <mergeCell ref="C2:D3"/>
    <mergeCell ref="C4:D4"/>
    <mergeCell ref="A7:D7"/>
    <mergeCell ref="A43:D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P59"/>
  <sheetViews>
    <sheetView view="pageBreakPreview" zoomScaleNormal="100" zoomScaleSheetLayoutView="100" workbookViewId="0">
      <selection activeCell="L5" sqref="L5"/>
    </sheetView>
  </sheetViews>
  <sheetFormatPr defaultRowHeight="12.75" x14ac:dyDescent="0.25"/>
  <cols>
    <col min="1" max="1" width="11.85546875" style="1224" customWidth="1"/>
    <col min="2" max="2" width="54.5703125" style="1225" customWidth="1"/>
    <col min="3" max="3" width="15.5703125" style="1225" customWidth="1"/>
    <col min="4" max="4" width="15.42578125" style="1225" customWidth="1"/>
    <col min="5" max="7" width="9.140625" style="1118" hidden="1" customWidth="1"/>
    <col min="8" max="8" width="12.28515625" style="1118" hidden="1" customWidth="1"/>
    <col min="9" max="11" width="9.140625" style="1118" hidden="1" customWidth="1"/>
    <col min="12" max="25" width="9.140625" style="1118" customWidth="1"/>
    <col min="26" max="256" width="9.140625" style="1118"/>
    <col min="257" max="257" width="11.85546875" style="1118" customWidth="1"/>
    <col min="258" max="258" width="54.5703125" style="1118" customWidth="1"/>
    <col min="259" max="259" width="15.5703125" style="1118" customWidth="1"/>
    <col min="260" max="260" width="15.42578125" style="1118" customWidth="1"/>
    <col min="261" max="267" width="9.140625" style="1118" customWidth="1"/>
    <col min="268" max="512" width="9.140625" style="1118"/>
    <col min="513" max="513" width="11.85546875" style="1118" customWidth="1"/>
    <col min="514" max="514" width="54.5703125" style="1118" customWidth="1"/>
    <col min="515" max="515" width="15.5703125" style="1118" customWidth="1"/>
    <col min="516" max="516" width="15.42578125" style="1118" customWidth="1"/>
    <col min="517" max="523" width="9.140625" style="1118" customWidth="1"/>
    <col min="524" max="768" width="9.140625" style="1118"/>
    <col min="769" max="769" width="11.85546875" style="1118" customWidth="1"/>
    <col min="770" max="770" width="54.5703125" style="1118" customWidth="1"/>
    <col min="771" max="771" width="15.5703125" style="1118" customWidth="1"/>
    <col min="772" max="772" width="15.42578125" style="1118" customWidth="1"/>
    <col min="773" max="779" width="9.140625" style="1118" customWidth="1"/>
    <col min="780" max="1024" width="9.140625" style="1118"/>
    <col min="1025" max="1025" width="11.85546875" style="1118" customWidth="1"/>
    <col min="1026" max="1026" width="54.5703125" style="1118" customWidth="1"/>
    <col min="1027" max="1027" width="15.5703125" style="1118" customWidth="1"/>
    <col min="1028" max="1028" width="15.42578125" style="1118" customWidth="1"/>
    <col min="1029" max="1035" width="9.140625" style="1118" customWidth="1"/>
    <col min="1036" max="1280" width="9.140625" style="1118"/>
    <col min="1281" max="1281" width="11.85546875" style="1118" customWidth="1"/>
    <col min="1282" max="1282" width="54.5703125" style="1118" customWidth="1"/>
    <col min="1283" max="1283" width="15.5703125" style="1118" customWidth="1"/>
    <col min="1284" max="1284" width="15.42578125" style="1118" customWidth="1"/>
    <col min="1285" max="1291" width="9.140625" style="1118" customWidth="1"/>
    <col min="1292" max="1536" width="9.140625" style="1118"/>
    <col min="1537" max="1537" width="11.85546875" style="1118" customWidth="1"/>
    <col min="1538" max="1538" width="54.5703125" style="1118" customWidth="1"/>
    <col min="1539" max="1539" width="15.5703125" style="1118" customWidth="1"/>
    <col min="1540" max="1540" width="15.42578125" style="1118" customWidth="1"/>
    <col min="1541" max="1547" width="9.140625" style="1118" customWidth="1"/>
    <col min="1548" max="1792" width="9.140625" style="1118"/>
    <col min="1793" max="1793" width="11.85546875" style="1118" customWidth="1"/>
    <col min="1794" max="1794" width="54.5703125" style="1118" customWidth="1"/>
    <col min="1795" max="1795" width="15.5703125" style="1118" customWidth="1"/>
    <col min="1796" max="1796" width="15.42578125" style="1118" customWidth="1"/>
    <col min="1797" max="1803" width="9.140625" style="1118" customWidth="1"/>
    <col min="1804" max="2048" width="9.140625" style="1118"/>
    <col min="2049" max="2049" width="11.85546875" style="1118" customWidth="1"/>
    <col min="2050" max="2050" width="54.5703125" style="1118" customWidth="1"/>
    <col min="2051" max="2051" width="15.5703125" style="1118" customWidth="1"/>
    <col min="2052" max="2052" width="15.42578125" style="1118" customWidth="1"/>
    <col min="2053" max="2059" width="9.140625" style="1118" customWidth="1"/>
    <col min="2060" max="2304" width="9.140625" style="1118"/>
    <col min="2305" max="2305" width="11.85546875" style="1118" customWidth="1"/>
    <col min="2306" max="2306" width="54.5703125" style="1118" customWidth="1"/>
    <col min="2307" max="2307" width="15.5703125" style="1118" customWidth="1"/>
    <col min="2308" max="2308" width="15.42578125" style="1118" customWidth="1"/>
    <col min="2309" max="2315" width="9.140625" style="1118" customWidth="1"/>
    <col min="2316" max="2560" width="9.140625" style="1118"/>
    <col min="2561" max="2561" width="11.85546875" style="1118" customWidth="1"/>
    <col min="2562" max="2562" width="54.5703125" style="1118" customWidth="1"/>
    <col min="2563" max="2563" width="15.5703125" style="1118" customWidth="1"/>
    <col min="2564" max="2564" width="15.42578125" style="1118" customWidth="1"/>
    <col min="2565" max="2571" width="9.140625" style="1118" customWidth="1"/>
    <col min="2572" max="2816" width="9.140625" style="1118"/>
    <col min="2817" max="2817" width="11.85546875" style="1118" customWidth="1"/>
    <col min="2818" max="2818" width="54.5703125" style="1118" customWidth="1"/>
    <col min="2819" max="2819" width="15.5703125" style="1118" customWidth="1"/>
    <col min="2820" max="2820" width="15.42578125" style="1118" customWidth="1"/>
    <col min="2821" max="2827" width="9.140625" style="1118" customWidth="1"/>
    <col min="2828" max="3072" width="9.140625" style="1118"/>
    <col min="3073" max="3073" width="11.85546875" style="1118" customWidth="1"/>
    <col min="3074" max="3074" width="54.5703125" style="1118" customWidth="1"/>
    <col min="3075" max="3075" width="15.5703125" style="1118" customWidth="1"/>
    <col min="3076" max="3076" width="15.42578125" style="1118" customWidth="1"/>
    <col min="3077" max="3083" width="9.140625" style="1118" customWidth="1"/>
    <col min="3084" max="3328" width="9.140625" style="1118"/>
    <col min="3329" max="3329" width="11.85546875" style="1118" customWidth="1"/>
    <col min="3330" max="3330" width="54.5703125" style="1118" customWidth="1"/>
    <col min="3331" max="3331" width="15.5703125" style="1118" customWidth="1"/>
    <col min="3332" max="3332" width="15.42578125" style="1118" customWidth="1"/>
    <col min="3333" max="3339" width="9.140625" style="1118" customWidth="1"/>
    <col min="3340" max="3584" width="9.140625" style="1118"/>
    <col min="3585" max="3585" width="11.85546875" style="1118" customWidth="1"/>
    <col min="3586" max="3586" width="54.5703125" style="1118" customWidth="1"/>
    <col min="3587" max="3587" width="15.5703125" style="1118" customWidth="1"/>
    <col min="3588" max="3588" width="15.42578125" style="1118" customWidth="1"/>
    <col min="3589" max="3595" width="9.140625" style="1118" customWidth="1"/>
    <col min="3596" max="3840" width="9.140625" style="1118"/>
    <col min="3841" max="3841" width="11.85546875" style="1118" customWidth="1"/>
    <col min="3842" max="3842" width="54.5703125" style="1118" customWidth="1"/>
    <col min="3843" max="3843" width="15.5703125" style="1118" customWidth="1"/>
    <col min="3844" max="3844" width="15.42578125" style="1118" customWidth="1"/>
    <col min="3845" max="3851" width="9.140625" style="1118" customWidth="1"/>
    <col min="3852" max="4096" width="9.140625" style="1118"/>
    <col min="4097" max="4097" width="11.85546875" style="1118" customWidth="1"/>
    <col min="4098" max="4098" width="54.5703125" style="1118" customWidth="1"/>
    <col min="4099" max="4099" width="15.5703125" style="1118" customWidth="1"/>
    <col min="4100" max="4100" width="15.42578125" style="1118" customWidth="1"/>
    <col min="4101" max="4107" width="9.140625" style="1118" customWidth="1"/>
    <col min="4108" max="4352" width="9.140625" style="1118"/>
    <col min="4353" max="4353" width="11.85546875" style="1118" customWidth="1"/>
    <col min="4354" max="4354" width="54.5703125" style="1118" customWidth="1"/>
    <col min="4355" max="4355" width="15.5703125" style="1118" customWidth="1"/>
    <col min="4356" max="4356" width="15.42578125" style="1118" customWidth="1"/>
    <col min="4357" max="4363" width="9.140625" style="1118" customWidth="1"/>
    <col min="4364" max="4608" width="9.140625" style="1118"/>
    <col min="4609" max="4609" width="11.85546875" style="1118" customWidth="1"/>
    <col min="4610" max="4610" width="54.5703125" style="1118" customWidth="1"/>
    <col min="4611" max="4611" width="15.5703125" style="1118" customWidth="1"/>
    <col min="4612" max="4612" width="15.42578125" style="1118" customWidth="1"/>
    <col min="4613" max="4619" width="9.140625" style="1118" customWidth="1"/>
    <col min="4620" max="4864" width="9.140625" style="1118"/>
    <col min="4865" max="4865" width="11.85546875" style="1118" customWidth="1"/>
    <col min="4866" max="4866" width="54.5703125" style="1118" customWidth="1"/>
    <col min="4867" max="4867" width="15.5703125" style="1118" customWidth="1"/>
    <col min="4868" max="4868" width="15.42578125" style="1118" customWidth="1"/>
    <col min="4869" max="4875" width="9.140625" style="1118" customWidth="1"/>
    <col min="4876" max="5120" width="9.140625" style="1118"/>
    <col min="5121" max="5121" width="11.85546875" style="1118" customWidth="1"/>
    <col min="5122" max="5122" width="54.5703125" style="1118" customWidth="1"/>
    <col min="5123" max="5123" width="15.5703125" style="1118" customWidth="1"/>
    <col min="5124" max="5124" width="15.42578125" style="1118" customWidth="1"/>
    <col min="5125" max="5131" width="9.140625" style="1118" customWidth="1"/>
    <col min="5132" max="5376" width="9.140625" style="1118"/>
    <col min="5377" max="5377" width="11.85546875" style="1118" customWidth="1"/>
    <col min="5378" max="5378" width="54.5703125" style="1118" customWidth="1"/>
    <col min="5379" max="5379" width="15.5703125" style="1118" customWidth="1"/>
    <col min="5380" max="5380" width="15.42578125" style="1118" customWidth="1"/>
    <col min="5381" max="5387" width="9.140625" style="1118" customWidth="1"/>
    <col min="5388" max="5632" width="9.140625" style="1118"/>
    <col min="5633" max="5633" width="11.85546875" style="1118" customWidth="1"/>
    <col min="5634" max="5634" width="54.5703125" style="1118" customWidth="1"/>
    <col min="5635" max="5635" width="15.5703125" style="1118" customWidth="1"/>
    <col min="5636" max="5636" width="15.42578125" style="1118" customWidth="1"/>
    <col min="5637" max="5643" width="9.140625" style="1118" customWidth="1"/>
    <col min="5644" max="5888" width="9.140625" style="1118"/>
    <col min="5889" max="5889" width="11.85546875" style="1118" customWidth="1"/>
    <col min="5890" max="5890" width="54.5703125" style="1118" customWidth="1"/>
    <col min="5891" max="5891" width="15.5703125" style="1118" customWidth="1"/>
    <col min="5892" max="5892" width="15.42578125" style="1118" customWidth="1"/>
    <col min="5893" max="5899" width="9.140625" style="1118" customWidth="1"/>
    <col min="5900" max="6144" width="9.140625" style="1118"/>
    <col min="6145" max="6145" width="11.85546875" style="1118" customWidth="1"/>
    <col min="6146" max="6146" width="54.5703125" style="1118" customWidth="1"/>
    <col min="6147" max="6147" width="15.5703125" style="1118" customWidth="1"/>
    <col min="6148" max="6148" width="15.42578125" style="1118" customWidth="1"/>
    <col min="6149" max="6155" width="9.140625" style="1118" customWidth="1"/>
    <col min="6156" max="6400" width="9.140625" style="1118"/>
    <col min="6401" max="6401" width="11.85546875" style="1118" customWidth="1"/>
    <col min="6402" max="6402" width="54.5703125" style="1118" customWidth="1"/>
    <col min="6403" max="6403" width="15.5703125" style="1118" customWidth="1"/>
    <col min="6404" max="6404" width="15.42578125" style="1118" customWidth="1"/>
    <col min="6405" max="6411" width="9.140625" style="1118" customWidth="1"/>
    <col min="6412" max="6656" width="9.140625" style="1118"/>
    <col min="6657" max="6657" width="11.85546875" style="1118" customWidth="1"/>
    <col min="6658" max="6658" width="54.5703125" style="1118" customWidth="1"/>
    <col min="6659" max="6659" width="15.5703125" style="1118" customWidth="1"/>
    <col min="6660" max="6660" width="15.42578125" style="1118" customWidth="1"/>
    <col min="6661" max="6667" width="9.140625" style="1118" customWidth="1"/>
    <col min="6668" max="6912" width="9.140625" style="1118"/>
    <col min="6913" max="6913" width="11.85546875" style="1118" customWidth="1"/>
    <col min="6914" max="6914" width="54.5703125" style="1118" customWidth="1"/>
    <col min="6915" max="6915" width="15.5703125" style="1118" customWidth="1"/>
    <col min="6916" max="6916" width="15.42578125" style="1118" customWidth="1"/>
    <col min="6917" max="6923" width="9.140625" style="1118" customWidth="1"/>
    <col min="6924" max="7168" width="9.140625" style="1118"/>
    <col min="7169" max="7169" width="11.85546875" style="1118" customWidth="1"/>
    <col min="7170" max="7170" width="54.5703125" style="1118" customWidth="1"/>
    <col min="7171" max="7171" width="15.5703125" style="1118" customWidth="1"/>
    <col min="7172" max="7172" width="15.42578125" style="1118" customWidth="1"/>
    <col min="7173" max="7179" width="9.140625" style="1118" customWidth="1"/>
    <col min="7180" max="7424" width="9.140625" style="1118"/>
    <col min="7425" max="7425" width="11.85546875" style="1118" customWidth="1"/>
    <col min="7426" max="7426" width="54.5703125" style="1118" customWidth="1"/>
    <col min="7427" max="7427" width="15.5703125" style="1118" customWidth="1"/>
    <col min="7428" max="7428" width="15.42578125" style="1118" customWidth="1"/>
    <col min="7429" max="7435" width="9.140625" style="1118" customWidth="1"/>
    <col min="7436" max="7680" width="9.140625" style="1118"/>
    <col min="7681" max="7681" width="11.85546875" style="1118" customWidth="1"/>
    <col min="7682" max="7682" width="54.5703125" style="1118" customWidth="1"/>
    <col min="7683" max="7683" width="15.5703125" style="1118" customWidth="1"/>
    <col min="7684" max="7684" width="15.42578125" style="1118" customWidth="1"/>
    <col min="7685" max="7691" width="9.140625" style="1118" customWidth="1"/>
    <col min="7692" max="7936" width="9.140625" style="1118"/>
    <col min="7937" max="7937" width="11.85546875" style="1118" customWidth="1"/>
    <col min="7938" max="7938" width="54.5703125" style="1118" customWidth="1"/>
    <col min="7939" max="7939" width="15.5703125" style="1118" customWidth="1"/>
    <col min="7940" max="7940" width="15.42578125" style="1118" customWidth="1"/>
    <col min="7941" max="7947" width="9.140625" style="1118" customWidth="1"/>
    <col min="7948" max="8192" width="9.140625" style="1118"/>
    <col min="8193" max="8193" width="11.85546875" style="1118" customWidth="1"/>
    <col min="8194" max="8194" width="54.5703125" style="1118" customWidth="1"/>
    <col min="8195" max="8195" width="15.5703125" style="1118" customWidth="1"/>
    <col min="8196" max="8196" width="15.42578125" style="1118" customWidth="1"/>
    <col min="8197" max="8203" width="9.140625" style="1118" customWidth="1"/>
    <col min="8204" max="8448" width="9.140625" style="1118"/>
    <col min="8449" max="8449" width="11.85546875" style="1118" customWidth="1"/>
    <col min="8450" max="8450" width="54.5703125" style="1118" customWidth="1"/>
    <col min="8451" max="8451" width="15.5703125" style="1118" customWidth="1"/>
    <col min="8452" max="8452" width="15.42578125" style="1118" customWidth="1"/>
    <col min="8453" max="8459" width="9.140625" style="1118" customWidth="1"/>
    <col min="8460" max="8704" width="9.140625" style="1118"/>
    <col min="8705" max="8705" width="11.85546875" style="1118" customWidth="1"/>
    <col min="8706" max="8706" width="54.5703125" style="1118" customWidth="1"/>
    <col min="8707" max="8707" width="15.5703125" style="1118" customWidth="1"/>
    <col min="8708" max="8708" width="15.42578125" style="1118" customWidth="1"/>
    <col min="8709" max="8715" width="9.140625" style="1118" customWidth="1"/>
    <col min="8716" max="8960" width="9.140625" style="1118"/>
    <col min="8961" max="8961" width="11.85546875" style="1118" customWidth="1"/>
    <col min="8962" max="8962" width="54.5703125" style="1118" customWidth="1"/>
    <col min="8963" max="8963" width="15.5703125" style="1118" customWidth="1"/>
    <col min="8964" max="8964" width="15.42578125" style="1118" customWidth="1"/>
    <col min="8965" max="8971" width="9.140625" style="1118" customWidth="1"/>
    <col min="8972" max="9216" width="9.140625" style="1118"/>
    <col min="9217" max="9217" width="11.85546875" style="1118" customWidth="1"/>
    <col min="9218" max="9218" width="54.5703125" style="1118" customWidth="1"/>
    <col min="9219" max="9219" width="15.5703125" style="1118" customWidth="1"/>
    <col min="9220" max="9220" width="15.42578125" style="1118" customWidth="1"/>
    <col min="9221" max="9227" width="9.140625" style="1118" customWidth="1"/>
    <col min="9228" max="9472" width="9.140625" style="1118"/>
    <col min="9473" max="9473" width="11.85546875" style="1118" customWidth="1"/>
    <col min="9474" max="9474" width="54.5703125" style="1118" customWidth="1"/>
    <col min="9475" max="9475" width="15.5703125" style="1118" customWidth="1"/>
    <col min="9476" max="9476" width="15.42578125" style="1118" customWidth="1"/>
    <col min="9477" max="9483" width="9.140625" style="1118" customWidth="1"/>
    <col min="9484" max="9728" width="9.140625" style="1118"/>
    <col min="9729" max="9729" width="11.85546875" style="1118" customWidth="1"/>
    <col min="9730" max="9730" width="54.5703125" style="1118" customWidth="1"/>
    <col min="9731" max="9731" width="15.5703125" style="1118" customWidth="1"/>
    <col min="9732" max="9732" width="15.42578125" style="1118" customWidth="1"/>
    <col min="9733" max="9739" width="9.140625" style="1118" customWidth="1"/>
    <col min="9740" max="9984" width="9.140625" style="1118"/>
    <col min="9985" max="9985" width="11.85546875" style="1118" customWidth="1"/>
    <col min="9986" max="9986" width="54.5703125" style="1118" customWidth="1"/>
    <col min="9987" max="9987" width="15.5703125" style="1118" customWidth="1"/>
    <col min="9988" max="9988" width="15.42578125" style="1118" customWidth="1"/>
    <col min="9989" max="9995" width="9.140625" style="1118" customWidth="1"/>
    <col min="9996" max="10240" width="9.140625" style="1118"/>
    <col min="10241" max="10241" width="11.85546875" style="1118" customWidth="1"/>
    <col min="10242" max="10242" width="54.5703125" style="1118" customWidth="1"/>
    <col min="10243" max="10243" width="15.5703125" style="1118" customWidth="1"/>
    <col min="10244" max="10244" width="15.42578125" style="1118" customWidth="1"/>
    <col min="10245" max="10251" width="9.140625" style="1118" customWidth="1"/>
    <col min="10252" max="10496" width="9.140625" style="1118"/>
    <col min="10497" max="10497" width="11.85546875" style="1118" customWidth="1"/>
    <col min="10498" max="10498" width="54.5703125" style="1118" customWidth="1"/>
    <col min="10499" max="10499" width="15.5703125" style="1118" customWidth="1"/>
    <col min="10500" max="10500" width="15.42578125" style="1118" customWidth="1"/>
    <col min="10501" max="10507" width="9.140625" style="1118" customWidth="1"/>
    <col min="10508" max="10752" width="9.140625" style="1118"/>
    <col min="10753" max="10753" width="11.85546875" style="1118" customWidth="1"/>
    <col min="10754" max="10754" width="54.5703125" style="1118" customWidth="1"/>
    <col min="10755" max="10755" width="15.5703125" style="1118" customWidth="1"/>
    <col min="10756" max="10756" width="15.42578125" style="1118" customWidth="1"/>
    <col min="10757" max="10763" width="9.140625" style="1118" customWidth="1"/>
    <col min="10764" max="11008" width="9.140625" style="1118"/>
    <col min="11009" max="11009" width="11.85546875" style="1118" customWidth="1"/>
    <col min="11010" max="11010" width="54.5703125" style="1118" customWidth="1"/>
    <col min="11011" max="11011" width="15.5703125" style="1118" customWidth="1"/>
    <col min="11012" max="11012" width="15.42578125" style="1118" customWidth="1"/>
    <col min="11013" max="11019" width="9.140625" style="1118" customWidth="1"/>
    <col min="11020" max="11264" width="9.140625" style="1118"/>
    <col min="11265" max="11265" width="11.85546875" style="1118" customWidth="1"/>
    <col min="11266" max="11266" width="54.5703125" style="1118" customWidth="1"/>
    <col min="11267" max="11267" width="15.5703125" style="1118" customWidth="1"/>
    <col min="11268" max="11268" width="15.42578125" style="1118" customWidth="1"/>
    <col min="11269" max="11275" width="9.140625" style="1118" customWidth="1"/>
    <col min="11276" max="11520" width="9.140625" style="1118"/>
    <col min="11521" max="11521" width="11.85546875" style="1118" customWidth="1"/>
    <col min="11522" max="11522" width="54.5703125" style="1118" customWidth="1"/>
    <col min="11523" max="11523" width="15.5703125" style="1118" customWidth="1"/>
    <col min="11524" max="11524" width="15.42578125" style="1118" customWidth="1"/>
    <col min="11525" max="11531" width="9.140625" style="1118" customWidth="1"/>
    <col min="11532" max="11776" width="9.140625" style="1118"/>
    <col min="11777" max="11777" width="11.85546875" style="1118" customWidth="1"/>
    <col min="11778" max="11778" width="54.5703125" style="1118" customWidth="1"/>
    <col min="11779" max="11779" width="15.5703125" style="1118" customWidth="1"/>
    <col min="11780" max="11780" width="15.42578125" style="1118" customWidth="1"/>
    <col min="11781" max="11787" width="9.140625" style="1118" customWidth="1"/>
    <col min="11788" max="12032" width="9.140625" style="1118"/>
    <col min="12033" max="12033" width="11.85546875" style="1118" customWidth="1"/>
    <col min="12034" max="12034" width="54.5703125" style="1118" customWidth="1"/>
    <col min="12035" max="12035" width="15.5703125" style="1118" customWidth="1"/>
    <col min="12036" max="12036" width="15.42578125" style="1118" customWidth="1"/>
    <col min="12037" max="12043" width="9.140625" style="1118" customWidth="1"/>
    <col min="12044" max="12288" width="9.140625" style="1118"/>
    <col min="12289" max="12289" width="11.85546875" style="1118" customWidth="1"/>
    <col min="12290" max="12290" width="54.5703125" style="1118" customWidth="1"/>
    <col min="12291" max="12291" width="15.5703125" style="1118" customWidth="1"/>
    <col min="12292" max="12292" width="15.42578125" style="1118" customWidth="1"/>
    <col min="12293" max="12299" width="9.140625" style="1118" customWidth="1"/>
    <col min="12300" max="12544" width="9.140625" style="1118"/>
    <col min="12545" max="12545" width="11.85546875" style="1118" customWidth="1"/>
    <col min="12546" max="12546" width="54.5703125" style="1118" customWidth="1"/>
    <col min="12547" max="12547" width="15.5703125" style="1118" customWidth="1"/>
    <col min="12548" max="12548" width="15.42578125" style="1118" customWidth="1"/>
    <col min="12549" max="12555" width="9.140625" style="1118" customWidth="1"/>
    <col min="12556" max="12800" width="9.140625" style="1118"/>
    <col min="12801" max="12801" width="11.85546875" style="1118" customWidth="1"/>
    <col min="12802" max="12802" width="54.5703125" style="1118" customWidth="1"/>
    <col min="12803" max="12803" width="15.5703125" style="1118" customWidth="1"/>
    <col min="12804" max="12804" width="15.42578125" style="1118" customWidth="1"/>
    <col min="12805" max="12811" width="9.140625" style="1118" customWidth="1"/>
    <col min="12812" max="13056" width="9.140625" style="1118"/>
    <col min="13057" max="13057" width="11.85546875" style="1118" customWidth="1"/>
    <col min="13058" max="13058" width="54.5703125" style="1118" customWidth="1"/>
    <col min="13059" max="13059" width="15.5703125" style="1118" customWidth="1"/>
    <col min="13060" max="13060" width="15.42578125" style="1118" customWidth="1"/>
    <col min="13061" max="13067" width="9.140625" style="1118" customWidth="1"/>
    <col min="13068" max="13312" width="9.140625" style="1118"/>
    <col min="13313" max="13313" width="11.85546875" style="1118" customWidth="1"/>
    <col min="13314" max="13314" width="54.5703125" style="1118" customWidth="1"/>
    <col min="13315" max="13315" width="15.5703125" style="1118" customWidth="1"/>
    <col min="13316" max="13316" width="15.42578125" style="1118" customWidth="1"/>
    <col min="13317" max="13323" width="9.140625" style="1118" customWidth="1"/>
    <col min="13324" max="13568" width="9.140625" style="1118"/>
    <col min="13569" max="13569" width="11.85546875" style="1118" customWidth="1"/>
    <col min="13570" max="13570" width="54.5703125" style="1118" customWidth="1"/>
    <col min="13571" max="13571" width="15.5703125" style="1118" customWidth="1"/>
    <col min="13572" max="13572" width="15.42578125" style="1118" customWidth="1"/>
    <col min="13573" max="13579" width="9.140625" style="1118" customWidth="1"/>
    <col min="13580" max="13824" width="9.140625" style="1118"/>
    <col min="13825" max="13825" width="11.85546875" style="1118" customWidth="1"/>
    <col min="13826" max="13826" width="54.5703125" style="1118" customWidth="1"/>
    <col min="13827" max="13827" width="15.5703125" style="1118" customWidth="1"/>
    <col min="13828" max="13828" width="15.42578125" style="1118" customWidth="1"/>
    <col min="13829" max="13835" width="9.140625" style="1118" customWidth="1"/>
    <col min="13836" max="14080" width="9.140625" style="1118"/>
    <col min="14081" max="14081" width="11.85546875" style="1118" customWidth="1"/>
    <col min="14082" max="14082" width="54.5703125" style="1118" customWidth="1"/>
    <col min="14083" max="14083" width="15.5703125" style="1118" customWidth="1"/>
    <col min="14084" max="14084" width="15.42578125" style="1118" customWidth="1"/>
    <col min="14085" max="14091" width="9.140625" style="1118" customWidth="1"/>
    <col min="14092" max="14336" width="9.140625" style="1118"/>
    <col min="14337" max="14337" width="11.85546875" style="1118" customWidth="1"/>
    <col min="14338" max="14338" width="54.5703125" style="1118" customWidth="1"/>
    <col min="14339" max="14339" width="15.5703125" style="1118" customWidth="1"/>
    <col min="14340" max="14340" width="15.42578125" style="1118" customWidth="1"/>
    <col min="14341" max="14347" width="9.140625" style="1118" customWidth="1"/>
    <col min="14348" max="14592" width="9.140625" style="1118"/>
    <col min="14593" max="14593" width="11.85546875" style="1118" customWidth="1"/>
    <col min="14594" max="14594" width="54.5703125" style="1118" customWidth="1"/>
    <col min="14595" max="14595" width="15.5703125" style="1118" customWidth="1"/>
    <col min="14596" max="14596" width="15.42578125" style="1118" customWidth="1"/>
    <col min="14597" max="14603" width="9.140625" style="1118" customWidth="1"/>
    <col min="14604" max="14848" width="9.140625" style="1118"/>
    <col min="14849" max="14849" width="11.85546875" style="1118" customWidth="1"/>
    <col min="14850" max="14850" width="54.5703125" style="1118" customWidth="1"/>
    <col min="14851" max="14851" width="15.5703125" style="1118" customWidth="1"/>
    <col min="14852" max="14852" width="15.42578125" style="1118" customWidth="1"/>
    <col min="14853" max="14859" width="9.140625" style="1118" customWidth="1"/>
    <col min="14860" max="15104" width="9.140625" style="1118"/>
    <col min="15105" max="15105" width="11.85546875" style="1118" customWidth="1"/>
    <col min="15106" max="15106" width="54.5703125" style="1118" customWidth="1"/>
    <col min="15107" max="15107" width="15.5703125" style="1118" customWidth="1"/>
    <col min="15108" max="15108" width="15.42578125" style="1118" customWidth="1"/>
    <col min="15109" max="15115" width="9.140625" style="1118" customWidth="1"/>
    <col min="15116" max="15360" width="9.140625" style="1118"/>
    <col min="15361" max="15361" width="11.85546875" style="1118" customWidth="1"/>
    <col min="15362" max="15362" width="54.5703125" style="1118" customWidth="1"/>
    <col min="15363" max="15363" width="15.5703125" style="1118" customWidth="1"/>
    <col min="15364" max="15364" width="15.42578125" style="1118" customWidth="1"/>
    <col min="15365" max="15371" width="9.140625" style="1118" customWidth="1"/>
    <col min="15372" max="15616" width="9.140625" style="1118"/>
    <col min="15617" max="15617" width="11.85546875" style="1118" customWidth="1"/>
    <col min="15618" max="15618" width="54.5703125" style="1118" customWidth="1"/>
    <col min="15619" max="15619" width="15.5703125" style="1118" customWidth="1"/>
    <col min="15620" max="15620" width="15.42578125" style="1118" customWidth="1"/>
    <col min="15621" max="15627" width="9.140625" style="1118" customWidth="1"/>
    <col min="15628" max="15872" width="9.140625" style="1118"/>
    <col min="15873" max="15873" width="11.85546875" style="1118" customWidth="1"/>
    <col min="15874" max="15874" width="54.5703125" style="1118" customWidth="1"/>
    <col min="15875" max="15875" width="15.5703125" style="1118" customWidth="1"/>
    <col min="15876" max="15876" width="15.42578125" style="1118" customWidth="1"/>
    <col min="15877" max="15883" width="9.140625" style="1118" customWidth="1"/>
    <col min="15884" max="16128" width="9.140625" style="1118"/>
    <col min="16129" max="16129" width="11.85546875" style="1118" customWidth="1"/>
    <col min="16130" max="16130" width="54.5703125" style="1118" customWidth="1"/>
    <col min="16131" max="16131" width="15.5703125" style="1118" customWidth="1"/>
    <col min="16132" max="16132" width="15.42578125" style="1118" customWidth="1"/>
    <col min="16133" max="16139" width="9.140625" style="1118" customWidth="1"/>
    <col min="16140" max="16384" width="9.140625" style="1118"/>
  </cols>
  <sheetData>
    <row r="1" spans="1:16" s="1101" customFormat="1" ht="21" customHeight="1" thickBot="1" x14ac:dyDescent="0.3">
      <c r="A1" s="1863" t="s">
        <v>1233</v>
      </c>
      <c r="B1" s="1863"/>
      <c r="C1" s="1863"/>
      <c r="D1" s="1863"/>
    </row>
    <row r="2" spans="1:16" s="1106" customFormat="1" ht="25.5" customHeight="1" x14ac:dyDescent="0.25">
      <c r="A2" s="1102" t="s">
        <v>943</v>
      </c>
      <c r="B2" s="1281" t="s">
        <v>976</v>
      </c>
      <c r="C2" s="1864" t="s">
        <v>977</v>
      </c>
      <c r="D2" s="1859"/>
    </row>
    <row r="3" spans="1:16" s="1106" customFormat="1" ht="24.75" thickBot="1" x14ac:dyDescent="0.3">
      <c r="A3" s="1248" t="s">
        <v>652</v>
      </c>
      <c r="B3" s="1282" t="s">
        <v>1212</v>
      </c>
      <c r="C3" s="1865"/>
      <c r="D3" s="1861"/>
    </row>
    <row r="4" spans="1:16" s="1113" customFormat="1" ht="15.95" customHeight="1" thickBot="1" x14ac:dyDescent="0.3">
      <c r="A4" s="1110"/>
      <c r="B4" s="1110"/>
      <c r="C4" s="1866" t="s">
        <v>654</v>
      </c>
      <c r="D4" s="1867"/>
    </row>
    <row r="5" spans="1:16" ht="36.75" thickBot="1" x14ac:dyDescent="0.3">
      <c r="A5" s="1239" t="s">
        <v>655</v>
      </c>
      <c r="B5" s="1115" t="s">
        <v>656</v>
      </c>
      <c r="C5" s="1283" t="s">
        <v>927</v>
      </c>
      <c r="D5" s="1284" t="s">
        <v>928</v>
      </c>
      <c r="E5" s="1285" t="s">
        <v>978</v>
      </c>
      <c r="F5" s="1285" t="s">
        <v>979</v>
      </c>
      <c r="G5" s="1285" t="s">
        <v>685</v>
      </c>
      <c r="H5" s="1285" t="s">
        <v>665</v>
      </c>
      <c r="I5" s="1285" t="s">
        <v>980</v>
      </c>
      <c r="J5" s="1285" t="s">
        <v>687</v>
      </c>
      <c r="K5" s="1285" t="s">
        <v>981</v>
      </c>
      <c r="L5" s="1286"/>
      <c r="M5" s="1286"/>
      <c r="N5" s="1286"/>
      <c r="O5" s="1286"/>
      <c r="P5" s="1286"/>
    </row>
    <row r="6" spans="1:16" s="1125" customFormat="1" ht="12.95" customHeight="1" thickBot="1" x14ac:dyDescent="0.3">
      <c r="A6" s="1119">
        <v>1</v>
      </c>
      <c r="B6" s="1121">
        <v>2</v>
      </c>
      <c r="C6" s="1287">
        <v>3</v>
      </c>
      <c r="D6" s="1122">
        <v>4</v>
      </c>
    </row>
    <row r="7" spans="1:16" s="1125" customFormat="1" ht="15.95" customHeight="1" thickBot="1" x14ac:dyDescent="0.3">
      <c r="A7" s="1814" t="s">
        <v>657</v>
      </c>
      <c r="B7" s="1815"/>
      <c r="C7" s="1815"/>
      <c r="D7" s="1816"/>
    </row>
    <row r="8" spans="1:16" s="1138" customFormat="1" ht="12" customHeight="1" thickBot="1" x14ac:dyDescent="0.3">
      <c r="A8" s="1119" t="s">
        <v>696</v>
      </c>
      <c r="B8" s="1288" t="s">
        <v>948</v>
      </c>
      <c r="C8" s="1289">
        <f>SUM(C9:C18)</f>
        <v>2210100</v>
      </c>
      <c r="D8" s="1253">
        <f>SUM(D9:D18)</f>
        <v>2210100</v>
      </c>
      <c r="E8" s="1117"/>
      <c r="F8" s="1117"/>
      <c r="G8" s="1117"/>
      <c r="H8" s="1117"/>
      <c r="I8" s="1117"/>
      <c r="J8" s="1117"/>
      <c r="K8" s="1117"/>
    </row>
    <row r="9" spans="1:16" s="1138" customFormat="1" ht="12" customHeight="1" x14ac:dyDescent="0.25">
      <c r="A9" s="1255" t="s">
        <v>698</v>
      </c>
      <c r="B9" s="1290" t="s">
        <v>756</v>
      </c>
      <c r="C9" s="1291">
        <f>SUM(E9:O9)</f>
        <v>0</v>
      </c>
      <c r="D9" s="1702">
        <f>C9</f>
        <v>0</v>
      </c>
      <c r="E9" s="1117"/>
      <c r="F9" s="1117"/>
      <c r="G9" s="1117"/>
      <c r="H9" s="1117"/>
      <c r="I9" s="1117"/>
      <c r="J9" s="1117"/>
      <c r="K9" s="1117"/>
    </row>
    <row r="10" spans="1:16" s="1138" customFormat="1" ht="12" customHeight="1" x14ac:dyDescent="0.25">
      <c r="A10" s="1258" t="s">
        <v>700</v>
      </c>
      <c r="B10" s="1292" t="s">
        <v>758</v>
      </c>
      <c r="C10" s="1291">
        <f t="shared" ref="C10:C23" si="0">SUM(E10:O10)</f>
        <v>0</v>
      </c>
      <c r="D10" s="1703">
        <f t="shared" ref="D10:D18" si="1">C10</f>
        <v>0</v>
      </c>
      <c r="E10" s="1117"/>
      <c r="F10" s="1117"/>
      <c r="G10" s="1117"/>
      <c r="H10" s="1117"/>
      <c r="I10" s="1117"/>
      <c r="J10" s="1117"/>
      <c r="K10" s="1117"/>
    </row>
    <row r="11" spans="1:16" s="1138" customFormat="1" ht="12" customHeight="1" x14ac:dyDescent="0.25">
      <c r="A11" s="1258" t="s">
        <v>702</v>
      </c>
      <c r="B11" s="1292" t="s">
        <v>760</v>
      </c>
      <c r="C11" s="1291">
        <f t="shared" si="0"/>
        <v>1730000</v>
      </c>
      <c r="D11" s="1703">
        <f t="shared" si="1"/>
        <v>1730000</v>
      </c>
      <c r="E11" s="1117"/>
      <c r="F11" s="1117"/>
      <c r="G11" s="1117">
        <v>1730000</v>
      </c>
      <c r="H11" s="1117"/>
      <c r="I11" s="1117"/>
      <c r="J11" s="1117"/>
      <c r="K11" s="1117"/>
    </row>
    <row r="12" spans="1:16" s="1138" customFormat="1" ht="12" customHeight="1" x14ac:dyDescent="0.25">
      <c r="A12" s="1258" t="s">
        <v>704</v>
      </c>
      <c r="B12" s="1292" t="s">
        <v>762</v>
      </c>
      <c r="C12" s="1291">
        <f t="shared" si="0"/>
        <v>0</v>
      </c>
      <c r="D12" s="1703">
        <f t="shared" si="1"/>
        <v>0</v>
      </c>
      <c r="E12" s="1117"/>
      <c r="F12" s="1117"/>
      <c r="G12" s="1117"/>
      <c r="H12" s="1117"/>
      <c r="I12" s="1117"/>
      <c r="J12" s="1117"/>
      <c r="K12" s="1117"/>
    </row>
    <row r="13" spans="1:16" s="1138" customFormat="1" ht="12" customHeight="1" x14ac:dyDescent="0.25">
      <c r="A13" s="1258" t="s">
        <v>706</v>
      </c>
      <c r="B13" s="1292" t="s">
        <v>764</v>
      </c>
      <c r="C13" s="1291">
        <f t="shared" si="0"/>
        <v>0</v>
      </c>
      <c r="D13" s="1703">
        <f t="shared" si="1"/>
        <v>0</v>
      </c>
      <c r="E13" s="1117"/>
      <c r="F13" s="1117"/>
      <c r="G13" s="1117"/>
      <c r="H13" s="1117"/>
      <c r="I13" s="1117"/>
      <c r="J13" s="1117"/>
      <c r="K13" s="1117"/>
    </row>
    <row r="14" spans="1:16" s="1138" customFormat="1" ht="12" customHeight="1" x14ac:dyDescent="0.25">
      <c r="A14" s="1258" t="s">
        <v>708</v>
      </c>
      <c r="B14" s="1292" t="s">
        <v>949</v>
      </c>
      <c r="C14" s="1291">
        <f t="shared" si="0"/>
        <v>467100</v>
      </c>
      <c r="D14" s="1703">
        <f t="shared" si="1"/>
        <v>467100</v>
      </c>
      <c r="E14" s="1117"/>
      <c r="F14" s="1117"/>
      <c r="G14" s="1117">
        <v>467100</v>
      </c>
      <c r="H14" s="1117"/>
      <c r="I14" s="1117"/>
      <c r="J14" s="1117"/>
      <c r="K14" s="1117"/>
    </row>
    <row r="15" spans="1:16" s="1138" customFormat="1" ht="12" customHeight="1" x14ac:dyDescent="0.25">
      <c r="A15" s="1258" t="s">
        <v>862</v>
      </c>
      <c r="B15" s="1293" t="s">
        <v>950</v>
      </c>
      <c r="C15" s="1291">
        <f t="shared" si="0"/>
        <v>0</v>
      </c>
      <c r="D15" s="1703">
        <f t="shared" si="1"/>
        <v>0</v>
      </c>
      <c r="E15" s="1117"/>
      <c r="F15" s="1117"/>
      <c r="G15" s="1117"/>
      <c r="H15" s="1117"/>
      <c r="I15" s="1117"/>
      <c r="J15" s="1117"/>
      <c r="K15" s="1117"/>
    </row>
    <row r="16" spans="1:16" s="1138" customFormat="1" ht="12" customHeight="1" x14ac:dyDescent="0.25">
      <c r="A16" s="1258" t="s">
        <v>864</v>
      </c>
      <c r="B16" s="1292" t="s">
        <v>770</v>
      </c>
      <c r="C16" s="1291">
        <f t="shared" si="0"/>
        <v>0</v>
      </c>
      <c r="D16" s="1703">
        <f t="shared" si="1"/>
        <v>0</v>
      </c>
      <c r="E16" s="1117"/>
      <c r="F16" s="1117"/>
      <c r="G16" s="1117"/>
      <c r="H16" s="1117"/>
      <c r="I16" s="1117"/>
      <c r="J16" s="1117"/>
      <c r="K16" s="1117"/>
    </row>
    <row r="17" spans="1:11" s="1142" customFormat="1" ht="12" customHeight="1" x14ac:dyDescent="0.25">
      <c r="A17" s="1258" t="s">
        <v>866</v>
      </c>
      <c r="B17" s="1292" t="s">
        <v>772</v>
      </c>
      <c r="C17" s="1291">
        <f t="shared" si="0"/>
        <v>0</v>
      </c>
      <c r="D17" s="1703">
        <f t="shared" si="1"/>
        <v>0</v>
      </c>
      <c r="E17" s="1117"/>
      <c r="F17" s="1117"/>
      <c r="G17" s="1117"/>
      <c r="H17" s="1117"/>
      <c r="I17" s="1117"/>
      <c r="J17" s="1117"/>
      <c r="K17" s="1117"/>
    </row>
    <row r="18" spans="1:11" s="1142" customFormat="1" ht="12" customHeight="1" thickBot="1" x14ac:dyDescent="0.3">
      <c r="A18" s="1258" t="s">
        <v>868</v>
      </c>
      <c r="B18" s="1293" t="s">
        <v>774</v>
      </c>
      <c r="C18" s="1291">
        <f t="shared" si="0"/>
        <v>13000</v>
      </c>
      <c r="D18" s="1704">
        <f t="shared" si="1"/>
        <v>13000</v>
      </c>
      <c r="E18" s="1117">
        <v>10000</v>
      </c>
      <c r="F18" s="1117"/>
      <c r="G18" s="1117"/>
      <c r="H18" s="1117"/>
      <c r="I18" s="1117">
        <v>3000</v>
      </c>
      <c r="J18" s="1117"/>
      <c r="K18" s="1117"/>
    </row>
    <row r="19" spans="1:11" s="1138" customFormat="1" ht="12" customHeight="1" thickBot="1" x14ac:dyDescent="0.3">
      <c r="A19" s="1119" t="s">
        <v>710</v>
      </c>
      <c r="B19" s="1288" t="s">
        <v>951</v>
      </c>
      <c r="C19" s="1289">
        <f>SUM(C20:C22)</f>
        <v>0</v>
      </c>
      <c r="D19" s="1253">
        <f>SUM(D20:D22)</f>
        <v>0</v>
      </c>
      <c r="E19" s="1117"/>
      <c r="F19" s="1117"/>
      <c r="G19" s="1117"/>
      <c r="H19" s="1117"/>
      <c r="I19" s="1117"/>
      <c r="J19" s="1117"/>
      <c r="K19" s="1117"/>
    </row>
    <row r="20" spans="1:11" s="1142" customFormat="1" ht="12" customHeight="1" x14ac:dyDescent="0.25">
      <c r="A20" s="1258" t="s">
        <v>712</v>
      </c>
      <c r="B20" s="1294" t="s">
        <v>713</v>
      </c>
      <c r="C20" s="1291">
        <f t="shared" si="0"/>
        <v>0</v>
      </c>
      <c r="D20" s="1702">
        <f>C20</f>
        <v>0</v>
      </c>
      <c r="E20" s="1117"/>
      <c r="F20" s="1117"/>
      <c r="G20" s="1117"/>
      <c r="H20" s="1117"/>
      <c r="I20" s="1117"/>
      <c r="J20" s="1117"/>
      <c r="K20" s="1117"/>
    </row>
    <row r="21" spans="1:11" s="1142" customFormat="1" ht="12" customHeight="1" x14ac:dyDescent="0.25">
      <c r="A21" s="1258" t="s">
        <v>714</v>
      </c>
      <c r="B21" s="1292" t="s">
        <v>952</v>
      </c>
      <c r="C21" s="1291">
        <f t="shared" si="0"/>
        <v>0</v>
      </c>
      <c r="D21" s="1703">
        <f t="shared" ref="D21:D23" si="2">C21</f>
        <v>0</v>
      </c>
      <c r="E21" s="1117"/>
      <c r="F21" s="1117"/>
      <c r="G21" s="1117"/>
      <c r="H21" s="1117"/>
      <c r="I21" s="1117"/>
      <c r="J21" s="1117"/>
      <c r="K21" s="1117"/>
    </row>
    <row r="22" spans="1:11" s="1142" customFormat="1" ht="12" customHeight="1" x14ac:dyDescent="0.25">
      <c r="A22" s="1258" t="s">
        <v>716</v>
      </c>
      <c r="B22" s="1292" t="s">
        <v>953</v>
      </c>
      <c r="C22" s="1291">
        <f t="shared" si="0"/>
        <v>0</v>
      </c>
      <c r="D22" s="1703">
        <f t="shared" si="2"/>
        <v>0</v>
      </c>
      <c r="E22" s="1117"/>
      <c r="F22" s="1117"/>
      <c r="G22" s="1117"/>
      <c r="H22" s="1117"/>
      <c r="I22" s="1117"/>
      <c r="J22" s="1117"/>
      <c r="K22" s="1117"/>
    </row>
    <row r="23" spans="1:11" s="1142" customFormat="1" ht="12" customHeight="1" thickBot="1" x14ac:dyDescent="0.3">
      <c r="A23" s="1258" t="s">
        <v>718</v>
      </c>
      <c r="B23" s="1292" t="s">
        <v>954</v>
      </c>
      <c r="C23" s="1291">
        <f t="shared" si="0"/>
        <v>0</v>
      </c>
      <c r="D23" s="1704">
        <f t="shared" si="2"/>
        <v>0</v>
      </c>
      <c r="E23" s="1117"/>
      <c r="F23" s="1117"/>
      <c r="G23" s="1117"/>
      <c r="H23" s="1117"/>
      <c r="I23" s="1117"/>
      <c r="J23" s="1117"/>
      <c r="K23" s="1117"/>
    </row>
    <row r="24" spans="1:11" s="1142" customFormat="1" ht="12" customHeight="1" thickBot="1" x14ac:dyDescent="0.3">
      <c r="A24" s="1263" t="s">
        <v>724</v>
      </c>
      <c r="B24" s="1295" t="s">
        <v>250</v>
      </c>
      <c r="C24" s="1296"/>
      <c r="D24" s="1264"/>
      <c r="E24" s="1117"/>
      <c r="F24" s="1117"/>
      <c r="G24" s="1117"/>
      <c r="H24" s="1117"/>
      <c r="I24" s="1117"/>
      <c r="J24" s="1117"/>
      <c r="K24" s="1117"/>
    </row>
    <row r="25" spans="1:11" s="1142" customFormat="1" ht="12" customHeight="1" thickBot="1" x14ac:dyDescent="0.3">
      <c r="A25" s="1263" t="s">
        <v>900</v>
      </c>
      <c r="B25" s="1295" t="s">
        <v>955</v>
      </c>
      <c r="C25" s="1289">
        <f>+C26+C27</f>
        <v>0</v>
      </c>
      <c r="D25" s="1253">
        <f>+D26+D27</f>
        <v>0</v>
      </c>
      <c r="E25" s="1117"/>
      <c r="F25" s="1117"/>
      <c r="G25" s="1117"/>
      <c r="H25" s="1117"/>
      <c r="I25" s="1117"/>
      <c r="J25" s="1117"/>
      <c r="K25" s="1117"/>
    </row>
    <row r="26" spans="1:11" s="1142" customFormat="1" ht="12" customHeight="1" x14ac:dyDescent="0.25">
      <c r="A26" s="1265" t="s">
        <v>740</v>
      </c>
      <c r="B26" s="1297" t="s">
        <v>952</v>
      </c>
      <c r="C26" s="1291">
        <f t="shared" ref="C26:C32" si="3">SUM(E26:O26)</f>
        <v>0</v>
      </c>
      <c r="D26" s="1702">
        <f t="shared" ref="D26:D28" si="4">C26</f>
        <v>0</v>
      </c>
      <c r="E26" s="1117"/>
      <c r="F26" s="1117"/>
      <c r="G26" s="1117"/>
      <c r="H26" s="1117"/>
      <c r="I26" s="1117"/>
      <c r="J26" s="1117"/>
      <c r="K26" s="1117"/>
    </row>
    <row r="27" spans="1:11" s="1142" customFormat="1" ht="12" customHeight="1" x14ac:dyDescent="0.25">
      <c r="A27" s="1265" t="s">
        <v>752</v>
      </c>
      <c r="B27" s="1298" t="s">
        <v>956</v>
      </c>
      <c r="C27" s="1291">
        <f t="shared" si="3"/>
        <v>0</v>
      </c>
      <c r="D27" s="1703">
        <f t="shared" si="4"/>
        <v>0</v>
      </c>
      <c r="E27" s="1117"/>
      <c r="F27" s="1117"/>
      <c r="G27" s="1117"/>
      <c r="H27" s="1117"/>
      <c r="I27" s="1117"/>
      <c r="J27" s="1117"/>
      <c r="K27" s="1117"/>
    </row>
    <row r="28" spans="1:11" s="1142" customFormat="1" ht="12" customHeight="1" thickBot="1" x14ac:dyDescent="0.3">
      <c r="A28" s="1258" t="s">
        <v>957</v>
      </c>
      <c r="B28" s="1299" t="s">
        <v>958</v>
      </c>
      <c r="C28" s="1291">
        <f t="shared" si="3"/>
        <v>0</v>
      </c>
      <c r="D28" s="1704">
        <f t="shared" si="4"/>
        <v>0</v>
      </c>
      <c r="E28" s="1117"/>
      <c r="F28" s="1117"/>
      <c r="G28" s="1117"/>
      <c r="H28" s="1117"/>
      <c r="I28" s="1117"/>
      <c r="J28" s="1117"/>
      <c r="K28" s="1117"/>
    </row>
    <row r="29" spans="1:11" s="1142" customFormat="1" ht="12" customHeight="1" thickBot="1" x14ac:dyDescent="0.3">
      <c r="A29" s="1263" t="s">
        <v>753</v>
      </c>
      <c r="B29" s="1295" t="s">
        <v>959</v>
      </c>
      <c r="C29" s="1289">
        <f>+C30+C31+C32</f>
        <v>0</v>
      </c>
      <c r="D29" s="1253">
        <f>+D30+D31+D32</f>
        <v>0</v>
      </c>
      <c r="E29" s="1117"/>
      <c r="F29" s="1117"/>
      <c r="G29" s="1117"/>
      <c r="H29" s="1117"/>
      <c r="I29" s="1117"/>
      <c r="J29" s="1117"/>
      <c r="K29" s="1117"/>
    </row>
    <row r="30" spans="1:11" s="1142" customFormat="1" ht="12" customHeight="1" x14ac:dyDescent="0.25">
      <c r="A30" s="1265" t="s">
        <v>755</v>
      </c>
      <c r="B30" s="1297" t="s">
        <v>778</v>
      </c>
      <c r="C30" s="1291">
        <f t="shared" si="3"/>
        <v>0</v>
      </c>
      <c r="D30" s="1702">
        <f t="shared" ref="D30:D32" si="5">C30</f>
        <v>0</v>
      </c>
      <c r="E30" s="1117"/>
      <c r="F30" s="1117"/>
      <c r="G30" s="1117"/>
      <c r="H30" s="1117"/>
      <c r="I30" s="1117"/>
      <c r="J30" s="1117"/>
      <c r="K30" s="1117"/>
    </row>
    <row r="31" spans="1:11" s="1142" customFormat="1" ht="12" customHeight="1" x14ac:dyDescent="0.25">
      <c r="A31" s="1265" t="s">
        <v>757</v>
      </c>
      <c r="B31" s="1298" t="s">
        <v>525</v>
      </c>
      <c r="C31" s="1291">
        <f t="shared" si="3"/>
        <v>0</v>
      </c>
      <c r="D31" s="1703">
        <f t="shared" si="5"/>
        <v>0</v>
      </c>
      <c r="E31" s="1117"/>
      <c r="F31" s="1117"/>
      <c r="G31" s="1117"/>
      <c r="H31" s="1117"/>
      <c r="I31" s="1117"/>
      <c r="J31" s="1117"/>
      <c r="K31" s="1117"/>
    </row>
    <row r="32" spans="1:11" s="1142" customFormat="1" ht="12" customHeight="1" thickBot="1" x14ac:dyDescent="0.3">
      <c r="A32" s="1258" t="s">
        <v>759</v>
      </c>
      <c r="B32" s="1300" t="s">
        <v>781</v>
      </c>
      <c r="C32" s="1291">
        <f t="shared" si="3"/>
        <v>0</v>
      </c>
      <c r="D32" s="1704">
        <f t="shared" si="5"/>
        <v>0</v>
      </c>
      <c r="E32" s="1117"/>
      <c r="F32" s="1117"/>
      <c r="G32" s="1117"/>
      <c r="H32" s="1117"/>
      <c r="I32" s="1117"/>
      <c r="J32" s="1117"/>
      <c r="K32" s="1117"/>
    </row>
    <row r="33" spans="1:14" s="1138" customFormat="1" ht="12" customHeight="1" thickBot="1" x14ac:dyDescent="0.3">
      <c r="A33" s="1263" t="s">
        <v>775</v>
      </c>
      <c r="B33" s="1295" t="s">
        <v>960</v>
      </c>
      <c r="C33" s="1296"/>
      <c r="D33" s="1264"/>
      <c r="E33" s="1117"/>
      <c r="F33" s="1117"/>
      <c r="G33" s="1117"/>
      <c r="H33" s="1117"/>
      <c r="I33" s="1117"/>
      <c r="J33" s="1117"/>
      <c r="K33" s="1117"/>
    </row>
    <row r="34" spans="1:14" s="1138" customFormat="1" ht="12" customHeight="1" thickBot="1" x14ac:dyDescent="0.3">
      <c r="A34" s="1263" t="s">
        <v>911</v>
      </c>
      <c r="B34" s="1295" t="s">
        <v>961</v>
      </c>
      <c r="C34" s="1296"/>
      <c r="D34" s="1272"/>
      <c r="E34" s="1117"/>
      <c r="F34" s="1117"/>
      <c r="G34" s="1117"/>
      <c r="H34" s="1117"/>
      <c r="I34" s="1117"/>
      <c r="J34" s="1117"/>
      <c r="K34" s="1117"/>
    </row>
    <row r="35" spans="1:14" s="1138" customFormat="1" ht="12" customHeight="1" thickBot="1" x14ac:dyDescent="0.3">
      <c r="A35" s="1119" t="s">
        <v>796</v>
      </c>
      <c r="B35" s="1295" t="s">
        <v>962</v>
      </c>
      <c r="C35" s="1289">
        <f>+C8+C19+C24+C25+C29+C33+C34</f>
        <v>2210100</v>
      </c>
      <c r="D35" s="1273">
        <f>+D8+D19+D24+D25+D29+D33+D34</f>
        <v>2210100</v>
      </c>
      <c r="E35" s="1117"/>
      <c r="F35" s="1117"/>
      <c r="G35" s="1117"/>
      <c r="H35" s="1117"/>
      <c r="I35" s="1117"/>
      <c r="J35" s="1117"/>
      <c r="K35" s="1117"/>
    </row>
    <row r="36" spans="1:14" s="1138" customFormat="1" ht="12" customHeight="1" thickBot="1" x14ac:dyDescent="0.3">
      <c r="A36" s="1274" t="s">
        <v>806</v>
      </c>
      <c r="B36" s="1295" t="s">
        <v>963</v>
      </c>
      <c r="C36" s="1289">
        <f>+C37+C38+C39</f>
        <v>97571668</v>
      </c>
      <c r="D36" s="1273">
        <f>+D37+D38+D39</f>
        <v>101151169</v>
      </c>
      <c r="E36" s="1117"/>
      <c r="F36" s="1117"/>
      <c r="G36" s="1117"/>
      <c r="H36" s="1117"/>
      <c r="I36" s="1117"/>
      <c r="J36" s="1117"/>
      <c r="K36" s="1117"/>
    </row>
    <row r="37" spans="1:14" s="1138" customFormat="1" ht="12" customHeight="1" x14ac:dyDescent="0.25">
      <c r="A37" s="1265" t="s">
        <v>964</v>
      </c>
      <c r="B37" s="1297" t="s">
        <v>965</v>
      </c>
      <c r="C37" s="1291">
        <f>SUM(E37:O37)</f>
        <v>0</v>
      </c>
      <c r="D37" s="1702">
        <f>C37+83501</f>
        <v>83501</v>
      </c>
      <c r="E37" s="1117"/>
      <c r="F37" s="1117"/>
      <c r="G37" s="1117"/>
      <c r="H37" s="1117"/>
      <c r="I37" s="1117"/>
      <c r="J37" s="1117"/>
      <c r="K37" s="1117"/>
    </row>
    <row r="38" spans="1:14" s="1138" customFormat="1" ht="12" customHeight="1" x14ac:dyDescent="0.25">
      <c r="A38" s="1265" t="s">
        <v>966</v>
      </c>
      <c r="B38" s="1298" t="s">
        <v>967</v>
      </c>
      <c r="C38" s="1291">
        <f>SUM(E38:O38)</f>
        <v>0</v>
      </c>
      <c r="D38" s="1703">
        <f t="shared" ref="D38" si="6">C38</f>
        <v>0</v>
      </c>
      <c r="E38" s="1117"/>
      <c r="F38" s="1117"/>
      <c r="G38" s="1117"/>
      <c r="H38" s="1117"/>
      <c r="I38" s="1117"/>
      <c r="J38" s="1117"/>
      <c r="K38" s="1117"/>
    </row>
    <row r="39" spans="1:14" s="1142" customFormat="1" ht="12" customHeight="1" thickBot="1" x14ac:dyDescent="0.3">
      <c r="A39" s="1258" t="s">
        <v>968</v>
      </c>
      <c r="B39" s="1300" t="s">
        <v>969</v>
      </c>
      <c r="C39" s="1291">
        <f>SUM(E39:O39)</f>
        <v>97571668</v>
      </c>
      <c r="D39" s="1704">
        <f>C39+1600000-500000+2006000+300000+90000</f>
        <v>101067668</v>
      </c>
      <c r="E39" s="1117"/>
      <c r="F39" s="1117"/>
      <c r="G39" s="1117"/>
      <c r="H39" s="1117">
        <v>97571668</v>
      </c>
      <c r="I39" s="1117"/>
      <c r="J39" s="1117"/>
      <c r="K39" s="1117"/>
    </row>
    <row r="40" spans="1:14" s="1142" customFormat="1" ht="15" customHeight="1" thickBot="1" x14ac:dyDescent="0.25">
      <c r="A40" s="1274" t="s">
        <v>923</v>
      </c>
      <c r="B40" s="1301" t="s">
        <v>970</v>
      </c>
      <c r="C40" s="1302">
        <f>+C35+C36</f>
        <v>99781768</v>
      </c>
      <c r="D40" s="1276">
        <f>+D35+D36</f>
        <v>103361269</v>
      </c>
      <c r="E40" s="1117">
        <f>SUM(E8:E39)</f>
        <v>10000</v>
      </c>
      <c r="F40" s="1117">
        <f t="shared" ref="F40:K40" si="7">SUM(F8:F39)</f>
        <v>0</v>
      </c>
      <c r="G40" s="1117">
        <f t="shared" si="7"/>
        <v>2197100</v>
      </c>
      <c r="H40" s="1117">
        <f t="shared" si="7"/>
        <v>97571668</v>
      </c>
      <c r="I40" s="1117">
        <f t="shared" si="7"/>
        <v>3000</v>
      </c>
      <c r="J40" s="1117">
        <f t="shared" si="7"/>
        <v>0</v>
      </c>
      <c r="K40" s="1117">
        <f t="shared" si="7"/>
        <v>0</v>
      </c>
    </row>
    <row r="41" spans="1:14" s="1142" customFormat="1" ht="15" customHeight="1" x14ac:dyDescent="0.25">
      <c r="A41" s="1178"/>
      <c r="B41" s="1179"/>
      <c r="C41" s="1180"/>
      <c r="D41" s="1180"/>
      <c r="E41" s="1117"/>
      <c r="F41" s="1117"/>
      <c r="G41" s="1117"/>
      <c r="H41" s="1117"/>
      <c r="I41" s="1117"/>
      <c r="J41" s="1117"/>
      <c r="K41" s="1117"/>
    </row>
    <row r="42" spans="1:14" ht="13.5" thickBot="1" x14ac:dyDescent="0.3">
      <c r="A42" s="1277"/>
      <c r="B42" s="1183"/>
      <c r="C42" s="1184"/>
      <c r="D42" s="1184"/>
      <c r="E42" s="1117"/>
      <c r="F42" s="1117"/>
      <c r="G42" s="1117"/>
      <c r="H42" s="1117"/>
      <c r="I42" s="1117"/>
      <c r="J42" s="1117"/>
      <c r="K42" s="1117"/>
    </row>
    <row r="43" spans="1:14" s="1125" customFormat="1" ht="16.5" customHeight="1" thickBot="1" x14ac:dyDescent="0.3">
      <c r="A43" s="1814" t="s">
        <v>856</v>
      </c>
      <c r="B43" s="1815"/>
      <c r="C43" s="1815"/>
      <c r="D43" s="1816"/>
      <c r="E43" s="1132"/>
      <c r="F43" s="1132"/>
      <c r="G43" s="1132"/>
      <c r="H43" s="1132"/>
      <c r="I43" s="1132"/>
      <c r="J43" s="1132"/>
      <c r="K43" s="1132"/>
    </row>
    <row r="44" spans="1:14" s="1189" customFormat="1" ht="12" customHeight="1" thickBot="1" x14ac:dyDescent="0.3">
      <c r="A44" s="1263" t="s">
        <v>696</v>
      </c>
      <c r="B44" s="1295" t="s">
        <v>971</v>
      </c>
      <c r="C44" s="1289">
        <f>SUM(C45:C49)</f>
        <v>98886274</v>
      </c>
      <c r="D44" s="1253">
        <f>SUM(D45:D49)</f>
        <v>102292274</v>
      </c>
      <c r="E44" s="1117"/>
      <c r="F44" s="1117"/>
      <c r="G44" s="1117"/>
      <c r="H44" s="1117"/>
      <c r="I44" s="1117"/>
      <c r="J44" s="1117"/>
      <c r="K44" s="1117"/>
    </row>
    <row r="45" spans="1:14" ht="12" customHeight="1" x14ac:dyDescent="0.25">
      <c r="A45" s="1258" t="s">
        <v>698</v>
      </c>
      <c r="B45" s="1294" t="s">
        <v>858</v>
      </c>
      <c r="C45" s="1291">
        <f>SUM(E45:O45)</f>
        <v>73086649</v>
      </c>
      <c r="D45" s="1702">
        <f>C45-200000+200000+1380000-500000+1736000</f>
        <v>75702649</v>
      </c>
      <c r="E45" s="1117">
        <v>58137436</v>
      </c>
      <c r="F45" s="1117">
        <v>1920000</v>
      </c>
      <c r="G45" s="1117"/>
      <c r="H45" s="1117"/>
      <c r="I45" s="1117">
        <v>13029213</v>
      </c>
      <c r="J45" s="1117"/>
      <c r="K45" s="1117"/>
      <c r="L45" s="1117"/>
      <c r="M45" s="1117"/>
      <c r="N45" s="1117"/>
    </row>
    <row r="46" spans="1:14" ht="12" customHeight="1" x14ac:dyDescent="0.25">
      <c r="A46" s="1258" t="s">
        <v>700</v>
      </c>
      <c r="B46" s="1292" t="s">
        <v>25</v>
      </c>
      <c r="C46" s="1291">
        <f>SUM(E46:O46)</f>
        <v>14258518</v>
      </c>
      <c r="D46" s="1703">
        <f>C46+220000+270000</f>
        <v>14748518</v>
      </c>
      <c r="E46" s="1117">
        <v>10647342</v>
      </c>
      <c r="F46" s="1117">
        <v>336000</v>
      </c>
      <c r="G46" s="1117"/>
      <c r="H46" s="1117"/>
      <c r="I46" s="1117">
        <v>3275176</v>
      </c>
      <c r="J46" s="1117"/>
      <c r="K46" s="1117"/>
      <c r="L46" s="1117"/>
      <c r="M46" s="1117"/>
      <c r="N46" s="1117"/>
    </row>
    <row r="47" spans="1:14" ht="12" customHeight="1" x14ac:dyDescent="0.25">
      <c r="A47" s="1258" t="s">
        <v>702</v>
      </c>
      <c r="B47" s="1292" t="s">
        <v>859</v>
      </c>
      <c r="C47" s="1291">
        <f>SUM(E47:O47)</f>
        <v>11541107</v>
      </c>
      <c r="D47" s="1703">
        <f>C47+300000+100000-100000+15000-15000</f>
        <v>11841107</v>
      </c>
      <c r="E47" s="1117">
        <v>1333860</v>
      </c>
      <c r="F47" s="1117">
        <f>2880000-869963</f>
        <v>2010037</v>
      </c>
      <c r="G47" s="1117">
        <v>6118700</v>
      </c>
      <c r="H47" s="1117"/>
      <c r="I47" s="1117">
        <v>2078510</v>
      </c>
      <c r="J47" s="1117"/>
      <c r="K47" s="1117"/>
      <c r="L47" s="1117"/>
      <c r="M47" s="1117"/>
      <c r="N47" s="1117"/>
    </row>
    <row r="48" spans="1:14" ht="12" customHeight="1" x14ac:dyDescent="0.25">
      <c r="A48" s="1258" t="s">
        <v>704</v>
      </c>
      <c r="B48" s="1292" t="s">
        <v>216</v>
      </c>
      <c r="C48" s="1291">
        <f>SUM(E48:O48)</f>
        <v>0</v>
      </c>
      <c r="D48" s="1703">
        <f t="shared" ref="D48:D49" si="8">C48</f>
        <v>0</v>
      </c>
      <c r="E48" s="1117"/>
      <c r="F48" s="1117"/>
      <c r="G48" s="1117"/>
      <c r="H48" s="1117"/>
      <c r="I48" s="1117"/>
      <c r="J48" s="1117"/>
      <c r="K48" s="1117"/>
      <c r="L48" s="1117"/>
      <c r="M48" s="1117"/>
      <c r="N48" s="1117"/>
    </row>
    <row r="49" spans="1:14" ht="12" customHeight="1" thickBot="1" x14ac:dyDescent="0.3">
      <c r="A49" s="1258" t="s">
        <v>706</v>
      </c>
      <c r="B49" s="1292" t="s">
        <v>55</v>
      </c>
      <c r="C49" s="1291">
        <f>SUM(E49:O49)</f>
        <v>0</v>
      </c>
      <c r="D49" s="1704">
        <f t="shared" si="8"/>
        <v>0</v>
      </c>
      <c r="E49" s="1117"/>
      <c r="F49" s="1117"/>
      <c r="G49" s="1117"/>
      <c r="H49" s="1117"/>
      <c r="I49" s="1117"/>
      <c r="J49" s="1117"/>
      <c r="K49" s="1117"/>
      <c r="L49" s="1117"/>
      <c r="M49" s="1117"/>
      <c r="N49" s="1117"/>
    </row>
    <row r="50" spans="1:14" ht="12" customHeight="1" thickBot="1" x14ac:dyDescent="0.3">
      <c r="A50" s="1263" t="s">
        <v>710</v>
      </c>
      <c r="B50" s="1295" t="s">
        <v>972</v>
      </c>
      <c r="C50" s="1289">
        <f>SUM(C51:C53)</f>
        <v>895494</v>
      </c>
      <c r="D50" s="1253">
        <f>SUM(D51:D53)</f>
        <v>1068995</v>
      </c>
      <c r="E50" s="1117"/>
      <c r="F50" s="1117"/>
      <c r="G50" s="1117"/>
      <c r="H50" s="1117"/>
      <c r="I50" s="1117"/>
      <c r="J50" s="1117"/>
      <c r="K50" s="1117"/>
      <c r="L50" s="1117"/>
      <c r="M50" s="1117"/>
      <c r="N50" s="1117"/>
    </row>
    <row r="51" spans="1:14" s="1189" customFormat="1" ht="12" customHeight="1" x14ac:dyDescent="0.25">
      <c r="A51" s="1258" t="s">
        <v>712</v>
      </c>
      <c r="B51" s="1294" t="s">
        <v>63</v>
      </c>
      <c r="C51" s="1291">
        <f>SUM(E51:O51)</f>
        <v>0</v>
      </c>
      <c r="D51" s="1702">
        <f>C51+70000+20000+5000+60501+18000</f>
        <v>173501</v>
      </c>
      <c r="E51" s="1117"/>
      <c r="F51" s="1117"/>
      <c r="G51" s="1117"/>
      <c r="H51" s="1117"/>
      <c r="I51" s="1117"/>
      <c r="J51" s="1117"/>
      <c r="K51" s="1117"/>
      <c r="L51" s="1303"/>
      <c r="M51" s="1303"/>
      <c r="N51" s="1303"/>
    </row>
    <row r="52" spans="1:14" ht="12" customHeight="1" x14ac:dyDescent="0.25">
      <c r="A52" s="1258" t="s">
        <v>714</v>
      </c>
      <c r="B52" s="1292" t="s">
        <v>153</v>
      </c>
      <c r="C52" s="1291">
        <f>SUM(E52:O52)</f>
        <v>895494</v>
      </c>
      <c r="D52" s="1703">
        <f t="shared" ref="D52:D54" si="9">C52</f>
        <v>895494</v>
      </c>
      <c r="E52" s="1117"/>
      <c r="F52" s="1117"/>
      <c r="G52" s="1117">
        <v>401000</v>
      </c>
      <c r="H52" s="1117"/>
      <c r="I52" s="1117">
        <v>494494</v>
      </c>
      <c r="J52" s="1117"/>
      <c r="K52" s="1117"/>
      <c r="L52" s="1117"/>
      <c r="M52" s="1117"/>
      <c r="N52" s="1117"/>
    </row>
    <row r="53" spans="1:14" ht="12" customHeight="1" x14ac:dyDescent="0.25">
      <c r="A53" s="1258" t="s">
        <v>716</v>
      </c>
      <c r="B53" s="1292" t="s">
        <v>973</v>
      </c>
      <c r="C53" s="1291">
        <f>SUM(E53:O53)</f>
        <v>0</v>
      </c>
      <c r="D53" s="1703">
        <f t="shared" si="9"/>
        <v>0</v>
      </c>
      <c r="E53" s="1117"/>
      <c r="F53" s="1117"/>
      <c r="G53" s="1117"/>
      <c r="H53" s="1117"/>
      <c r="I53" s="1117"/>
      <c r="J53" s="1117"/>
      <c r="K53" s="1117"/>
      <c r="L53" s="1117"/>
      <c r="M53" s="1117"/>
      <c r="N53" s="1117"/>
    </row>
    <row r="54" spans="1:14" ht="12" customHeight="1" thickBot="1" x14ac:dyDescent="0.3">
      <c r="A54" s="1258" t="s">
        <v>718</v>
      </c>
      <c r="B54" s="1292" t="s">
        <v>974</v>
      </c>
      <c r="C54" s="1291">
        <f>SUM(E54:O54)</f>
        <v>0</v>
      </c>
      <c r="D54" s="1704">
        <f t="shared" si="9"/>
        <v>0</v>
      </c>
      <c r="E54" s="1117"/>
      <c r="F54" s="1117"/>
      <c r="G54" s="1117"/>
      <c r="H54" s="1117"/>
      <c r="I54" s="1117"/>
      <c r="J54" s="1117"/>
      <c r="K54" s="1117"/>
      <c r="L54" s="1117"/>
      <c r="M54" s="1117"/>
      <c r="N54" s="1117"/>
    </row>
    <row r="55" spans="1:14" ht="15" customHeight="1" thickBot="1" x14ac:dyDescent="0.3">
      <c r="A55" s="1263" t="s">
        <v>724</v>
      </c>
      <c r="B55" s="1304" t="s">
        <v>975</v>
      </c>
      <c r="C55" s="1302">
        <f>+C44+C50</f>
        <v>99781768</v>
      </c>
      <c r="D55" s="1280">
        <f>+D44+D50</f>
        <v>103361269</v>
      </c>
      <c r="E55" s="1117">
        <f>SUM(E44:E54)</f>
        <v>70118638</v>
      </c>
      <c r="F55" s="1117">
        <f t="shared" ref="F55:K55" si="10">SUM(F44:F54)</f>
        <v>4266037</v>
      </c>
      <c r="G55" s="1117">
        <f t="shared" si="10"/>
        <v>6519700</v>
      </c>
      <c r="H55" s="1117">
        <f t="shared" si="10"/>
        <v>0</v>
      </c>
      <c r="I55" s="1117">
        <f t="shared" si="10"/>
        <v>18877393</v>
      </c>
      <c r="J55" s="1117">
        <f t="shared" si="10"/>
        <v>0</v>
      </c>
      <c r="K55" s="1117">
        <f t="shared" si="10"/>
        <v>0</v>
      </c>
      <c r="L55" s="1117"/>
      <c r="M55" s="1117"/>
      <c r="N55" s="1117"/>
    </row>
    <row r="56" spans="1:14" ht="13.5" thickBot="1" x14ac:dyDescent="0.3">
      <c r="C56" s="1226"/>
      <c r="D56" s="1226"/>
      <c r="E56" s="1117"/>
      <c r="F56" s="1117"/>
      <c r="G56" s="1117"/>
      <c r="H56" s="1117"/>
      <c r="I56" s="1117"/>
      <c r="J56" s="1117"/>
      <c r="K56" s="1117"/>
      <c r="L56" s="1117"/>
      <c r="M56" s="1117"/>
      <c r="N56" s="1117"/>
    </row>
    <row r="57" spans="1:14" ht="15" customHeight="1" thickBot="1" x14ac:dyDescent="0.3">
      <c r="A57" s="1227" t="s">
        <v>925</v>
      </c>
      <c r="B57" s="1305"/>
      <c r="C57" s="1306">
        <v>22</v>
      </c>
      <c r="D57" s="1230"/>
      <c r="E57" s="1117"/>
      <c r="F57" s="1117"/>
      <c r="G57" s="1117"/>
      <c r="H57" s="1117"/>
      <c r="I57" s="1117"/>
      <c r="J57" s="1117"/>
      <c r="K57" s="1117"/>
      <c r="L57" s="1117"/>
      <c r="M57" s="1117"/>
      <c r="N57" s="1117"/>
    </row>
    <row r="58" spans="1:14" ht="14.25" customHeight="1" thickBot="1" x14ac:dyDescent="0.3">
      <c r="A58" s="1227" t="s">
        <v>926</v>
      </c>
      <c r="B58" s="1305"/>
      <c r="C58" s="1306">
        <v>0</v>
      </c>
      <c r="D58" s="1230"/>
      <c r="E58" s="1117"/>
      <c r="F58" s="1117"/>
      <c r="G58" s="1117"/>
      <c r="H58" s="1117"/>
      <c r="I58" s="1117"/>
      <c r="J58" s="1117"/>
      <c r="K58" s="1117"/>
    </row>
    <row r="59" spans="1:14" ht="12.75" customHeight="1" x14ac:dyDescent="0.25">
      <c r="A59" s="1846"/>
      <c r="B59" s="1846"/>
      <c r="C59" s="1846"/>
      <c r="D59" s="1846"/>
      <c r="E59" s="1117"/>
      <c r="F59" s="1117"/>
      <c r="G59" s="1117"/>
      <c r="H59" s="1117"/>
      <c r="I59" s="1117"/>
      <c r="J59" s="1117"/>
      <c r="K59" s="1117"/>
    </row>
  </sheetData>
  <sheetProtection selectLockedCells="1" selectUnlockedCells="1"/>
  <mergeCells count="6">
    <mergeCell ref="A59:D59"/>
    <mergeCell ref="A1:D1"/>
    <mergeCell ref="C2:D3"/>
    <mergeCell ref="C4:D4"/>
    <mergeCell ref="A7:D7"/>
    <mergeCell ref="A43:D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I199"/>
  <sheetViews>
    <sheetView view="pageBreakPreview" topLeftCell="A64" zoomScaleNormal="100" zoomScaleSheetLayoutView="100" workbookViewId="0">
      <pane xSplit="1" topLeftCell="O1" activePane="topRight" state="frozen"/>
      <selection pane="topRight" activeCell="AD80" sqref="AD80"/>
    </sheetView>
  </sheetViews>
  <sheetFormatPr defaultRowHeight="15" x14ac:dyDescent="0.25"/>
  <cols>
    <col min="1" max="1" width="44.28515625" customWidth="1"/>
    <col min="2" max="7" width="12.42578125" customWidth="1"/>
    <col min="8" max="8" width="13.85546875" customWidth="1"/>
    <col min="9" max="9" width="13.42578125" customWidth="1"/>
    <col min="10" max="13" width="14" customWidth="1"/>
    <col min="14" max="14" width="22" customWidth="1"/>
    <col min="15" max="15" width="12.42578125" customWidth="1"/>
    <col min="16" max="16" width="14.7109375" customWidth="1"/>
    <col min="17" max="18" width="10.42578125" customWidth="1"/>
    <col min="19" max="19" width="12.28515625" customWidth="1"/>
    <col min="20" max="20" width="17.140625" customWidth="1"/>
    <col min="21" max="21" width="12.42578125" customWidth="1"/>
    <col min="22" max="22" width="22" customWidth="1"/>
    <col min="23" max="23" width="19" customWidth="1"/>
    <col min="24" max="28" width="12.42578125" customWidth="1"/>
    <col min="29" max="29" width="18.28515625" customWidth="1"/>
    <col min="30" max="30" width="17.140625" customWidth="1"/>
    <col min="31" max="31" width="22.28515625" customWidth="1"/>
    <col min="32" max="32" width="18.7109375" customWidth="1"/>
    <col min="33" max="33" width="13.140625" style="680" customWidth="1"/>
    <col min="34" max="34" width="17.5703125" style="680" customWidth="1"/>
    <col min="35" max="35" width="10.85546875" style="1234" customWidth="1"/>
    <col min="257" max="257" width="39.42578125" customWidth="1"/>
    <col min="258" max="264" width="12.42578125" customWidth="1"/>
    <col min="265" max="266" width="11.42578125" customWidth="1"/>
    <col min="267" max="267" width="14" customWidth="1"/>
    <col min="268" max="268" width="22" customWidth="1"/>
    <col min="269" max="269" width="12.42578125" customWidth="1"/>
    <col min="270" max="270" width="10.42578125" customWidth="1"/>
    <col min="271" max="271" width="12.28515625" customWidth="1"/>
    <col min="272" max="272" width="17.140625" customWidth="1"/>
    <col min="273" max="275" width="12.42578125" customWidth="1"/>
    <col min="276" max="276" width="17.140625" customWidth="1"/>
    <col min="277" max="277" width="19" customWidth="1"/>
    <col min="278" max="282" width="12.42578125" customWidth="1"/>
    <col min="283" max="283" width="18.28515625" customWidth="1"/>
    <col min="284" max="284" width="17.140625" customWidth="1"/>
    <col min="285" max="285" width="22.28515625" customWidth="1"/>
    <col min="286" max="286" width="18.7109375" customWidth="1"/>
    <col min="287" max="287" width="13.140625" customWidth="1"/>
    <col min="288" max="288" width="14" customWidth="1"/>
    <col min="289" max="289" width="15.5703125" customWidth="1"/>
    <col min="290" max="290" width="13.7109375" customWidth="1"/>
    <col min="291" max="291" width="13.140625" customWidth="1"/>
    <col min="513" max="513" width="39.42578125" customWidth="1"/>
    <col min="514" max="520" width="12.42578125" customWidth="1"/>
    <col min="521" max="522" width="11.42578125" customWidth="1"/>
    <col min="523" max="523" width="14" customWidth="1"/>
    <col min="524" max="524" width="22" customWidth="1"/>
    <col min="525" max="525" width="12.42578125" customWidth="1"/>
    <col min="526" max="526" width="10.42578125" customWidth="1"/>
    <col min="527" max="527" width="12.28515625" customWidth="1"/>
    <col min="528" max="528" width="17.140625" customWidth="1"/>
    <col min="529" max="531" width="12.42578125" customWidth="1"/>
    <col min="532" max="532" width="17.140625" customWidth="1"/>
    <col min="533" max="533" width="19" customWidth="1"/>
    <col min="534" max="538" width="12.42578125" customWidth="1"/>
    <col min="539" max="539" width="18.28515625" customWidth="1"/>
    <col min="540" max="540" width="17.140625" customWidth="1"/>
    <col min="541" max="541" width="22.28515625" customWidth="1"/>
    <col min="542" max="542" width="18.7109375" customWidth="1"/>
    <col min="543" max="543" width="13.140625" customWidth="1"/>
    <col min="544" max="544" width="14" customWidth="1"/>
    <col min="545" max="545" width="15.5703125" customWidth="1"/>
    <col min="546" max="546" width="13.7109375" customWidth="1"/>
    <col min="547" max="547" width="13.140625" customWidth="1"/>
    <col min="769" max="769" width="39.42578125" customWidth="1"/>
    <col min="770" max="776" width="12.42578125" customWidth="1"/>
    <col min="777" max="778" width="11.42578125" customWidth="1"/>
    <col min="779" max="779" width="14" customWidth="1"/>
    <col min="780" max="780" width="22" customWidth="1"/>
    <col min="781" max="781" width="12.42578125" customWidth="1"/>
    <col min="782" max="782" width="10.42578125" customWidth="1"/>
    <col min="783" max="783" width="12.28515625" customWidth="1"/>
    <col min="784" max="784" width="17.140625" customWidth="1"/>
    <col min="785" max="787" width="12.42578125" customWidth="1"/>
    <col min="788" max="788" width="17.140625" customWidth="1"/>
    <col min="789" max="789" width="19" customWidth="1"/>
    <col min="790" max="794" width="12.42578125" customWidth="1"/>
    <col min="795" max="795" width="18.28515625" customWidth="1"/>
    <col min="796" max="796" width="17.140625" customWidth="1"/>
    <col min="797" max="797" width="22.28515625" customWidth="1"/>
    <col min="798" max="798" width="18.7109375" customWidth="1"/>
    <col min="799" max="799" width="13.140625" customWidth="1"/>
    <col min="800" max="800" width="14" customWidth="1"/>
    <col min="801" max="801" width="15.5703125" customWidth="1"/>
    <col min="802" max="802" width="13.7109375" customWidth="1"/>
    <col min="803" max="803" width="13.140625" customWidth="1"/>
    <col min="1025" max="1025" width="39.42578125" customWidth="1"/>
    <col min="1026" max="1032" width="12.42578125" customWidth="1"/>
    <col min="1033" max="1034" width="11.42578125" customWidth="1"/>
    <col min="1035" max="1035" width="14" customWidth="1"/>
    <col min="1036" max="1036" width="22" customWidth="1"/>
    <col min="1037" max="1037" width="12.42578125" customWidth="1"/>
    <col min="1038" max="1038" width="10.42578125" customWidth="1"/>
    <col min="1039" max="1039" width="12.28515625" customWidth="1"/>
    <col min="1040" max="1040" width="17.140625" customWidth="1"/>
    <col min="1041" max="1043" width="12.42578125" customWidth="1"/>
    <col min="1044" max="1044" width="17.140625" customWidth="1"/>
    <col min="1045" max="1045" width="19" customWidth="1"/>
    <col min="1046" max="1050" width="12.42578125" customWidth="1"/>
    <col min="1051" max="1051" width="18.28515625" customWidth="1"/>
    <col min="1052" max="1052" width="17.140625" customWidth="1"/>
    <col min="1053" max="1053" width="22.28515625" customWidth="1"/>
    <col min="1054" max="1054" width="18.7109375" customWidth="1"/>
    <col min="1055" max="1055" width="13.140625" customWidth="1"/>
    <col min="1056" max="1056" width="14" customWidth="1"/>
    <col min="1057" max="1057" width="15.5703125" customWidth="1"/>
    <col min="1058" max="1058" width="13.7109375" customWidth="1"/>
    <col min="1059" max="1059" width="13.140625" customWidth="1"/>
    <col min="1281" max="1281" width="39.42578125" customWidth="1"/>
    <col min="1282" max="1288" width="12.42578125" customWidth="1"/>
    <col min="1289" max="1290" width="11.42578125" customWidth="1"/>
    <col min="1291" max="1291" width="14" customWidth="1"/>
    <col min="1292" max="1292" width="22" customWidth="1"/>
    <col min="1293" max="1293" width="12.42578125" customWidth="1"/>
    <col min="1294" max="1294" width="10.42578125" customWidth="1"/>
    <col min="1295" max="1295" width="12.28515625" customWidth="1"/>
    <col min="1296" max="1296" width="17.140625" customWidth="1"/>
    <col min="1297" max="1299" width="12.42578125" customWidth="1"/>
    <col min="1300" max="1300" width="17.140625" customWidth="1"/>
    <col min="1301" max="1301" width="19" customWidth="1"/>
    <col min="1302" max="1306" width="12.42578125" customWidth="1"/>
    <col min="1307" max="1307" width="18.28515625" customWidth="1"/>
    <col min="1308" max="1308" width="17.140625" customWidth="1"/>
    <col min="1309" max="1309" width="22.28515625" customWidth="1"/>
    <col min="1310" max="1310" width="18.7109375" customWidth="1"/>
    <col min="1311" max="1311" width="13.140625" customWidth="1"/>
    <col min="1312" max="1312" width="14" customWidth="1"/>
    <col min="1313" max="1313" width="15.5703125" customWidth="1"/>
    <col min="1314" max="1314" width="13.7109375" customWidth="1"/>
    <col min="1315" max="1315" width="13.140625" customWidth="1"/>
    <col min="1537" max="1537" width="39.42578125" customWidth="1"/>
    <col min="1538" max="1544" width="12.42578125" customWidth="1"/>
    <col min="1545" max="1546" width="11.42578125" customWidth="1"/>
    <col min="1547" max="1547" width="14" customWidth="1"/>
    <col min="1548" max="1548" width="22" customWidth="1"/>
    <col min="1549" max="1549" width="12.42578125" customWidth="1"/>
    <col min="1550" max="1550" width="10.42578125" customWidth="1"/>
    <col min="1551" max="1551" width="12.28515625" customWidth="1"/>
    <col min="1552" max="1552" width="17.140625" customWidth="1"/>
    <col min="1553" max="1555" width="12.42578125" customWidth="1"/>
    <col min="1556" max="1556" width="17.140625" customWidth="1"/>
    <col min="1557" max="1557" width="19" customWidth="1"/>
    <col min="1558" max="1562" width="12.42578125" customWidth="1"/>
    <col min="1563" max="1563" width="18.28515625" customWidth="1"/>
    <col min="1564" max="1564" width="17.140625" customWidth="1"/>
    <col min="1565" max="1565" width="22.28515625" customWidth="1"/>
    <col min="1566" max="1566" width="18.7109375" customWidth="1"/>
    <col min="1567" max="1567" width="13.140625" customWidth="1"/>
    <col min="1568" max="1568" width="14" customWidth="1"/>
    <col min="1569" max="1569" width="15.5703125" customWidth="1"/>
    <col min="1570" max="1570" width="13.7109375" customWidth="1"/>
    <col min="1571" max="1571" width="13.140625" customWidth="1"/>
    <col min="1793" max="1793" width="39.42578125" customWidth="1"/>
    <col min="1794" max="1800" width="12.42578125" customWidth="1"/>
    <col min="1801" max="1802" width="11.42578125" customWidth="1"/>
    <col min="1803" max="1803" width="14" customWidth="1"/>
    <col min="1804" max="1804" width="22" customWidth="1"/>
    <col min="1805" max="1805" width="12.42578125" customWidth="1"/>
    <col min="1806" max="1806" width="10.42578125" customWidth="1"/>
    <col min="1807" max="1807" width="12.28515625" customWidth="1"/>
    <col min="1808" max="1808" width="17.140625" customWidth="1"/>
    <col min="1809" max="1811" width="12.42578125" customWidth="1"/>
    <col min="1812" max="1812" width="17.140625" customWidth="1"/>
    <col min="1813" max="1813" width="19" customWidth="1"/>
    <col min="1814" max="1818" width="12.42578125" customWidth="1"/>
    <col min="1819" max="1819" width="18.28515625" customWidth="1"/>
    <col min="1820" max="1820" width="17.140625" customWidth="1"/>
    <col min="1821" max="1821" width="22.28515625" customWidth="1"/>
    <col min="1822" max="1822" width="18.7109375" customWidth="1"/>
    <col min="1823" max="1823" width="13.140625" customWidth="1"/>
    <col min="1824" max="1824" width="14" customWidth="1"/>
    <col min="1825" max="1825" width="15.5703125" customWidth="1"/>
    <col min="1826" max="1826" width="13.7109375" customWidth="1"/>
    <col min="1827" max="1827" width="13.140625" customWidth="1"/>
    <col min="2049" max="2049" width="39.42578125" customWidth="1"/>
    <col min="2050" max="2056" width="12.42578125" customWidth="1"/>
    <col min="2057" max="2058" width="11.42578125" customWidth="1"/>
    <col min="2059" max="2059" width="14" customWidth="1"/>
    <col min="2060" max="2060" width="22" customWidth="1"/>
    <col min="2061" max="2061" width="12.42578125" customWidth="1"/>
    <col min="2062" max="2062" width="10.42578125" customWidth="1"/>
    <col min="2063" max="2063" width="12.28515625" customWidth="1"/>
    <col min="2064" max="2064" width="17.140625" customWidth="1"/>
    <col min="2065" max="2067" width="12.42578125" customWidth="1"/>
    <col min="2068" max="2068" width="17.140625" customWidth="1"/>
    <col min="2069" max="2069" width="19" customWidth="1"/>
    <col min="2070" max="2074" width="12.42578125" customWidth="1"/>
    <col min="2075" max="2075" width="18.28515625" customWidth="1"/>
    <col min="2076" max="2076" width="17.140625" customWidth="1"/>
    <col min="2077" max="2077" width="22.28515625" customWidth="1"/>
    <col min="2078" max="2078" width="18.7109375" customWidth="1"/>
    <col min="2079" max="2079" width="13.140625" customWidth="1"/>
    <col min="2080" max="2080" width="14" customWidth="1"/>
    <col min="2081" max="2081" width="15.5703125" customWidth="1"/>
    <col min="2082" max="2082" width="13.7109375" customWidth="1"/>
    <col min="2083" max="2083" width="13.140625" customWidth="1"/>
    <col min="2305" max="2305" width="39.42578125" customWidth="1"/>
    <col min="2306" max="2312" width="12.42578125" customWidth="1"/>
    <col min="2313" max="2314" width="11.42578125" customWidth="1"/>
    <col min="2315" max="2315" width="14" customWidth="1"/>
    <col min="2316" max="2316" width="22" customWidth="1"/>
    <col min="2317" max="2317" width="12.42578125" customWidth="1"/>
    <col min="2318" max="2318" width="10.42578125" customWidth="1"/>
    <col min="2319" max="2319" width="12.28515625" customWidth="1"/>
    <col min="2320" max="2320" width="17.140625" customWidth="1"/>
    <col min="2321" max="2323" width="12.42578125" customWidth="1"/>
    <col min="2324" max="2324" width="17.140625" customWidth="1"/>
    <col min="2325" max="2325" width="19" customWidth="1"/>
    <col min="2326" max="2330" width="12.42578125" customWidth="1"/>
    <col min="2331" max="2331" width="18.28515625" customWidth="1"/>
    <col min="2332" max="2332" width="17.140625" customWidth="1"/>
    <col min="2333" max="2333" width="22.28515625" customWidth="1"/>
    <col min="2334" max="2334" width="18.7109375" customWidth="1"/>
    <col min="2335" max="2335" width="13.140625" customWidth="1"/>
    <col min="2336" max="2336" width="14" customWidth="1"/>
    <col min="2337" max="2337" width="15.5703125" customWidth="1"/>
    <col min="2338" max="2338" width="13.7109375" customWidth="1"/>
    <col min="2339" max="2339" width="13.140625" customWidth="1"/>
    <col min="2561" max="2561" width="39.42578125" customWidth="1"/>
    <col min="2562" max="2568" width="12.42578125" customWidth="1"/>
    <col min="2569" max="2570" width="11.42578125" customWidth="1"/>
    <col min="2571" max="2571" width="14" customWidth="1"/>
    <col min="2572" max="2572" width="22" customWidth="1"/>
    <col min="2573" max="2573" width="12.42578125" customWidth="1"/>
    <col min="2574" max="2574" width="10.42578125" customWidth="1"/>
    <col min="2575" max="2575" width="12.28515625" customWidth="1"/>
    <col min="2576" max="2576" width="17.140625" customWidth="1"/>
    <col min="2577" max="2579" width="12.42578125" customWidth="1"/>
    <col min="2580" max="2580" width="17.140625" customWidth="1"/>
    <col min="2581" max="2581" width="19" customWidth="1"/>
    <col min="2582" max="2586" width="12.42578125" customWidth="1"/>
    <col min="2587" max="2587" width="18.28515625" customWidth="1"/>
    <col min="2588" max="2588" width="17.140625" customWidth="1"/>
    <col min="2589" max="2589" width="22.28515625" customWidth="1"/>
    <col min="2590" max="2590" width="18.7109375" customWidth="1"/>
    <col min="2591" max="2591" width="13.140625" customWidth="1"/>
    <col min="2592" max="2592" width="14" customWidth="1"/>
    <col min="2593" max="2593" width="15.5703125" customWidth="1"/>
    <col min="2594" max="2594" width="13.7109375" customWidth="1"/>
    <col min="2595" max="2595" width="13.140625" customWidth="1"/>
    <col min="2817" max="2817" width="39.42578125" customWidth="1"/>
    <col min="2818" max="2824" width="12.42578125" customWidth="1"/>
    <col min="2825" max="2826" width="11.42578125" customWidth="1"/>
    <col min="2827" max="2827" width="14" customWidth="1"/>
    <col min="2828" max="2828" width="22" customWidth="1"/>
    <col min="2829" max="2829" width="12.42578125" customWidth="1"/>
    <col min="2830" max="2830" width="10.42578125" customWidth="1"/>
    <col min="2831" max="2831" width="12.28515625" customWidth="1"/>
    <col min="2832" max="2832" width="17.140625" customWidth="1"/>
    <col min="2833" max="2835" width="12.42578125" customWidth="1"/>
    <col min="2836" max="2836" width="17.140625" customWidth="1"/>
    <col min="2837" max="2837" width="19" customWidth="1"/>
    <col min="2838" max="2842" width="12.42578125" customWidth="1"/>
    <col min="2843" max="2843" width="18.28515625" customWidth="1"/>
    <col min="2844" max="2844" width="17.140625" customWidth="1"/>
    <col min="2845" max="2845" width="22.28515625" customWidth="1"/>
    <col min="2846" max="2846" width="18.7109375" customWidth="1"/>
    <col min="2847" max="2847" width="13.140625" customWidth="1"/>
    <col min="2848" max="2848" width="14" customWidth="1"/>
    <col min="2849" max="2849" width="15.5703125" customWidth="1"/>
    <col min="2850" max="2850" width="13.7109375" customWidth="1"/>
    <col min="2851" max="2851" width="13.140625" customWidth="1"/>
    <col min="3073" max="3073" width="39.42578125" customWidth="1"/>
    <col min="3074" max="3080" width="12.42578125" customWidth="1"/>
    <col min="3081" max="3082" width="11.42578125" customWidth="1"/>
    <col min="3083" max="3083" width="14" customWidth="1"/>
    <col min="3084" max="3084" width="22" customWidth="1"/>
    <col min="3085" max="3085" width="12.42578125" customWidth="1"/>
    <col min="3086" max="3086" width="10.42578125" customWidth="1"/>
    <col min="3087" max="3087" width="12.28515625" customWidth="1"/>
    <col min="3088" max="3088" width="17.140625" customWidth="1"/>
    <col min="3089" max="3091" width="12.42578125" customWidth="1"/>
    <col min="3092" max="3092" width="17.140625" customWidth="1"/>
    <col min="3093" max="3093" width="19" customWidth="1"/>
    <col min="3094" max="3098" width="12.42578125" customWidth="1"/>
    <col min="3099" max="3099" width="18.28515625" customWidth="1"/>
    <col min="3100" max="3100" width="17.140625" customWidth="1"/>
    <col min="3101" max="3101" width="22.28515625" customWidth="1"/>
    <col min="3102" max="3102" width="18.7109375" customWidth="1"/>
    <col min="3103" max="3103" width="13.140625" customWidth="1"/>
    <col min="3104" max="3104" width="14" customWidth="1"/>
    <col min="3105" max="3105" width="15.5703125" customWidth="1"/>
    <col min="3106" max="3106" width="13.7109375" customWidth="1"/>
    <col min="3107" max="3107" width="13.140625" customWidth="1"/>
    <col min="3329" max="3329" width="39.42578125" customWidth="1"/>
    <col min="3330" max="3336" width="12.42578125" customWidth="1"/>
    <col min="3337" max="3338" width="11.42578125" customWidth="1"/>
    <col min="3339" max="3339" width="14" customWidth="1"/>
    <col min="3340" max="3340" width="22" customWidth="1"/>
    <col min="3341" max="3341" width="12.42578125" customWidth="1"/>
    <col min="3342" max="3342" width="10.42578125" customWidth="1"/>
    <col min="3343" max="3343" width="12.28515625" customWidth="1"/>
    <col min="3344" max="3344" width="17.140625" customWidth="1"/>
    <col min="3345" max="3347" width="12.42578125" customWidth="1"/>
    <col min="3348" max="3348" width="17.140625" customWidth="1"/>
    <col min="3349" max="3349" width="19" customWidth="1"/>
    <col min="3350" max="3354" width="12.42578125" customWidth="1"/>
    <col min="3355" max="3355" width="18.28515625" customWidth="1"/>
    <col min="3356" max="3356" width="17.140625" customWidth="1"/>
    <col min="3357" max="3357" width="22.28515625" customWidth="1"/>
    <col min="3358" max="3358" width="18.7109375" customWidth="1"/>
    <col min="3359" max="3359" width="13.140625" customWidth="1"/>
    <col min="3360" max="3360" width="14" customWidth="1"/>
    <col min="3361" max="3361" width="15.5703125" customWidth="1"/>
    <col min="3362" max="3362" width="13.7109375" customWidth="1"/>
    <col min="3363" max="3363" width="13.140625" customWidth="1"/>
    <col min="3585" max="3585" width="39.42578125" customWidth="1"/>
    <col min="3586" max="3592" width="12.42578125" customWidth="1"/>
    <col min="3593" max="3594" width="11.42578125" customWidth="1"/>
    <col min="3595" max="3595" width="14" customWidth="1"/>
    <col min="3596" max="3596" width="22" customWidth="1"/>
    <col min="3597" max="3597" width="12.42578125" customWidth="1"/>
    <col min="3598" max="3598" width="10.42578125" customWidth="1"/>
    <col min="3599" max="3599" width="12.28515625" customWidth="1"/>
    <col min="3600" max="3600" width="17.140625" customWidth="1"/>
    <col min="3601" max="3603" width="12.42578125" customWidth="1"/>
    <col min="3604" max="3604" width="17.140625" customWidth="1"/>
    <col min="3605" max="3605" width="19" customWidth="1"/>
    <col min="3606" max="3610" width="12.42578125" customWidth="1"/>
    <col min="3611" max="3611" width="18.28515625" customWidth="1"/>
    <col min="3612" max="3612" width="17.140625" customWidth="1"/>
    <col min="3613" max="3613" width="22.28515625" customWidth="1"/>
    <col min="3614" max="3614" width="18.7109375" customWidth="1"/>
    <col min="3615" max="3615" width="13.140625" customWidth="1"/>
    <col min="3616" max="3616" width="14" customWidth="1"/>
    <col min="3617" max="3617" width="15.5703125" customWidth="1"/>
    <col min="3618" max="3618" width="13.7109375" customWidth="1"/>
    <col min="3619" max="3619" width="13.140625" customWidth="1"/>
    <col min="3841" max="3841" width="39.42578125" customWidth="1"/>
    <col min="3842" max="3848" width="12.42578125" customWidth="1"/>
    <col min="3849" max="3850" width="11.42578125" customWidth="1"/>
    <col min="3851" max="3851" width="14" customWidth="1"/>
    <col min="3852" max="3852" width="22" customWidth="1"/>
    <col min="3853" max="3853" width="12.42578125" customWidth="1"/>
    <col min="3854" max="3854" width="10.42578125" customWidth="1"/>
    <col min="3855" max="3855" width="12.28515625" customWidth="1"/>
    <col min="3856" max="3856" width="17.140625" customWidth="1"/>
    <col min="3857" max="3859" width="12.42578125" customWidth="1"/>
    <col min="3860" max="3860" width="17.140625" customWidth="1"/>
    <col min="3861" max="3861" width="19" customWidth="1"/>
    <col min="3862" max="3866" width="12.42578125" customWidth="1"/>
    <col min="3867" max="3867" width="18.28515625" customWidth="1"/>
    <col min="3868" max="3868" width="17.140625" customWidth="1"/>
    <col min="3869" max="3869" width="22.28515625" customWidth="1"/>
    <col min="3870" max="3870" width="18.7109375" customWidth="1"/>
    <col min="3871" max="3871" width="13.140625" customWidth="1"/>
    <col min="3872" max="3872" width="14" customWidth="1"/>
    <col min="3873" max="3873" width="15.5703125" customWidth="1"/>
    <col min="3874" max="3874" width="13.7109375" customWidth="1"/>
    <col min="3875" max="3875" width="13.140625" customWidth="1"/>
    <col min="4097" max="4097" width="39.42578125" customWidth="1"/>
    <col min="4098" max="4104" width="12.42578125" customWidth="1"/>
    <col min="4105" max="4106" width="11.42578125" customWidth="1"/>
    <col min="4107" max="4107" width="14" customWidth="1"/>
    <col min="4108" max="4108" width="22" customWidth="1"/>
    <col min="4109" max="4109" width="12.42578125" customWidth="1"/>
    <col min="4110" max="4110" width="10.42578125" customWidth="1"/>
    <col min="4111" max="4111" width="12.28515625" customWidth="1"/>
    <col min="4112" max="4112" width="17.140625" customWidth="1"/>
    <col min="4113" max="4115" width="12.42578125" customWidth="1"/>
    <col min="4116" max="4116" width="17.140625" customWidth="1"/>
    <col min="4117" max="4117" width="19" customWidth="1"/>
    <col min="4118" max="4122" width="12.42578125" customWidth="1"/>
    <col min="4123" max="4123" width="18.28515625" customWidth="1"/>
    <col min="4124" max="4124" width="17.140625" customWidth="1"/>
    <col min="4125" max="4125" width="22.28515625" customWidth="1"/>
    <col min="4126" max="4126" width="18.7109375" customWidth="1"/>
    <col min="4127" max="4127" width="13.140625" customWidth="1"/>
    <col min="4128" max="4128" width="14" customWidth="1"/>
    <col min="4129" max="4129" width="15.5703125" customWidth="1"/>
    <col min="4130" max="4130" width="13.7109375" customWidth="1"/>
    <col min="4131" max="4131" width="13.140625" customWidth="1"/>
    <col min="4353" max="4353" width="39.42578125" customWidth="1"/>
    <col min="4354" max="4360" width="12.42578125" customWidth="1"/>
    <col min="4361" max="4362" width="11.42578125" customWidth="1"/>
    <col min="4363" max="4363" width="14" customWidth="1"/>
    <col min="4364" max="4364" width="22" customWidth="1"/>
    <col min="4365" max="4365" width="12.42578125" customWidth="1"/>
    <col min="4366" max="4366" width="10.42578125" customWidth="1"/>
    <col min="4367" max="4367" width="12.28515625" customWidth="1"/>
    <col min="4368" max="4368" width="17.140625" customWidth="1"/>
    <col min="4369" max="4371" width="12.42578125" customWidth="1"/>
    <col min="4372" max="4372" width="17.140625" customWidth="1"/>
    <col min="4373" max="4373" width="19" customWidth="1"/>
    <col min="4374" max="4378" width="12.42578125" customWidth="1"/>
    <col min="4379" max="4379" width="18.28515625" customWidth="1"/>
    <col min="4380" max="4380" width="17.140625" customWidth="1"/>
    <col min="4381" max="4381" width="22.28515625" customWidth="1"/>
    <col min="4382" max="4382" width="18.7109375" customWidth="1"/>
    <col min="4383" max="4383" width="13.140625" customWidth="1"/>
    <col min="4384" max="4384" width="14" customWidth="1"/>
    <col min="4385" max="4385" width="15.5703125" customWidth="1"/>
    <col min="4386" max="4386" width="13.7109375" customWidth="1"/>
    <col min="4387" max="4387" width="13.140625" customWidth="1"/>
    <col min="4609" max="4609" width="39.42578125" customWidth="1"/>
    <col min="4610" max="4616" width="12.42578125" customWidth="1"/>
    <col min="4617" max="4618" width="11.42578125" customWidth="1"/>
    <col min="4619" max="4619" width="14" customWidth="1"/>
    <col min="4620" max="4620" width="22" customWidth="1"/>
    <col min="4621" max="4621" width="12.42578125" customWidth="1"/>
    <col min="4622" max="4622" width="10.42578125" customWidth="1"/>
    <col min="4623" max="4623" width="12.28515625" customWidth="1"/>
    <col min="4624" max="4624" width="17.140625" customWidth="1"/>
    <col min="4625" max="4627" width="12.42578125" customWidth="1"/>
    <col min="4628" max="4628" width="17.140625" customWidth="1"/>
    <col min="4629" max="4629" width="19" customWidth="1"/>
    <col min="4630" max="4634" width="12.42578125" customWidth="1"/>
    <col min="4635" max="4635" width="18.28515625" customWidth="1"/>
    <col min="4636" max="4636" width="17.140625" customWidth="1"/>
    <col min="4637" max="4637" width="22.28515625" customWidth="1"/>
    <col min="4638" max="4638" width="18.7109375" customWidth="1"/>
    <col min="4639" max="4639" width="13.140625" customWidth="1"/>
    <col min="4640" max="4640" width="14" customWidth="1"/>
    <col min="4641" max="4641" width="15.5703125" customWidth="1"/>
    <col min="4642" max="4642" width="13.7109375" customWidth="1"/>
    <col min="4643" max="4643" width="13.140625" customWidth="1"/>
    <col min="4865" max="4865" width="39.42578125" customWidth="1"/>
    <col min="4866" max="4872" width="12.42578125" customWidth="1"/>
    <col min="4873" max="4874" width="11.42578125" customWidth="1"/>
    <col min="4875" max="4875" width="14" customWidth="1"/>
    <col min="4876" max="4876" width="22" customWidth="1"/>
    <col min="4877" max="4877" width="12.42578125" customWidth="1"/>
    <col min="4878" max="4878" width="10.42578125" customWidth="1"/>
    <col min="4879" max="4879" width="12.28515625" customWidth="1"/>
    <col min="4880" max="4880" width="17.140625" customWidth="1"/>
    <col min="4881" max="4883" width="12.42578125" customWidth="1"/>
    <col min="4884" max="4884" width="17.140625" customWidth="1"/>
    <col min="4885" max="4885" width="19" customWidth="1"/>
    <col min="4886" max="4890" width="12.42578125" customWidth="1"/>
    <col min="4891" max="4891" width="18.28515625" customWidth="1"/>
    <col min="4892" max="4892" width="17.140625" customWidth="1"/>
    <col min="4893" max="4893" width="22.28515625" customWidth="1"/>
    <col min="4894" max="4894" width="18.7109375" customWidth="1"/>
    <col min="4895" max="4895" width="13.140625" customWidth="1"/>
    <col min="4896" max="4896" width="14" customWidth="1"/>
    <col min="4897" max="4897" width="15.5703125" customWidth="1"/>
    <col min="4898" max="4898" width="13.7109375" customWidth="1"/>
    <col min="4899" max="4899" width="13.140625" customWidth="1"/>
    <col min="5121" max="5121" width="39.42578125" customWidth="1"/>
    <col min="5122" max="5128" width="12.42578125" customWidth="1"/>
    <col min="5129" max="5130" width="11.42578125" customWidth="1"/>
    <col min="5131" max="5131" width="14" customWidth="1"/>
    <col min="5132" max="5132" width="22" customWidth="1"/>
    <col min="5133" max="5133" width="12.42578125" customWidth="1"/>
    <col min="5134" max="5134" width="10.42578125" customWidth="1"/>
    <col min="5135" max="5135" width="12.28515625" customWidth="1"/>
    <col min="5136" max="5136" width="17.140625" customWidth="1"/>
    <col min="5137" max="5139" width="12.42578125" customWidth="1"/>
    <col min="5140" max="5140" width="17.140625" customWidth="1"/>
    <col min="5141" max="5141" width="19" customWidth="1"/>
    <col min="5142" max="5146" width="12.42578125" customWidth="1"/>
    <col min="5147" max="5147" width="18.28515625" customWidth="1"/>
    <col min="5148" max="5148" width="17.140625" customWidth="1"/>
    <col min="5149" max="5149" width="22.28515625" customWidth="1"/>
    <col min="5150" max="5150" width="18.7109375" customWidth="1"/>
    <col min="5151" max="5151" width="13.140625" customWidth="1"/>
    <col min="5152" max="5152" width="14" customWidth="1"/>
    <col min="5153" max="5153" width="15.5703125" customWidth="1"/>
    <col min="5154" max="5154" width="13.7109375" customWidth="1"/>
    <col min="5155" max="5155" width="13.140625" customWidth="1"/>
    <col min="5377" max="5377" width="39.42578125" customWidth="1"/>
    <col min="5378" max="5384" width="12.42578125" customWidth="1"/>
    <col min="5385" max="5386" width="11.42578125" customWidth="1"/>
    <col min="5387" max="5387" width="14" customWidth="1"/>
    <col min="5388" max="5388" width="22" customWidth="1"/>
    <col min="5389" max="5389" width="12.42578125" customWidth="1"/>
    <col min="5390" max="5390" width="10.42578125" customWidth="1"/>
    <col min="5391" max="5391" width="12.28515625" customWidth="1"/>
    <col min="5392" max="5392" width="17.140625" customWidth="1"/>
    <col min="5393" max="5395" width="12.42578125" customWidth="1"/>
    <col min="5396" max="5396" width="17.140625" customWidth="1"/>
    <col min="5397" max="5397" width="19" customWidth="1"/>
    <col min="5398" max="5402" width="12.42578125" customWidth="1"/>
    <col min="5403" max="5403" width="18.28515625" customWidth="1"/>
    <col min="5404" max="5404" width="17.140625" customWidth="1"/>
    <col min="5405" max="5405" width="22.28515625" customWidth="1"/>
    <col min="5406" max="5406" width="18.7109375" customWidth="1"/>
    <col min="5407" max="5407" width="13.140625" customWidth="1"/>
    <col min="5408" max="5408" width="14" customWidth="1"/>
    <col min="5409" max="5409" width="15.5703125" customWidth="1"/>
    <col min="5410" max="5410" width="13.7109375" customWidth="1"/>
    <col min="5411" max="5411" width="13.140625" customWidth="1"/>
    <col min="5633" max="5633" width="39.42578125" customWidth="1"/>
    <col min="5634" max="5640" width="12.42578125" customWidth="1"/>
    <col min="5641" max="5642" width="11.42578125" customWidth="1"/>
    <col min="5643" max="5643" width="14" customWidth="1"/>
    <col min="5644" max="5644" width="22" customWidth="1"/>
    <col min="5645" max="5645" width="12.42578125" customWidth="1"/>
    <col min="5646" max="5646" width="10.42578125" customWidth="1"/>
    <col min="5647" max="5647" width="12.28515625" customWidth="1"/>
    <col min="5648" max="5648" width="17.140625" customWidth="1"/>
    <col min="5649" max="5651" width="12.42578125" customWidth="1"/>
    <col min="5652" max="5652" width="17.140625" customWidth="1"/>
    <col min="5653" max="5653" width="19" customWidth="1"/>
    <col min="5654" max="5658" width="12.42578125" customWidth="1"/>
    <col min="5659" max="5659" width="18.28515625" customWidth="1"/>
    <col min="5660" max="5660" width="17.140625" customWidth="1"/>
    <col min="5661" max="5661" width="22.28515625" customWidth="1"/>
    <col min="5662" max="5662" width="18.7109375" customWidth="1"/>
    <col min="5663" max="5663" width="13.140625" customWidth="1"/>
    <col min="5664" max="5664" width="14" customWidth="1"/>
    <col min="5665" max="5665" width="15.5703125" customWidth="1"/>
    <col min="5666" max="5666" width="13.7109375" customWidth="1"/>
    <col min="5667" max="5667" width="13.140625" customWidth="1"/>
    <col min="5889" max="5889" width="39.42578125" customWidth="1"/>
    <col min="5890" max="5896" width="12.42578125" customWidth="1"/>
    <col min="5897" max="5898" width="11.42578125" customWidth="1"/>
    <col min="5899" max="5899" width="14" customWidth="1"/>
    <col min="5900" max="5900" width="22" customWidth="1"/>
    <col min="5901" max="5901" width="12.42578125" customWidth="1"/>
    <col min="5902" max="5902" width="10.42578125" customWidth="1"/>
    <col min="5903" max="5903" width="12.28515625" customWidth="1"/>
    <col min="5904" max="5904" width="17.140625" customWidth="1"/>
    <col min="5905" max="5907" width="12.42578125" customWidth="1"/>
    <col min="5908" max="5908" width="17.140625" customWidth="1"/>
    <col min="5909" max="5909" width="19" customWidth="1"/>
    <col min="5910" max="5914" width="12.42578125" customWidth="1"/>
    <col min="5915" max="5915" width="18.28515625" customWidth="1"/>
    <col min="5916" max="5916" width="17.140625" customWidth="1"/>
    <col min="5917" max="5917" width="22.28515625" customWidth="1"/>
    <col min="5918" max="5918" width="18.7109375" customWidth="1"/>
    <col min="5919" max="5919" width="13.140625" customWidth="1"/>
    <col min="5920" max="5920" width="14" customWidth="1"/>
    <col min="5921" max="5921" width="15.5703125" customWidth="1"/>
    <col min="5922" max="5922" width="13.7109375" customWidth="1"/>
    <col min="5923" max="5923" width="13.140625" customWidth="1"/>
    <col min="6145" max="6145" width="39.42578125" customWidth="1"/>
    <col min="6146" max="6152" width="12.42578125" customWidth="1"/>
    <col min="6153" max="6154" width="11.42578125" customWidth="1"/>
    <col min="6155" max="6155" width="14" customWidth="1"/>
    <col min="6156" max="6156" width="22" customWidth="1"/>
    <col min="6157" max="6157" width="12.42578125" customWidth="1"/>
    <col min="6158" max="6158" width="10.42578125" customWidth="1"/>
    <col min="6159" max="6159" width="12.28515625" customWidth="1"/>
    <col min="6160" max="6160" width="17.140625" customWidth="1"/>
    <col min="6161" max="6163" width="12.42578125" customWidth="1"/>
    <col min="6164" max="6164" width="17.140625" customWidth="1"/>
    <col min="6165" max="6165" width="19" customWidth="1"/>
    <col min="6166" max="6170" width="12.42578125" customWidth="1"/>
    <col min="6171" max="6171" width="18.28515625" customWidth="1"/>
    <col min="6172" max="6172" width="17.140625" customWidth="1"/>
    <col min="6173" max="6173" width="22.28515625" customWidth="1"/>
    <col min="6174" max="6174" width="18.7109375" customWidth="1"/>
    <col min="6175" max="6175" width="13.140625" customWidth="1"/>
    <col min="6176" max="6176" width="14" customWidth="1"/>
    <col min="6177" max="6177" width="15.5703125" customWidth="1"/>
    <col min="6178" max="6178" width="13.7109375" customWidth="1"/>
    <col min="6179" max="6179" width="13.140625" customWidth="1"/>
    <col min="6401" max="6401" width="39.42578125" customWidth="1"/>
    <col min="6402" max="6408" width="12.42578125" customWidth="1"/>
    <col min="6409" max="6410" width="11.42578125" customWidth="1"/>
    <col min="6411" max="6411" width="14" customWidth="1"/>
    <col min="6412" max="6412" width="22" customWidth="1"/>
    <col min="6413" max="6413" width="12.42578125" customWidth="1"/>
    <col min="6414" max="6414" width="10.42578125" customWidth="1"/>
    <col min="6415" max="6415" width="12.28515625" customWidth="1"/>
    <col min="6416" max="6416" width="17.140625" customWidth="1"/>
    <col min="6417" max="6419" width="12.42578125" customWidth="1"/>
    <col min="6420" max="6420" width="17.140625" customWidth="1"/>
    <col min="6421" max="6421" width="19" customWidth="1"/>
    <col min="6422" max="6426" width="12.42578125" customWidth="1"/>
    <col min="6427" max="6427" width="18.28515625" customWidth="1"/>
    <col min="6428" max="6428" width="17.140625" customWidth="1"/>
    <col min="6429" max="6429" width="22.28515625" customWidth="1"/>
    <col min="6430" max="6430" width="18.7109375" customWidth="1"/>
    <col min="6431" max="6431" width="13.140625" customWidth="1"/>
    <col min="6432" max="6432" width="14" customWidth="1"/>
    <col min="6433" max="6433" width="15.5703125" customWidth="1"/>
    <col min="6434" max="6434" width="13.7109375" customWidth="1"/>
    <col min="6435" max="6435" width="13.140625" customWidth="1"/>
    <col min="6657" max="6657" width="39.42578125" customWidth="1"/>
    <col min="6658" max="6664" width="12.42578125" customWidth="1"/>
    <col min="6665" max="6666" width="11.42578125" customWidth="1"/>
    <col min="6667" max="6667" width="14" customWidth="1"/>
    <col min="6668" max="6668" width="22" customWidth="1"/>
    <col min="6669" max="6669" width="12.42578125" customWidth="1"/>
    <col min="6670" max="6670" width="10.42578125" customWidth="1"/>
    <col min="6671" max="6671" width="12.28515625" customWidth="1"/>
    <col min="6672" max="6672" width="17.140625" customWidth="1"/>
    <col min="6673" max="6675" width="12.42578125" customWidth="1"/>
    <col min="6676" max="6676" width="17.140625" customWidth="1"/>
    <col min="6677" max="6677" width="19" customWidth="1"/>
    <col min="6678" max="6682" width="12.42578125" customWidth="1"/>
    <col min="6683" max="6683" width="18.28515625" customWidth="1"/>
    <col min="6684" max="6684" width="17.140625" customWidth="1"/>
    <col min="6685" max="6685" width="22.28515625" customWidth="1"/>
    <col min="6686" max="6686" width="18.7109375" customWidth="1"/>
    <col min="6687" max="6687" width="13.140625" customWidth="1"/>
    <col min="6688" max="6688" width="14" customWidth="1"/>
    <col min="6689" max="6689" width="15.5703125" customWidth="1"/>
    <col min="6690" max="6690" width="13.7109375" customWidth="1"/>
    <col min="6691" max="6691" width="13.140625" customWidth="1"/>
    <col min="6913" max="6913" width="39.42578125" customWidth="1"/>
    <col min="6914" max="6920" width="12.42578125" customWidth="1"/>
    <col min="6921" max="6922" width="11.42578125" customWidth="1"/>
    <col min="6923" max="6923" width="14" customWidth="1"/>
    <col min="6924" max="6924" width="22" customWidth="1"/>
    <col min="6925" max="6925" width="12.42578125" customWidth="1"/>
    <col min="6926" max="6926" width="10.42578125" customWidth="1"/>
    <col min="6927" max="6927" width="12.28515625" customWidth="1"/>
    <col min="6928" max="6928" width="17.140625" customWidth="1"/>
    <col min="6929" max="6931" width="12.42578125" customWidth="1"/>
    <col min="6932" max="6932" width="17.140625" customWidth="1"/>
    <col min="6933" max="6933" width="19" customWidth="1"/>
    <col min="6934" max="6938" width="12.42578125" customWidth="1"/>
    <col min="6939" max="6939" width="18.28515625" customWidth="1"/>
    <col min="6940" max="6940" width="17.140625" customWidth="1"/>
    <col min="6941" max="6941" width="22.28515625" customWidth="1"/>
    <col min="6942" max="6942" width="18.7109375" customWidth="1"/>
    <col min="6943" max="6943" width="13.140625" customWidth="1"/>
    <col min="6944" max="6944" width="14" customWidth="1"/>
    <col min="6945" max="6945" width="15.5703125" customWidth="1"/>
    <col min="6946" max="6946" width="13.7109375" customWidth="1"/>
    <col min="6947" max="6947" width="13.140625" customWidth="1"/>
    <col min="7169" max="7169" width="39.42578125" customWidth="1"/>
    <col min="7170" max="7176" width="12.42578125" customWidth="1"/>
    <col min="7177" max="7178" width="11.42578125" customWidth="1"/>
    <col min="7179" max="7179" width="14" customWidth="1"/>
    <col min="7180" max="7180" width="22" customWidth="1"/>
    <col min="7181" max="7181" width="12.42578125" customWidth="1"/>
    <col min="7182" max="7182" width="10.42578125" customWidth="1"/>
    <col min="7183" max="7183" width="12.28515625" customWidth="1"/>
    <col min="7184" max="7184" width="17.140625" customWidth="1"/>
    <col min="7185" max="7187" width="12.42578125" customWidth="1"/>
    <col min="7188" max="7188" width="17.140625" customWidth="1"/>
    <col min="7189" max="7189" width="19" customWidth="1"/>
    <col min="7190" max="7194" width="12.42578125" customWidth="1"/>
    <col min="7195" max="7195" width="18.28515625" customWidth="1"/>
    <col min="7196" max="7196" width="17.140625" customWidth="1"/>
    <col min="7197" max="7197" width="22.28515625" customWidth="1"/>
    <col min="7198" max="7198" width="18.7109375" customWidth="1"/>
    <col min="7199" max="7199" width="13.140625" customWidth="1"/>
    <col min="7200" max="7200" width="14" customWidth="1"/>
    <col min="7201" max="7201" width="15.5703125" customWidth="1"/>
    <col min="7202" max="7202" width="13.7109375" customWidth="1"/>
    <col min="7203" max="7203" width="13.140625" customWidth="1"/>
    <col min="7425" max="7425" width="39.42578125" customWidth="1"/>
    <col min="7426" max="7432" width="12.42578125" customWidth="1"/>
    <col min="7433" max="7434" width="11.42578125" customWidth="1"/>
    <col min="7435" max="7435" width="14" customWidth="1"/>
    <col min="7436" max="7436" width="22" customWidth="1"/>
    <col min="7437" max="7437" width="12.42578125" customWidth="1"/>
    <col min="7438" max="7438" width="10.42578125" customWidth="1"/>
    <col min="7439" max="7439" width="12.28515625" customWidth="1"/>
    <col min="7440" max="7440" width="17.140625" customWidth="1"/>
    <col min="7441" max="7443" width="12.42578125" customWidth="1"/>
    <col min="7444" max="7444" width="17.140625" customWidth="1"/>
    <col min="7445" max="7445" width="19" customWidth="1"/>
    <col min="7446" max="7450" width="12.42578125" customWidth="1"/>
    <col min="7451" max="7451" width="18.28515625" customWidth="1"/>
    <col min="7452" max="7452" width="17.140625" customWidth="1"/>
    <col min="7453" max="7453" width="22.28515625" customWidth="1"/>
    <col min="7454" max="7454" width="18.7109375" customWidth="1"/>
    <col min="7455" max="7455" width="13.140625" customWidth="1"/>
    <col min="7456" max="7456" width="14" customWidth="1"/>
    <col min="7457" max="7457" width="15.5703125" customWidth="1"/>
    <col min="7458" max="7458" width="13.7109375" customWidth="1"/>
    <col min="7459" max="7459" width="13.140625" customWidth="1"/>
    <col min="7681" max="7681" width="39.42578125" customWidth="1"/>
    <col min="7682" max="7688" width="12.42578125" customWidth="1"/>
    <col min="7689" max="7690" width="11.42578125" customWidth="1"/>
    <col min="7691" max="7691" width="14" customWidth="1"/>
    <col min="7692" max="7692" width="22" customWidth="1"/>
    <col min="7693" max="7693" width="12.42578125" customWidth="1"/>
    <col min="7694" max="7694" width="10.42578125" customWidth="1"/>
    <col min="7695" max="7695" width="12.28515625" customWidth="1"/>
    <col min="7696" max="7696" width="17.140625" customWidth="1"/>
    <col min="7697" max="7699" width="12.42578125" customWidth="1"/>
    <col min="7700" max="7700" width="17.140625" customWidth="1"/>
    <col min="7701" max="7701" width="19" customWidth="1"/>
    <col min="7702" max="7706" width="12.42578125" customWidth="1"/>
    <col min="7707" max="7707" width="18.28515625" customWidth="1"/>
    <col min="7708" max="7708" width="17.140625" customWidth="1"/>
    <col min="7709" max="7709" width="22.28515625" customWidth="1"/>
    <col min="7710" max="7710" width="18.7109375" customWidth="1"/>
    <col min="7711" max="7711" width="13.140625" customWidth="1"/>
    <col min="7712" max="7712" width="14" customWidth="1"/>
    <col min="7713" max="7713" width="15.5703125" customWidth="1"/>
    <col min="7714" max="7714" width="13.7109375" customWidth="1"/>
    <col min="7715" max="7715" width="13.140625" customWidth="1"/>
    <col min="7937" max="7937" width="39.42578125" customWidth="1"/>
    <col min="7938" max="7944" width="12.42578125" customWidth="1"/>
    <col min="7945" max="7946" width="11.42578125" customWidth="1"/>
    <col min="7947" max="7947" width="14" customWidth="1"/>
    <col min="7948" max="7948" width="22" customWidth="1"/>
    <col min="7949" max="7949" width="12.42578125" customWidth="1"/>
    <col min="7950" max="7950" width="10.42578125" customWidth="1"/>
    <col min="7951" max="7951" width="12.28515625" customWidth="1"/>
    <col min="7952" max="7952" width="17.140625" customWidth="1"/>
    <col min="7953" max="7955" width="12.42578125" customWidth="1"/>
    <col min="7956" max="7956" width="17.140625" customWidth="1"/>
    <col min="7957" max="7957" width="19" customWidth="1"/>
    <col min="7958" max="7962" width="12.42578125" customWidth="1"/>
    <col min="7963" max="7963" width="18.28515625" customWidth="1"/>
    <col min="7964" max="7964" width="17.140625" customWidth="1"/>
    <col min="7965" max="7965" width="22.28515625" customWidth="1"/>
    <col min="7966" max="7966" width="18.7109375" customWidth="1"/>
    <col min="7967" max="7967" width="13.140625" customWidth="1"/>
    <col min="7968" max="7968" width="14" customWidth="1"/>
    <col min="7969" max="7969" width="15.5703125" customWidth="1"/>
    <col min="7970" max="7970" width="13.7109375" customWidth="1"/>
    <col min="7971" max="7971" width="13.140625" customWidth="1"/>
    <col min="8193" max="8193" width="39.42578125" customWidth="1"/>
    <col min="8194" max="8200" width="12.42578125" customWidth="1"/>
    <col min="8201" max="8202" width="11.42578125" customWidth="1"/>
    <col min="8203" max="8203" width="14" customWidth="1"/>
    <col min="8204" max="8204" width="22" customWidth="1"/>
    <col min="8205" max="8205" width="12.42578125" customWidth="1"/>
    <col min="8206" max="8206" width="10.42578125" customWidth="1"/>
    <col min="8207" max="8207" width="12.28515625" customWidth="1"/>
    <col min="8208" max="8208" width="17.140625" customWidth="1"/>
    <col min="8209" max="8211" width="12.42578125" customWidth="1"/>
    <col min="8212" max="8212" width="17.140625" customWidth="1"/>
    <col min="8213" max="8213" width="19" customWidth="1"/>
    <col min="8214" max="8218" width="12.42578125" customWidth="1"/>
    <col min="8219" max="8219" width="18.28515625" customWidth="1"/>
    <col min="8220" max="8220" width="17.140625" customWidth="1"/>
    <col min="8221" max="8221" width="22.28515625" customWidth="1"/>
    <col min="8222" max="8222" width="18.7109375" customWidth="1"/>
    <col min="8223" max="8223" width="13.140625" customWidth="1"/>
    <col min="8224" max="8224" width="14" customWidth="1"/>
    <col min="8225" max="8225" width="15.5703125" customWidth="1"/>
    <col min="8226" max="8226" width="13.7109375" customWidth="1"/>
    <col min="8227" max="8227" width="13.140625" customWidth="1"/>
    <col min="8449" max="8449" width="39.42578125" customWidth="1"/>
    <col min="8450" max="8456" width="12.42578125" customWidth="1"/>
    <col min="8457" max="8458" width="11.42578125" customWidth="1"/>
    <col min="8459" max="8459" width="14" customWidth="1"/>
    <col min="8460" max="8460" width="22" customWidth="1"/>
    <col min="8461" max="8461" width="12.42578125" customWidth="1"/>
    <col min="8462" max="8462" width="10.42578125" customWidth="1"/>
    <col min="8463" max="8463" width="12.28515625" customWidth="1"/>
    <col min="8464" max="8464" width="17.140625" customWidth="1"/>
    <col min="8465" max="8467" width="12.42578125" customWidth="1"/>
    <col min="8468" max="8468" width="17.140625" customWidth="1"/>
    <col min="8469" max="8469" width="19" customWidth="1"/>
    <col min="8470" max="8474" width="12.42578125" customWidth="1"/>
    <col min="8475" max="8475" width="18.28515625" customWidth="1"/>
    <col min="8476" max="8476" width="17.140625" customWidth="1"/>
    <col min="8477" max="8477" width="22.28515625" customWidth="1"/>
    <col min="8478" max="8478" width="18.7109375" customWidth="1"/>
    <col min="8479" max="8479" width="13.140625" customWidth="1"/>
    <col min="8480" max="8480" width="14" customWidth="1"/>
    <col min="8481" max="8481" width="15.5703125" customWidth="1"/>
    <col min="8482" max="8482" width="13.7109375" customWidth="1"/>
    <col min="8483" max="8483" width="13.140625" customWidth="1"/>
    <col min="8705" max="8705" width="39.42578125" customWidth="1"/>
    <col min="8706" max="8712" width="12.42578125" customWidth="1"/>
    <col min="8713" max="8714" width="11.42578125" customWidth="1"/>
    <col min="8715" max="8715" width="14" customWidth="1"/>
    <col min="8716" max="8716" width="22" customWidth="1"/>
    <col min="8717" max="8717" width="12.42578125" customWidth="1"/>
    <col min="8718" max="8718" width="10.42578125" customWidth="1"/>
    <col min="8719" max="8719" width="12.28515625" customWidth="1"/>
    <col min="8720" max="8720" width="17.140625" customWidth="1"/>
    <col min="8721" max="8723" width="12.42578125" customWidth="1"/>
    <col min="8724" max="8724" width="17.140625" customWidth="1"/>
    <col min="8725" max="8725" width="19" customWidth="1"/>
    <col min="8726" max="8730" width="12.42578125" customWidth="1"/>
    <col min="8731" max="8731" width="18.28515625" customWidth="1"/>
    <col min="8732" max="8732" width="17.140625" customWidth="1"/>
    <col min="8733" max="8733" width="22.28515625" customWidth="1"/>
    <col min="8734" max="8734" width="18.7109375" customWidth="1"/>
    <col min="8735" max="8735" width="13.140625" customWidth="1"/>
    <col min="8736" max="8736" width="14" customWidth="1"/>
    <col min="8737" max="8737" width="15.5703125" customWidth="1"/>
    <col min="8738" max="8738" width="13.7109375" customWidth="1"/>
    <col min="8739" max="8739" width="13.140625" customWidth="1"/>
    <col min="8961" max="8961" width="39.42578125" customWidth="1"/>
    <col min="8962" max="8968" width="12.42578125" customWidth="1"/>
    <col min="8969" max="8970" width="11.42578125" customWidth="1"/>
    <col min="8971" max="8971" width="14" customWidth="1"/>
    <col min="8972" max="8972" width="22" customWidth="1"/>
    <col min="8973" max="8973" width="12.42578125" customWidth="1"/>
    <col min="8974" max="8974" width="10.42578125" customWidth="1"/>
    <col min="8975" max="8975" width="12.28515625" customWidth="1"/>
    <col min="8976" max="8976" width="17.140625" customWidth="1"/>
    <col min="8977" max="8979" width="12.42578125" customWidth="1"/>
    <col min="8980" max="8980" width="17.140625" customWidth="1"/>
    <col min="8981" max="8981" width="19" customWidth="1"/>
    <col min="8982" max="8986" width="12.42578125" customWidth="1"/>
    <col min="8987" max="8987" width="18.28515625" customWidth="1"/>
    <col min="8988" max="8988" width="17.140625" customWidth="1"/>
    <col min="8989" max="8989" width="22.28515625" customWidth="1"/>
    <col min="8990" max="8990" width="18.7109375" customWidth="1"/>
    <col min="8991" max="8991" width="13.140625" customWidth="1"/>
    <col min="8992" max="8992" width="14" customWidth="1"/>
    <col min="8993" max="8993" width="15.5703125" customWidth="1"/>
    <col min="8994" max="8994" width="13.7109375" customWidth="1"/>
    <col min="8995" max="8995" width="13.140625" customWidth="1"/>
    <col min="9217" max="9217" width="39.42578125" customWidth="1"/>
    <col min="9218" max="9224" width="12.42578125" customWidth="1"/>
    <col min="9225" max="9226" width="11.42578125" customWidth="1"/>
    <col min="9227" max="9227" width="14" customWidth="1"/>
    <col min="9228" max="9228" width="22" customWidth="1"/>
    <col min="9229" max="9229" width="12.42578125" customWidth="1"/>
    <col min="9230" max="9230" width="10.42578125" customWidth="1"/>
    <col min="9231" max="9231" width="12.28515625" customWidth="1"/>
    <col min="9232" max="9232" width="17.140625" customWidth="1"/>
    <col min="9233" max="9235" width="12.42578125" customWidth="1"/>
    <col min="9236" max="9236" width="17.140625" customWidth="1"/>
    <col min="9237" max="9237" width="19" customWidth="1"/>
    <col min="9238" max="9242" width="12.42578125" customWidth="1"/>
    <col min="9243" max="9243" width="18.28515625" customWidth="1"/>
    <col min="9244" max="9244" width="17.140625" customWidth="1"/>
    <col min="9245" max="9245" width="22.28515625" customWidth="1"/>
    <col min="9246" max="9246" width="18.7109375" customWidth="1"/>
    <col min="9247" max="9247" width="13.140625" customWidth="1"/>
    <col min="9248" max="9248" width="14" customWidth="1"/>
    <col min="9249" max="9249" width="15.5703125" customWidth="1"/>
    <col min="9250" max="9250" width="13.7109375" customWidth="1"/>
    <col min="9251" max="9251" width="13.140625" customWidth="1"/>
    <col min="9473" max="9473" width="39.42578125" customWidth="1"/>
    <col min="9474" max="9480" width="12.42578125" customWidth="1"/>
    <col min="9481" max="9482" width="11.42578125" customWidth="1"/>
    <col min="9483" max="9483" width="14" customWidth="1"/>
    <col min="9484" max="9484" width="22" customWidth="1"/>
    <col min="9485" max="9485" width="12.42578125" customWidth="1"/>
    <col min="9486" max="9486" width="10.42578125" customWidth="1"/>
    <col min="9487" max="9487" width="12.28515625" customWidth="1"/>
    <col min="9488" max="9488" width="17.140625" customWidth="1"/>
    <col min="9489" max="9491" width="12.42578125" customWidth="1"/>
    <col min="9492" max="9492" width="17.140625" customWidth="1"/>
    <col min="9493" max="9493" width="19" customWidth="1"/>
    <col min="9494" max="9498" width="12.42578125" customWidth="1"/>
    <col min="9499" max="9499" width="18.28515625" customWidth="1"/>
    <col min="9500" max="9500" width="17.140625" customWidth="1"/>
    <col min="9501" max="9501" width="22.28515625" customWidth="1"/>
    <col min="9502" max="9502" width="18.7109375" customWidth="1"/>
    <col min="9503" max="9503" width="13.140625" customWidth="1"/>
    <col min="9504" max="9504" width="14" customWidth="1"/>
    <col min="9505" max="9505" width="15.5703125" customWidth="1"/>
    <col min="9506" max="9506" width="13.7109375" customWidth="1"/>
    <col min="9507" max="9507" width="13.140625" customWidth="1"/>
    <col min="9729" max="9729" width="39.42578125" customWidth="1"/>
    <col min="9730" max="9736" width="12.42578125" customWidth="1"/>
    <col min="9737" max="9738" width="11.42578125" customWidth="1"/>
    <col min="9739" max="9739" width="14" customWidth="1"/>
    <col min="9740" max="9740" width="22" customWidth="1"/>
    <col min="9741" max="9741" width="12.42578125" customWidth="1"/>
    <col min="9742" max="9742" width="10.42578125" customWidth="1"/>
    <col min="9743" max="9743" width="12.28515625" customWidth="1"/>
    <col min="9744" max="9744" width="17.140625" customWidth="1"/>
    <col min="9745" max="9747" width="12.42578125" customWidth="1"/>
    <col min="9748" max="9748" width="17.140625" customWidth="1"/>
    <col min="9749" max="9749" width="19" customWidth="1"/>
    <col min="9750" max="9754" width="12.42578125" customWidth="1"/>
    <col min="9755" max="9755" width="18.28515625" customWidth="1"/>
    <col min="9756" max="9756" width="17.140625" customWidth="1"/>
    <col min="9757" max="9757" width="22.28515625" customWidth="1"/>
    <col min="9758" max="9758" width="18.7109375" customWidth="1"/>
    <col min="9759" max="9759" width="13.140625" customWidth="1"/>
    <col min="9760" max="9760" width="14" customWidth="1"/>
    <col min="9761" max="9761" width="15.5703125" customWidth="1"/>
    <col min="9762" max="9762" width="13.7109375" customWidth="1"/>
    <col min="9763" max="9763" width="13.140625" customWidth="1"/>
    <col min="9985" max="9985" width="39.42578125" customWidth="1"/>
    <col min="9986" max="9992" width="12.42578125" customWidth="1"/>
    <col min="9993" max="9994" width="11.42578125" customWidth="1"/>
    <col min="9995" max="9995" width="14" customWidth="1"/>
    <col min="9996" max="9996" width="22" customWidth="1"/>
    <col min="9997" max="9997" width="12.42578125" customWidth="1"/>
    <col min="9998" max="9998" width="10.42578125" customWidth="1"/>
    <col min="9999" max="9999" width="12.28515625" customWidth="1"/>
    <col min="10000" max="10000" width="17.140625" customWidth="1"/>
    <col min="10001" max="10003" width="12.42578125" customWidth="1"/>
    <col min="10004" max="10004" width="17.140625" customWidth="1"/>
    <col min="10005" max="10005" width="19" customWidth="1"/>
    <col min="10006" max="10010" width="12.42578125" customWidth="1"/>
    <col min="10011" max="10011" width="18.28515625" customWidth="1"/>
    <col min="10012" max="10012" width="17.140625" customWidth="1"/>
    <col min="10013" max="10013" width="22.28515625" customWidth="1"/>
    <col min="10014" max="10014" width="18.7109375" customWidth="1"/>
    <col min="10015" max="10015" width="13.140625" customWidth="1"/>
    <col min="10016" max="10016" width="14" customWidth="1"/>
    <col min="10017" max="10017" width="15.5703125" customWidth="1"/>
    <col min="10018" max="10018" width="13.7109375" customWidth="1"/>
    <col min="10019" max="10019" width="13.140625" customWidth="1"/>
    <col min="10241" max="10241" width="39.42578125" customWidth="1"/>
    <col min="10242" max="10248" width="12.42578125" customWidth="1"/>
    <col min="10249" max="10250" width="11.42578125" customWidth="1"/>
    <col min="10251" max="10251" width="14" customWidth="1"/>
    <col min="10252" max="10252" width="22" customWidth="1"/>
    <col min="10253" max="10253" width="12.42578125" customWidth="1"/>
    <col min="10254" max="10254" width="10.42578125" customWidth="1"/>
    <col min="10255" max="10255" width="12.28515625" customWidth="1"/>
    <col min="10256" max="10256" width="17.140625" customWidth="1"/>
    <col min="10257" max="10259" width="12.42578125" customWidth="1"/>
    <col min="10260" max="10260" width="17.140625" customWidth="1"/>
    <col min="10261" max="10261" width="19" customWidth="1"/>
    <col min="10262" max="10266" width="12.42578125" customWidth="1"/>
    <col min="10267" max="10267" width="18.28515625" customWidth="1"/>
    <col min="10268" max="10268" width="17.140625" customWidth="1"/>
    <col min="10269" max="10269" width="22.28515625" customWidth="1"/>
    <col min="10270" max="10270" width="18.7109375" customWidth="1"/>
    <col min="10271" max="10271" width="13.140625" customWidth="1"/>
    <col min="10272" max="10272" width="14" customWidth="1"/>
    <col min="10273" max="10273" width="15.5703125" customWidth="1"/>
    <col min="10274" max="10274" width="13.7109375" customWidth="1"/>
    <col min="10275" max="10275" width="13.140625" customWidth="1"/>
    <col min="10497" max="10497" width="39.42578125" customWidth="1"/>
    <col min="10498" max="10504" width="12.42578125" customWidth="1"/>
    <col min="10505" max="10506" width="11.42578125" customWidth="1"/>
    <col min="10507" max="10507" width="14" customWidth="1"/>
    <col min="10508" max="10508" width="22" customWidth="1"/>
    <col min="10509" max="10509" width="12.42578125" customWidth="1"/>
    <col min="10510" max="10510" width="10.42578125" customWidth="1"/>
    <col min="10511" max="10511" width="12.28515625" customWidth="1"/>
    <col min="10512" max="10512" width="17.140625" customWidth="1"/>
    <col min="10513" max="10515" width="12.42578125" customWidth="1"/>
    <col min="10516" max="10516" width="17.140625" customWidth="1"/>
    <col min="10517" max="10517" width="19" customWidth="1"/>
    <col min="10518" max="10522" width="12.42578125" customWidth="1"/>
    <col min="10523" max="10523" width="18.28515625" customWidth="1"/>
    <col min="10524" max="10524" width="17.140625" customWidth="1"/>
    <col min="10525" max="10525" width="22.28515625" customWidth="1"/>
    <col min="10526" max="10526" width="18.7109375" customWidth="1"/>
    <col min="10527" max="10527" width="13.140625" customWidth="1"/>
    <col min="10528" max="10528" width="14" customWidth="1"/>
    <col min="10529" max="10529" width="15.5703125" customWidth="1"/>
    <col min="10530" max="10530" width="13.7109375" customWidth="1"/>
    <col min="10531" max="10531" width="13.140625" customWidth="1"/>
    <col min="10753" max="10753" width="39.42578125" customWidth="1"/>
    <col min="10754" max="10760" width="12.42578125" customWidth="1"/>
    <col min="10761" max="10762" width="11.42578125" customWidth="1"/>
    <col min="10763" max="10763" width="14" customWidth="1"/>
    <col min="10764" max="10764" width="22" customWidth="1"/>
    <col min="10765" max="10765" width="12.42578125" customWidth="1"/>
    <col min="10766" max="10766" width="10.42578125" customWidth="1"/>
    <col min="10767" max="10767" width="12.28515625" customWidth="1"/>
    <col min="10768" max="10768" width="17.140625" customWidth="1"/>
    <col min="10769" max="10771" width="12.42578125" customWidth="1"/>
    <col min="10772" max="10772" width="17.140625" customWidth="1"/>
    <col min="10773" max="10773" width="19" customWidth="1"/>
    <col min="10774" max="10778" width="12.42578125" customWidth="1"/>
    <col min="10779" max="10779" width="18.28515625" customWidth="1"/>
    <col min="10780" max="10780" width="17.140625" customWidth="1"/>
    <col min="10781" max="10781" width="22.28515625" customWidth="1"/>
    <col min="10782" max="10782" width="18.7109375" customWidth="1"/>
    <col min="10783" max="10783" width="13.140625" customWidth="1"/>
    <col min="10784" max="10784" width="14" customWidth="1"/>
    <col min="10785" max="10785" width="15.5703125" customWidth="1"/>
    <col min="10786" max="10786" width="13.7109375" customWidth="1"/>
    <col min="10787" max="10787" width="13.140625" customWidth="1"/>
    <col min="11009" max="11009" width="39.42578125" customWidth="1"/>
    <col min="11010" max="11016" width="12.42578125" customWidth="1"/>
    <col min="11017" max="11018" width="11.42578125" customWidth="1"/>
    <col min="11019" max="11019" width="14" customWidth="1"/>
    <col min="11020" max="11020" width="22" customWidth="1"/>
    <col min="11021" max="11021" width="12.42578125" customWidth="1"/>
    <col min="11022" max="11022" width="10.42578125" customWidth="1"/>
    <col min="11023" max="11023" width="12.28515625" customWidth="1"/>
    <col min="11024" max="11024" width="17.140625" customWidth="1"/>
    <col min="11025" max="11027" width="12.42578125" customWidth="1"/>
    <col min="11028" max="11028" width="17.140625" customWidth="1"/>
    <col min="11029" max="11029" width="19" customWidth="1"/>
    <col min="11030" max="11034" width="12.42578125" customWidth="1"/>
    <col min="11035" max="11035" width="18.28515625" customWidth="1"/>
    <col min="11036" max="11036" width="17.140625" customWidth="1"/>
    <col min="11037" max="11037" width="22.28515625" customWidth="1"/>
    <col min="11038" max="11038" width="18.7109375" customWidth="1"/>
    <col min="11039" max="11039" width="13.140625" customWidth="1"/>
    <col min="11040" max="11040" width="14" customWidth="1"/>
    <col min="11041" max="11041" width="15.5703125" customWidth="1"/>
    <col min="11042" max="11042" width="13.7109375" customWidth="1"/>
    <col min="11043" max="11043" width="13.140625" customWidth="1"/>
    <col min="11265" max="11265" width="39.42578125" customWidth="1"/>
    <col min="11266" max="11272" width="12.42578125" customWidth="1"/>
    <col min="11273" max="11274" width="11.42578125" customWidth="1"/>
    <col min="11275" max="11275" width="14" customWidth="1"/>
    <col min="11276" max="11276" width="22" customWidth="1"/>
    <col min="11277" max="11277" width="12.42578125" customWidth="1"/>
    <col min="11278" max="11278" width="10.42578125" customWidth="1"/>
    <col min="11279" max="11279" width="12.28515625" customWidth="1"/>
    <col min="11280" max="11280" width="17.140625" customWidth="1"/>
    <col min="11281" max="11283" width="12.42578125" customWidth="1"/>
    <col min="11284" max="11284" width="17.140625" customWidth="1"/>
    <col min="11285" max="11285" width="19" customWidth="1"/>
    <col min="11286" max="11290" width="12.42578125" customWidth="1"/>
    <col min="11291" max="11291" width="18.28515625" customWidth="1"/>
    <col min="11292" max="11292" width="17.140625" customWidth="1"/>
    <col min="11293" max="11293" width="22.28515625" customWidth="1"/>
    <col min="11294" max="11294" width="18.7109375" customWidth="1"/>
    <col min="11295" max="11295" width="13.140625" customWidth="1"/>
    <col min="11296" max="11296" width="14" customWidth="1"/>
    <col min="11297" max="11297" width="15.5703125" customWidth="1"/>
    <col min="11298" max="11298" width="13.7109375" customWidth="1"/>
    <col min="11299" max="11299" width="13.140625" customWidth="1"/>
    <col min="11521" max="11521" width="39.42578125" customWidth="1"/>
    <col min="11522" max="11528" width="12.42578125" customWidth="1"/>
    <col min="11529" max="11530" width="11.42578125" customWidth="1"/>
    <col min="11531" max="11531" width="14" customWidth="1"/>
    <col min="11532" max="11532" width="22" customWidth="1"/>
    <col min="11533" max="11533" width="12.42578125" customWidth="1"/>
    <col min="11534" max="11534" width="10.42578125" customWidth="1"/>
    <col min="11535" max="11535" width="12.28515625" customWidth="1"/>
    <col min="11536" max="11536" width="17.140625" customWidth="1"/>
    <col min="11537" max="11539" width="12.42578125" customWidth="1"/>
    <col min="11540" max="11540" width="17.140625" customWidth="1"/>
    <col min="11541" max="11541" width="19" customWidth="1"/>
    <col min="11542" max="11546" width="12.42578125" customWidth="1"/>
    <col min="11547" max="11547" width="18.28515625" customWidth="1"/>
    <col min="11548" max="11548" width="17.140625" customWidth="1"/>
    <col min="11549" max="11549" width="22.28515625" customWidth="1"/>
    <col min="11550" max="11550" width="18.7109375" customWidth="1"/>
    <col min="11551" max="11551" width="13.140625" customWidth="1"/>
    <col min="11552" max="11552" width="14" customWidth="1"/>
    <col min="11553" max="11553" width="15.5703125" customWidth="1"/>
    <col min="11554" max="11554" width="13.7109375" customWidth="1"/>
    <col min="11555" max="11555" width="13.140625" customWidth="1"/>
    <col min="11777" max="11777" width="39.42578125" customWidth="1"/>
    <col min="11778" max="11784" width="12.42578125" customWidth="1"/>
    <col min="11785" max="11786" width="11.42578125" customWidth="1"/>
    <col min="11787" max="11787" width="14" customWidth="1"/>
    <col min="11788" max="11788" width="22" customWidth="1"/>
    <col min="11789" max="11789" width="12.42578125" customWidth="1"/>
    <col min="11790" max="11790" width="10.42578125" customWidth="1"/>
    <col min="11791" max="11791" width="12.28515625" customWidth="1"/>
    <col min="11792" max="11792" width="17.140625" customWidth="1"/>
    <col min="11793" max="11795" width="12.42578125" customWidth="1"/>
    <col min="11796" max="11796" width="17.140625" customWidth="1"/>
    <col min="11797" max="11797" width="19" customWidth="1"/>
    <col min="11798" max="11802" width="12.42578125" customWidth="1"/>
    <col min="11803" max="11803" width="18.28515625" customWidth="1"/>
    <col min="11804" max="11804" width="17.140625" customWidth="1"/>
    <col min="11805" max="11805" width="22.28515625" customWidth="1"/>
    <col min="11806" max="11806" width="18.7109375" customWidth="1"/>
    <col min="11807" max="11807" width="13.140625" customWidth="1"/>
    <col min="11808" max="11808" width="14" customWidth="1"/>
    <col min="11809" max="11809" width="15.5703125" customWidth="1"/>
    <col min="11810" max="11810" width="13.7109375" customWidth="1"/>
    <col min="11811" max="11811" width="13.140625" customWidth="1"/>
    <col min="12033" max="12033" width="39.42578125" customWidth="1"/>
    <col min="12034" max="12040" width="12.42578125" customWidth="1"/>
    <col min="12041" max="12042" width="11.42578125" customWidth="1"/>
    <col min="12043" max="12043" width="14" customWidth="1"/>
    <col min="12044" max="12044" width="22" customWidth="1"/>
    <col min="12045" max="12045" width="12.42578125" customWidth="1"/>
    <col min="12046" max="12046" width="10.42578125" customWidth="1"/>
    <col min="12047" max="12047" width="12.28515625" customWidth="1"/>
    <col min="12048" max="12048" width="17.140625" customWidth="1"/>
    <col min="12049" max="12051" width="12.42578125" customWidth="1"/>
    <col min="12052" max="12052" width="17.140625" customWidth="1"/>
    <col min="12053" max="12053" width="19" customWidth="1"/>
    <col min="12054" max="12058" width="12.42578125" customWidth="1"/>
    <col min="12059" max="12059" width="18.28515625" customWidth="1"/>
    <col min="12060" max="12060" width="17.140625" customWidth="1"/>
    <col min="12061" max="12061" width="22.28515625" customWidth="1"/>
    <col min="12062" max="12062" width="18.7109375" customWidth="1"/>
    <col min="12063" max="12063" width="13.140625" customWidth="1"/>
    <col min="12064" max="12064" width="14" customWidth="1"/>
    <col min="12065" max="12065" width="15.5703125" customWidth="1"/>
    <col min="12066" max="12066" width="13.7109375" customWidth="1"/>
    <col min="12067" max="12067" width="13.140625" customWidth="1"/>
    <col min="12289" max="12289" width="39.42578125" customWidth="1"/>
    <col min="12290" max="12296" width="12.42578125" customWidth="1"/>
    <col min="12297" max="12298" width="11.42578125" customWidth="1"/>
    <col min="12299" max="12299" width="14" customWidth="1"/>
    <col min="12300" max="12300" width="22" customWidth="1"/>
    <col min="12301" max="12301" width="12.42578125" customWidth="1"/>
    <col min="12302" max="12302" width="10.42578125" customWidth="1"/>
    <col min="12303" max="12303" width="12.28515625" customWidth="1"/>
    <col min="12304" max="12304" width="17.140625" customWidth="1"/>
    <col min="12305" max="12307" width="12.42578125" customWidth="1"/>
    <col min="12308" max="12308" width="17.140625" customWidth="1"/>
    <col min="12309" max="12309" width="19" customWidth="1"/>
    <col min="12310" max="12314" width="12.42578125" customWidth="1"/>
    <col min="12315" max="12315" width="18.28515625" customWidth="1"/>
    <col min="12316" max="12316" width="17.140625" customWidth="1"/>
    <col min="12317" max="12317" width="22.28515625" customWidth="1"/>
    <col min="12318" max="12318" width="18.7109375" customWidth="1"/>
    <col min="12319" max="12319" width="13.140625" customWidth="1"/>
    <col min="12320" max="12320" width="14" customWidth="1"/>
    <col min="12321" max="12321" width="15.5703125" customWidth="1"/>
    <col min="12322" max="12322" width="13.7109375" customWidth="1"/>
    <col min="12323" max="12323" width="13.140625" customWidth="1"/>
    <col min="12545" max="12545" width="39.42578125" customWidth="1"/>
    <col min="12546" max="12552" width="12.42578125" customWidth="1"/>
    <col min="12553" max="12554" width="11.42578125" customWidth="1"/>
    <col min="12555" max="12555" width="14" customWidth="1"/>
    <col min="12556" max="12556" width="22" customWidth="1"/>
    <col min="12557" max="12557" width="12.42578125" customWidth="1"/>
    <col min="12558" max="12558" width="10.42578125" customWidth="1"/>
    <col min="12559" max="12559" width="12.28515625" customWidth="1"/>
    <col min="12560" max="12560" width="17.140625" customWidth="1"/>
    <col min="12561" max="12563" width="12.42578125" customWidth="1"/>
    <col min="12564" max="12564" width="17.140625" customWidth="1"/>
    <col min="12565" max="12565" width="19" customWidth="1"/>
    <col min="12566" max="12570" width="12.42578125" customWidth="1"/>
    <col min="12571" max="12571" width="18.28515625" customWidth="1"/>
    <col min="12572" max="12572" width="17.140625" customWidth="1"/>
    <col min="12573" max="12573" width="22.28515625" customWidth="1"/>
    <col min="12574" max="12574" width="18.7109375" customWidth="1"/>
    <col min="12575" max="12575" width="13.140625" customWidth="1"/>
    <col min="12576" max="12576" width="14" customWidth="1"/>
    <col min="12577" max="12577" width="15.5703125" customWidth="1"/>
    <col min="12578" max="12578" width="13.7109375" customWidth="1"/>
    <col min="12579" max="12579" width="13.140625" customWidth="1"/>
    <col min="12801" max="12801" width="39.42578125" customWidth="1"/>
    <col min="12802" max="12808" width="12.42578125" customWidth="1"/>
    <col min="12809" max="12810" width="11.42578125" customWidth="1"/>
    <col min="12811" max="12811" width="14" customWidth="1"/>
    <col min="12812" max="12812" width="22" customWidth="1"/>
    <col min="12813" max="12813" width="12.42578125" customWidth="1"/>
    <col min="12814" max="12814" width="10.42578125" customWidth="1"/>
    <col min="12815" max="12815" width="12.28515625" customWidth="1"/>
    <col min="12816" max="12816" width="17.140625" customWidth="1"/>
    <col min="12817" max="12819" width="12.42578125" customWidth="1"/>
    <col min="12820" max="12820" width="17.140625" customWidth="1"/>
    <col min="12821" max="12821" width="19" customWidth="1"/>
    <col min="12822" max="12826" width="12.42578125" customWidth="1"/>
    <col min="12827" max="12827" width="18.28515625" customWidth="1"/>
    <col min="12828" max="12828" width="17.140625" customWidth="1"/>
    <col min="12829" max="12829" width="22.28515625" customWidth="1"/>
    <col min="12830" max="12830" width="18.7109375" customWidth="1"/>
    <col min="12831" max="12831" width="13.140625" customWidth="1"/>
    <col min="12832" max="12832" width="14" customWidth="1"/>
    <col min="12833" max="12833" width="15.5703125" customWidth="1"/>
    <col min="12834" max="12834" width="13.7109375" customWidth="1"/>
    <col min="12835" max="12835" width="13.140625" customWidth="1"/>
    <col min="13057" max="13057" width="39.42578125" customWidth="1"/>
    <col min="13058" max="13064" width="12.42578125" customWidth="1"/>
    <col min="13065" max="13066" width="11.42578125" customWidth="1"/>
    <col min="13067" max="13067" width="14" customWidth="1"/>
    <col min="13068" max="13068" width="22" customWidth="1"/>
    <col min="13069" max="13069" width="12.42578125" customWidth="1"/>
    <col min="13070" max="13070" width="10.42578125" customWidth="1"/>
    <col min="13071" max="13071" width="12.28515625" customWidth="1"/>
    <col min="13072" max="13072" width="17.140625" customWidth="1"/>
    <col min="13073" max="13075" width="12.42578125" customWidth="1"/>
    <col min="13076" max="13076" width="17.140625" customWidth="1"/>
    <col min="13077" max="13077" width="19" customWidth="1"/>
    <col min="13078" max="13082" width="12.42578125" customWidth="1"/>
    <col min="13083" max="13083" width="18.28515625" customWidth="1"/>
    <col min="13084" max="13084" width="17.140625" customWidth="1"/>
    <col min="13085" max="13085" width="22.28515625" customWidth="1"/>
    <col min="13086" max="13086" width="18.7109375" customWidth="1"/>
    <col min="13087" max="13087" width="13.140625" customWidth="1"/>
    <col min="13088" max="13088" width="14" customWidth="1"/>
    <col min="13089" max="13089" width="15.5703125" customWidth="1"/>
    <col min="13090" max="13090" width="13.7109375" customWidth="1"/>
    <col min="13091" max="13091" width="13.140625" customWidth="1"/>
    <col min="13313" max="13313" width="39.42578125" customWidth="1"/>
    <col min="13314" max="13320" width="12.42578125" customWidth="1"/>
    <col min="13321" max="13322" width="11.42578125" customWidth="1"/>
    <col min="13323" max="13323" width="14" customWidth="1"/>
    <col min="13324" max="13324" width="22" customWidth="1"/>
    <col min="13325" max="13325" width="12.42578125" customWidth="1"/>
    <col min="13326" max="13326" width="10.42578125" customWidth="1"/>
    <col min="13327" max="13327" width="12.28515625" customWidth="1"/>
    <col min="13328" max="13328" width="17.140625" customWidth="1"/>
    <col min="13329" max="13331" width="12.42578125" customWidth="1"/>
    <col min="13332" max="13332" width="17.140625" customWidth="1"/>
    <col min="13333" max="13333" width="19" customWidth="1"/>
    <col min="13334" max="13338" width="12.42578125" customWidth="1"/>
    <col min="13339" max="13339" width="18.28515625" customWidth="1"/>
    <col min="13340" max="13340" width="17.140625" customWidth="1"/>
    <col min="13341" max="13341" width="22.28515625" customWidth="1"/>
    <col min="13342" max="13342" width="18.7109375" customWidth="1"/>
    <col min="13343" max="13343" width="13.140625" customWidth="1"/>
    <col min="13344" max="13344" width="14" customWidth="1"/>
    <col min="13345" max="13345" width="15.5703125" customWidth="1"/>
    <col min="13346" max="13346" width="13.7109375" customWidth="1"/>
    <col min="13347" max="13347" width="13.140625" customWidth="1"/>
    <col min="13569" max="13569" width="39.42578125" customWidth="1"/>
    <col min="13570" max="13576" width="12.42578125" customWidth="1"/>
    <col min="13577" max="13578" width="11.42578125" customWidth="1"/>
    <col min="13579" max="13579" width="14" customWidth="1"/>
    <col min="13580" max="13580" width="22" customWidth="1"/>
    <col min="13581" max="13581" width="12.42578125" customWidth="1"/>
    <col min="13582" max="13582" width="10.42578125" customWidth="1"/>
    <col min="13583" max="13583" width="12.28515625" customWidth="1"/>
    <col min="13584" max="13584" width="17.140625" customWidth="1"/>
    <col min="13585" max="13587" width="12.42578125" customWidth="1"/>
    <col min="13588" max="13588" width="17.140625" customWidth="1"/>
    <col min="13589" max="13589" width="19" customWidth="1"/>
    <col min="13590" max="13594" width="12.42578125" customWidth="1"/>
    <col min="13595" max="13595" width="18.28515625" customWidth="1"/>
    <col min="13596" max="13596" width="17.140625" customWidth="1"/>
    <col min="13597" max="13597" width="22.28515625" customWidth="1"/>
    <col min="13598" max="13598" width="18.7109375" customWidth="1"/>
    <col min="13599" max="13599" width="13.140625" customWidth="1"/>
    <col min="13600" max="13600" width="14" customWidth="1"/>
    <col min="13601" max="13601" width="15.5703125" customWidth="1"/>
    <col min="13602" max="13602" width="13.7109375" customWidth="1"/>
    <col min="13603" max="13603" width="13.140625" customWidth="1"/>
    <col min="13825" max="13825" width="39.42578125" customWidth="1"/>
    <col min="13826" max="13832" width="12.42578125" customWidth="1"/>
    <col min="13833" max="13834" width="11.42578125" customWidth="1"/>
    <col min="13835" max="13835" width="14" customWidth="1"/>
    <col min="13836" max="13836" width="22" customWidth="1"/>
    <col min="13837" max="13837" width="12.42578125" customWidth="1"/>
    <col min="13838" max="13838" width="10.42578125" customWidth="1"/>
    <col min="13839" max="13839" width="12.28515625" customWidth="1"/>
    <col min="13840" max="13840" width="17.140625" customWidth="1"/>
    <col min="13841" max="13843" width="12.42578125" customWidth="1"/>
    <col min="13844" max="13844" width="17.140625" customWidth="1"/>
    <col min="13845" max="13845" width="19" customWidth="1"/>
    <col min="13846" max="13850" width="12.42578125" customWidth="1"/>
    <col min="13851" max="13851" width="18.28515625" customWidth="1"/>
    <col min="13852" max="13852" width="17.140625" customWidth="1"/>
    <col min="13853" max="13853" width="22.28515625" customWidth="1"/>
    <col min="13854" max="13854" width="18.7109375" customWidth="1"/>
    <col min="13855" max="13855" width="13.140625" customWidth="1"/>
    <col min="13856" max="13856" width="14" customWidth="1"/>
    <col min="13857" max="13857" width="15.5703125" customWidth="1"/>
    <col min="13858" max="13858" width="13.7109375" customWidth="1"/>
    <col min="13859" max="13859" width="13.140625" customWidth="1"/>
    <col min="14081" max="14081" width="39.42578125" customWidth="1"/>
    <col min="14082" max="14088" width="12.42578125" customWidth="1"/>
    <col min="14089" max="14090" width="11.42578125" customWidth="1"/>
    <col min="14091" max="14091" width="14" customWidth="1"/>
    <col min="14092" max="14092" width="22" customWidth="1"/>
    <col min="14093" max="14093" width="12.42578125" customWidth="1"/>
    <col min="14094" max="14094" width="10.42578125" customWidth="1"/>
    <col min="14095" max="14095" width="12.28515625" customWidth="1"/>
    <col min="14096" max="14096" width="17.140625" customWidth="1"/>
    <col min="14097" max="14099" width="12.42578125" customWidth="1"/>
    <col min="14100" max="14100" width="17.140625" customWidth="1"/>
    <col min="14101" max="14101" width="19" customWidth="1"/>
    <col min="14102" max="14106" width="12.42578125" customWidth="1"/>
    <col min="14107" max="14107" width="18.28515625" customWidth="1"/>
    <col min="14108" max="14108" width="17.140625" customWidth="1"/>
    <col min="14109" max="14109" width="22.28515625" customWidth="1"/>
    <col min="14110" max="14110" width="18.7109375" customWidth="1"/>
    <col min="14111" max="14111" width="13.140625" customWidth="1"/>
    <col min="14112" max="14112" width="14" customWidth="1"/>
    <col min="14113" max="14113" width="15.5703125" customWidth="1"/>
    <col min="14114" max="14114" width="13.7109375" customWidth="1"/>
    <col min="14115" max="14115" width="13.140625" customWidth="1"/>
    <col min="14337" max="14337" width="39.42578125" customWidth="1"/>
    <col min="14338" max="14344" width="12.42578125" customWidth="1"/>
    <col min="14345" max="14346" width="11.42578125" customWidth="1"/>
    <col min="14347" max="14347" width="14" customWidth="1"/>
    <col min="14348" max="14348" width="22" customWidth="1"/>
    <col min="14349" max="14349" width="12.42578125" customWidth="1"/>
    <col min="14350" max="14350" width="10.42578125" customWidth="1"/>
    <col min="14351" max="14351" width="12.28515625" customWidth="1"/>
    <col min="14352" max="14352" width="17.140625" customWidth="1"/>
    <col min="14353" max="14355" width="12.42578125" customWidth="1"/>
    <col min="14356" max="14356" width="17.140625" customWidth="1"/>
    <col min="14357" max="14357" width="19" customWidth="1"/>
    <col min="14358" max="14362" width="12.42578125" customWidth="1"/>
    <col min="14363" max="14363" width="18.28515625" customWidth="1"/>
    <col min="14364" max="14364" width="17.140625" customWidth="1"/>
    <col min="14365" max="14365" width="22.28515625" customWidth="1"/>
    <col min="14366" max="14366" width="18.7109375" customWidth="1"/>
    <col min="14367" max="14367" width="13.140625" customWidth="1"/>
    <col min="14368" max="14368" width="14" customWidth="1"/>
    <col min="14369" max="14369" width="15.5703125" customWidth="1"/>
    <col min="14370" max="14370" width="13.7109375" customWidth="1"/>
    <col min="14371" max="14371" width="13.140625" customWidth="1"/>
    <col min="14593" max="14593" width="39.42578125" customWidth="1"/>
    <col min="14594" max="14600" width="12.42578125" customWidth="1"/>
    <col min="14601" max="14602" width="11.42578125" customWidth="1"/>
    <col min="14603" max="14603" width="14" customWidth="1"/>
    <col min="14604" max="14604" width="22" customWidth="1"/>
    <col min="14605" max="14605" width="12.42578125" customWidth="1"/>
    <col min="14606" max="14606" width="10.42578125" customWidth="1"/>
    <col min="14607" max="14607" width="12.28515625" customWidth="1"/>
    <col min="14608" max="14608" width="17.140625" customWidth="1"/>
    <col min="14609" max="14611" width="12.42578125" customWidth="1"/>
    <col min="14612" max="14612" width="17.140625" customWidth="1"/>
    <col min="14613" max="14613" width="19" customWidth="1"/>
    <col min="14614" max="14618" width="12.42578125" customWidth="1"/>
    <col min="14619" max="14619" width="18.28515625" customWidth="1"/>
    <col min="14620" max="14620" width="17.140625" customWidth="1"/>
    <col min="14621" max="14621" width="22.28515625" customWidth="1"/>
    <col min="14622" max="14622" width="18.7109375" customWidth="1"/>
    <col min="14623" max="14623" width="13.140625" customWidth="1"/>
    <col min="14624" max="14624" width="14" customWidth="1"/>
    <col min="14625" max="14625" width="15.5703125" customWidth="1"/>
    <col min="14626" max="14626" width="13.7109375" customWidth="1"/>
    <col min="14627" max="14627" width="13.140625" customWidth="1"/>
    <col min="14849" max="14849" width="39.42578125" customWidth="1"/>
    <col min="14850" max="14856" width="12.42578125" customWidth="1"/>
    <col min="14857" max="14858" width="11.42578125" customWidth="1"/>
    <col min="14859" max="14859" width="14" customWidth="1"/>
    <col min="14860" max="14860" width="22" customWidth="1"/>
    <col min="14861" max="14861" width="12.42578125" customWidth="1"/>
    <col min="14862" max="14862" width="10.42578125" customWidth="1"/>
    <col min="14863" max="14863" width="12.28515625" customWidth="1"/>
    <col min="14864" max="14864" width="17.140625" customWidth="1"/>
    <col min="14865" max="14867" width="12.42578125" customWidth="1"/>
    <col min="14868" max="14868" width="17.140625" customWidth="1"/>
    <col min="14869" max="14869" width="19" customWidth="1"/>
    <col min="14870" max="14874" width="12.42578125" customWidth="1"/>
    <col min="14875" max="14875" width="18.28515625" customWidth="1"/>
    <col min="14876" max="14876" width="17.140625" customWidth="1"/>
    <col min="14877" max="14877" width="22.28515625" customWidth="1"/>
    <col min="14878" max="14878" width="18.7109375" customWidth="1"/>
    <col min="14879" max="14879" width="13.140625" customWidth="1"/>
    <col min="14880" max="14880" width="14" customWidth="1"/>
    <col min="14881" max="14881" width="15.5703125" customWidth="1"/>
    <col min="14882" max="14882" width="13.7109375" customWidth="1"/>
    <col min="14883" max="14883" width="13.140625" customWidth="1"/>
    <col min="15105" max="15105" width="39.42578125" customWidth="1"/>
    <col min="15106" max="15112" width="12.42578125" customWidth="1"/>
    <col min="15113" max="15114" width="11.42578125" customWidth="1"/>
    <col min="15115" max="15115" width="14" customWidth="1"/>
    <col min="15116" max="15116" width="22" customWidth="1"/>
    <col min="15117" max="15117" width="12.42578125" customWidth="1"/>
    <col min="15118" max="15118" width="10.42578125" customWidth="1"/>
    <col min="15119" max="15119" width="12.28515625" customWidth="1"/>
    <col min="15120" max="15120" width="17.140625" customWidth="1"/>
    <col min="15121" max="15123" width="12.42578125" customWidth="1"/>
    <col min="15124" max="15124" width="17.140625" customWidth="1"/>
    <col min="15125" max="15125" width="19" customWidth="1"/>
    <col min="15126" max="15130" width="12.42578125" customWidth="1"/>
    <col min="15131" max="15131" width="18.28515625" customWidth="1"/>
    <col min="15132" max="15132" width="17.140625" customWidth="1"/>
    <col min="15133" max="15133" width="22.28515625" customWidth="1"/>
    <col min="15134" max="15134" width="18.7109375" customWidth="1"/>
    <col min="15135" max="15135" width="13.140625" customWidth="1"/>
    <col min="15136" max="15136" width="14" customWidth="1"/>
    <col min="15137" max="15137" width="15.5703125" customWidth="1"/>
    <col min="15138" max="15138" width="13.7109375" customWidth="1"/>
    <col min="15139" max="15139" width="13.140625" customWidth="1"/>
    <col min="15361" max="15361" width="39.42578125" customWidth="1"/>
    <col min="15362" max="15368" width="12.42578125" customWidth="1"/>
    <col min="15369" max="15370" width="11.42578125" customWidth="1"/>
    <col min="15371" max="15371" width="14" customWidth="1"/>
    <col min="15372" max="15372" width="22" customWidth="1"/>
    <col min="15373" max="15373" width="12.42578125" customWidth="1"/>
    <col min="15374" max="15374" width="10.42578125" customWidth="1"/>
    <col min="15375" max="15375" width="12.28515625" customWidth="1"/>
    <col min="15376" max="15376" width="17.140625" customWidth="1"/>
    <col min="15377" max="15379" width="12.42578125" customWidth="1"/>
    <col min="15380" max="15380" width="17.140625" customWidth="1"/>
    <col min="15381" max="15381" width="19" customWidth="1"/>
    <col min="15382" max="15386" width="12.42578125" customWidth="1"/>
    <col min="15387" max="15387" width="18.28515625" customWidth="1"/>
    <col min="15388" max="15388" width="17.140625" customWidth="1"/>
    <col min="15389" max="15389" width="22.28515625" customWidth="1"/>
    <col min="15390" max="15390" width="18.7109375" customWidth="1"/>
    <col min="15391" max="15391" width="13.140625" customWidth="1"/>
    <col min="15392" max="15392" width="14" customWidth="1"/>
    <col min="15393" max="15393" width="15.5703125" customWidth="1"/>
    <col min="15394" max="15394" width="13.7109375" customWidth="1"/>
    <col min="15395" max="15395" width="13.140625" customWidth="1"/>
    <col min="15617" max="15617" width="39.42578125" customWidth="1"/>
    <col min="15618" max="15624" width="12.42578125" customWidth="1"/>
    <col min="15625" max="15626" width="11.42578125" customWidth="1"/>
    <col min="15627" max="15627" width="14" customWidth="1"/>
    <col min="15628" max="15628" width="22" customWidth="1"/>
    <col min="15629" max="15629" width="12.42578125" customWidth="1"/>
    <col min="15630" max="15630" width="10.42578125" customWidth="1"/>
    <col min="15631" max="15631" width="12.28515625" customWidth="1"/>
    <col min="15632" max="15632" width="17.140625" customWidth="1"/>
    <col min="15633" max="15635" width="12.42578125" customWidth="1"/>
    <col min="15636" max="15636" width="17.140625" customWidth="1"/>
    <col min="15637" max="15637" width="19" customWidth="1"/>
    <col min="15638" max="15642" width="12.42578125" customWidth="1"/>
    <col min="15643" max="15643" width="18.28515625" customWidth="1"/>
    <col min="15644" max="15644" width="17.140625" customWidth="1"/>
    <col min="15645" max="15645" width="22.28515625" customWidth="1"/>
    <col min="15646" max="15646" width="18.7109375" customWidth="1"/>
    <col min="15647" max="15647" width="13.140625" customWidth="1"/>
    <col min="15648" max="15648" width="14" customWidth="1"/>
    <col min="15649" max="15649" width="15.5703125" customWidth="1"/>
    <col min="15650" max="15650" width="13.7109375" customWidth="1"/>
    <col min="15651" max="15651" width="13.140625" customWidth="1"/>
    <col min="15873" max="15873" width="39.42578125" customWidth="1"/>
    <col min="15874" max="15880" width="12.42578125" customWidth="1"/>
    <col min="15881" max="15882" width="11.42578125" customWidth="1"/>
    <col min="15883" max="15883" width="14" customWidth="1"/>
    <col min="15884" max="15884" width="22" customWidth="1"/>
    <col min="15885" max="15885" width="12.42578125" customWidth="1"/>
    <col min="15886" max="15886" width="10.42578125" customWidth="1"/>
    <col min="15887" max="15887" width="12.28515625" customWidth="1"/>
    <col min="15888" max="15888" width="17.140625" customWidth="1"/>
    <col min="15889" max="15891" width="12.42578125" customWidth="1"/>
    <col min="15892" max="15892" width="17.140625" customWidth="1"/>
    <col min="15893" max="15893" width="19" customWidth="1"/>
    <col min="15894" max="15898" width="12.42578125" customWidth="1"/>
    <col min="15899" max="15899" width="18.28515625" customWidth="1"/>
    <col min="15900" max="15900" width="17.140625" customWidth="1"/>
    <col min="15901" max="15901" width="22.28515625" customWidth="1"/>
    <col min="15902" max="15902" width="18.7109375" customWidth="1"/>
    <col min="15903" max="15903" width="13.140625" customWidth="1"/>
    <col min="15904" max="15904" width="14" customWidth="1"/>
    <col min="15905" max="15905" width="15.5703125" customWidth="1"/>
    <col min="15906" max="15906" width="13.7109375" customWidth="1"/>
    <col min="15907" max="15907" width="13.140625" customWidth="1"/>
    <col min="16129" max="16129" width="39.42578125" customWidth="1"/>
    <col min="16130" max="16136" width="12.42578125" customWidth="1"/>
    <col min="16137" max="16138" width="11.42578125" customWidth="1"/>
    <col min="16139" max="16139" width="14" customWidth="1"/>
    <col min="16140" max="16140" width="22" customWidth="1"/>
    <col min="16141" max="16141" width="12.42578125" customWidth="1"/>
    <col min="16142" max="16142" width="10.42578125" customWidth="1"/>
    <col min="16143" max="16143" width="12.28515625" customWidth="1"/>
    <col min="16144" max="16144" width="17.140625" customWidth="1"/>
    <col min="16145" max="16147" width="12.42578125" customWidth="1"/>
    <col min="16148" max="16148" width="17.140625" customWidth="1"/>
    <col min="16149" max="16149" width="19" customWidth="1"/>
    <col min="16150" max="16154" width="12.42578125" customWidth="1"/>
    <col min="16155" max="16155" width="18.28515625" customWidth="1"/>
    <col min="16156" max="16156" width="17.140625" customWidth="1"/>
    <col min="16157" max="16157" width="22.28515625" customWidth="1"/>
    <col min="16158" max="16158" width="18.7109375" customWidth="1"/>
    <col min="16159" max="16159" width="13.140625" customWidth="1"/>
    <col min="16160" max="16160" width="14" customWidth="1"/>
    <col min="16161" max="16161" width="15.5703125" customWidth="1"/>
    <col min="16162" max="16162" width="13.7109375" customWidth="1"/>
    <col min="16163" max="16163" width="13.140625" customWidth="1"/>
  </cols>
  <sheetData>
    <row r="1" spans="1:34" ht="19.5" thickBot="1" x14ac:dyDescent="0.3">
      <c r="A1" s="1778" t="s">
        <v>253</v>
      </c>
      <c r="B1" s="1779"/>
      <c r="C1" s="1779"/>
      <c r="D1" s="1779"/>
      <c r="E1" s="1779"/>
      <c r="F1" s="1779"/>
      <c r="G1" s="1779"/>
      <c r="H1" s="1779"/>
      <c r="I1" s="1779"/>
      <c r="J1" s="1779"/>
      <c r="K1" s="1779"/>
      <c r="L1" s="1779"/>
      <c r="M1" s="1779"/>
      <c r="N1" s="1779"/>
      <c r="O1" s="1779"/>
      <c r="P1" s="1779"/>
      <c r="Q1" s="1779"/>
      <c r="R1" s="1779"/>
      <c r="S1" s="1779"/>
      <c r="T1" s="1779"/>
      <c r="U1" s="1779"/>
      <c r="V1" s="1779"/>
      <c r="W1" s="1779"/>
      <c r="X1" s="1779"/>
      <c r="Y1" s="1779"/>
      <c r="Z1" s="1779"/>
      <c r="AA1" s="1779"/>
      <c r="AB1" s="1779"/>
      <c r="AC1" s="1779"/>
      <c r="AD1" s="1779"/>
      <c r="AE1" s="1779"/>
      <c r="AF1" s="1779"/>
      <c r="AG1" s="1779"/>
      <c r="AH1" s="1780"/>
    </row>
    <row r="2" spans="1:34" ht="14.45" customHeight="1" x14ac:dyDescent="0.25">
      <c r="A2" s="1774" t="s">
        <v>530</v>
      </c>
      <c r="B2" s="1781" t="s">
        <v>254</v>
      </c>
      <c r="C2" s="1782"/>
      <c r="D2" s="1782"/>
      <c r="E2" s="1782"/>
      <c r="F2" s="1782"/>
      <c r="G2" s="1782"/>
      <c r="H2" s="1782"/>
      <c r="I2" s="1782"/>
      <c r="J2" s="1782"/>
      <c r="K2" s="1782"/>
      <c r="L2" s="1782"/>
      <c r="M2" s="1782"/>
      <c r="N2" s="1783"/>
      <c r="O2" s="1791" t="s">
        <v>255</v>
      </c>
      <c r="P2" s="1791"/>
      <c r="Q2" s="1791"/>
      <c r="R2" s="1791"/>
      <c r="S2" s="1791"/>
      <c r="T2" s="1792"/>
      <c r="U2" s="1793" t="s">
        <v>256</v>
      </c>
      <c r="V2" s="1794"/>
      <c r="W2" s="1795" t="s">
        <v>257</v>
      </c>
      <c r="X2" s="1797" t="s">
        <v>258</v>
      </c>
      <c r="Y2" s="1797"/>
      <c r="Z2" s="1797"/>
      <c r="AA2" s="1797"/>
      <c r="AB2" s="1797"/>
      <c r="AC2" s="1797"/>
      <c r="AD2" s="1798"/>
      <c r="AE2" s="1776" t="s">
        <v>259</v>
      </c>
      <c r="AF2" s="1789" t="s">
        <v>531</v>
      </c>
      <c r="AG2" s="1784"/>
      <c r="AH2" s="1786" t="s">
        <v>260</v>
      </c>
    </row>
    <row r="3" spans="1:34" ht="45.75" thickBot="1" x14ac:dyDescent="0.3">
      <c r="A3" s="1775"/>
      <c r="B3" s="175" t="s">
        <v>532</v>
      </c>
      <c r="C3" s="176" t="s">
        <v>533</v>
      </c>
      <c r="D3" s="176" t="s">
        <v>261</v>
      </c>
      <c r="E3" s="176" t="s">
        <v>534</v>
      </c>
      <c r="F3" s="176" t="s">
        <v>262</v>
      </c>
      <c r="G3" s="176" t="s">
        <v>535</v>
      </c>
      <c r="H3" s="176" t="s">
        <v>536</v>
      </c>
      <c r="I3" s="1243" t="s">
        <v>537</v>
      </c>
      <c r="J3" s="176" t="s">
        <v>538</v>
      </c>
      <c r="K3" s="176" t="s">
        <v>539</v>
      </c>
      <c r="L3" s="176" t="s">
        <v>540</v>
      </c>
      <c r="M3" s="176" t="s">
        <v>541</v>
      </c>
      <c r="N3" s="177" t="s">
        <v>260</v>
      </c>
      <c r="O3" s="178" t="s">
        <v>263</v>
      </c>
      <c r="P3" s="179" t="s">
        <v>542</v>
      </c>
      <c r="Q3" s="179" t="s">
        <v>261</v>
      </c>
      <c r="R3" s="179" t="s">
        <v>264</v>
      </c>
      <c r="S3" s="179" t="s">
        <v>543</v>
      </c>
      <c r="T3" s="180" t="s">
        <v>260</v>
      </c>
      <c r="U3" s="181"/>
      <c r="V3" s="182" t="s">
        <v>260</v>
      </c>
      <c r="W3" s="1796"/>
      <c r="X3" s="183" t="s">
        <v>544</v>
      </c>
      <c r="Y3" s="1244" t="s">
        <v>537</v>
      </c>
      <c r="Z3" s="184" t="s">
        <v>545</v>
      </c>
      <c r="AA3" s="184" t="s">
        <v>546</v>
      </c>
      <c r="AB3" s="184" t="s">
        <v>496</v>
      </c>
      <c r="AC3" s="184" t="s">
        <v>547</v>
      </c>
      <c r="AD3" s="185" t="s">
        <v>260</v>
      </c>
      <c r="AE3" s="1777"/>
      <c r="AF3" s="1790"/>
      <c r="AG3" s="1785"/>
      <c r="AH3" s="1787"/>
    </row>
    <row r="4" spans="1:34" ht="30" x14ac:dyDescent="0.25">
      <c r="A4" s="186" t="s">
        <v>265</v>
      </c>
      <c r="B4" s="187">
        <f>(2929080+266280)/2</f>
        <v>1597680</v>
      </c>
      <c r="C4" s="188">
        <f>(2929080+266280)/2</f>
        <v>1597680</v>
      </c>
      <c r="D4" s="188">
        <f>6095100+513800</f>
        <v>6608900</v>
      </c>
      <c r="E4" s="188"/>
      <c r="F4" s="188">
        <f>597400+276900+3392100</f>
        <v>4266400</v>
      </c>
      <c r="G4" s="188">
        <f>3548900+286100</f>
        <v>3835000</v>
      </c>
      <c r="H4" s="188">
        <f>(3678750+272900)*75%</f>
        <v>2963737.5</v>
      </c>
      <c r="I4" s="188">
        <f>(300000*7)/2</f>
        <v>1050000</v>
      </c>
      <c r="J4" s="188">
        <v>581500</v>
      </c>
      <c r="K4" s="188"/>
      <c r="L4" s="188"/>
      <c r="M4" s="188"/>
      <c r="N4" s="189">
        <f t="shared" ref="N4:N12" si="0">SUM(B4:M4)</f>
        <v>22500897.5</v>
      </c>
      <c r="O4" s="190">
        <f>(1370529+289700)</f>
        <v>1660229</v>
      </c>
      <c r="P4" s="191">
        <f>323400*10</f>
        <v>3234000</v>
      </c>
      <c r="Q4" s="191"/>
      <c r="R4" s="191"/>
      <c r="S4" s="191"/>
      <c r="T4" s="192">
        <f>SUM(O4:S4)</f>
        <v>4894229</v>
      </c>
      <c r="U4" s="193"/>
      <c r="V4" s="194">
        <f>SUM(U4:U4)</f>
        <v>0</v>
      </c>
      <c r="W4" s="693"/>
      <c r="X4" s="1236">
        <f>(3678750+272900)*25%</f>
        <v>987912.5</v>
      </c>
      <c r="Y4" s="934">
        <f>(300000*7)/2</f>
        <v>1050000</v>
      </c>
      <c r="Z4" s="197">
        <f>280000*9</f>
        <v>2520000</v>
      </c>
      <c r="AA4" s="197">
        <f>170000*11</f>
        <v>1870000</v>
      </c>
      <c r="AB4" s="197">
        <f>370000+390000*11</f>
        <v>4660000</v>
      </c>
      <c r="AC4" s="197"/>
      <c r="AD4" s="198">
        <f t="shared" ref="AD4:AD38" si="1">SUM(X4:AC4)</f>
        <v>11087912.5</v>
      </c>
      <c r="AE4" s="199"/>
      <c r="AF4" s="200"/>
      <c r="AG4" s="201"/>
      <c r="AH4" s="1242">
        <f t="shared" ref="AH4:AH17" si="2">N4+T4+AE4+AF4+AG4+AD4+V4+W4</f>
        <v>38483039</v>
      </c>
    </row>
    <row r="5" spans="1:34" x14ac:dyDescent="0.25">
      <c r="A5" s="203" t="s">
        <v>266</v>
      </c>
      <c r="B5" s="187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>
        <f>N4*10%</f>
        <v>2250089.75</v>
      </c>
      <c r="N5" s="204">
        <f t="shared" si="0"/>
        <v>2250089.75</v>
      </c>
      <c r="O5" s="205">
        <v>128784</v>
      </c>
      <c r="P5" s="206"/>
      <c r="Q5" s="206"/>
      <c r="R5" s="206"/>
      <c r="S5" s="206">
        <f>T4*10%</f>
        <v>489422.9</v>
      </c>
      <c r="T5" s="207">
        <f>SUM(O5:S5)</f>
        <v>618206.9</v>
      </c>
      <c r="U5" s="208"/>
      <c r="V5" s="209">
        <f>SUM(U5:U5)</f>
        <v>0</v>
      </c>
      <c r="W5" s="210"/>
      <c r="X5" s="211"/>
      <c r="Y5" s="212"/>
      <c r="Z5" s="212"/>
      <c r="AA5" s="212"/>
      <c r="AB5" s="212"/>
      <c r="AC5" s="212">
        <f>AD4*10%</f>
        <v>1108791.25</v>
      </c>
      <c r="AD5" s="213">
        <f t="shared" si="1"/>
        <v>1108791.25</v>
      </c>
      <c r="AE5" s="214"/>
      <c r="AF5" s="200"/>
      <c r="AG5" s="201"/>
      <c r="AH5" s="1240">
        <f t="shared" si="2"/>
        <v>3977087.9</v>
      </c>
    </row>
    <row r="6" spans="1:34" ht="30" x14ac:dyDescent="0.25">
      <c r="A6" s="216" t="s">
        <v>267</v>
      </c>
      <c r="B6" s="217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9">
        <f t="shared" si="0"/>
        <v>0</v>
      </c>
      <c r="O6" s="220"/>
      <c r="P6" s="221"/>
      <c r="Q6" s="221"/>
      <c r="R6" s="221"/>
      <c r="S6" s="221"/>
      <c r="T6" s="207">
        <f>SUM(O6:S6)</f>
        <v>0</v>
      </c>
      <c r="U6" s="222"/>
      <c r="V6" s="209">
        <f>SUM(U6:U6)</f>
        <v>0</v>
      </c>
      <c r="W6" s="210"/>
      <c r="X6" s="223"/>
      <c r="Y6" s="224"/>
      <c r="Z6" s="224"/>
      <c r="AA6" s="224"/>
      <c r="AB6" s="224"/>
      <c r="AC6" s="224"/>
      <c r="AD6" s="213">
        <f t="shared" si="1"/>
        <v>0</v>
      </c>
      <c r="AE6" s="214"/>
      <c r="AF6" s="225"/>
      <c r="AG6" s="215"/>
      <c r="AH6" s="215">
        <f t="shared" si="2"/>
        <v>0</v>
      </c>
    </row>
    <row r="7" spans="1:34" x14ac:dyDescent="0.25">
      <c r="A7" s="216" t="s">
        <v>268</v>
      </c>
      <c r="B7" s="217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04">
        <f t="shared" si="0"/>
        <v>0</v>
      </c>
      <c r="O7" s="220"/>
      <c r="P7" s="221"/>
      <c r="Q7" s="221"/>
      <c r="R7" s="221"/>
      <c r="S7" s="221"/>
      <c r="T7" s="207">
        <f>SUM(O7:S7)</f>
        <v>0</v>
      </c>
      <c r="U7" s="222"/>
      <c r="V7" s="209">
        <f>SUM(U7:U7)</f>
        <v>0</v>
      </c>
      <c r="W7" s="210"/>
      <c r="X7" s="223"/>
      <c r="Y7" s="224"/>
      <c r="Z7" s="224"/>
      <c r="AA7" s="224"/>
      <c r="AB7" s="224"/>
      <c r="AC7" s="224"/>
      <c r="AD7" s="213">
        <f t="shared" si="1"/>
        <v>0</v>
      </c>
      <c r="AE7" s="214"/>
      <c r="AF7" s="225"/>
      <c r="AG7" s="215"/>
      <c r="AH7" s="215">
        <f t="shared" si="2"/>
        <v>0</v>
      </c>
    </row>
    <row r="8" spans="1:34" x14ac:dyDescent="0.25">
      <c r="A8" s="216" t="s">
        <v>269</v>
      </c>
      <c r="B8" s="217">
        <f>150000/2</f>
        <v>75000</v>
      </c>
      <c r="C8" s="218">
        <f>150000/2</f>
        <v>75000</v>
      </c>
      <c r="D8" s="218">
        <v>150000</v>
      </c>
      <c r="E8" s="218"/>
      <c r="F8" s="218">
        <v>150000</v>
      </c>
      <c r="G8" s="218">
        <v>150000</v>
      </c>
      <c r="H8" s="218">
        <f>150000</f>
        <v>150000</v>
      </c>
      <c r="I8" s="218">
        <v>50000</v>
      </c>
      <c r="J8" s="218">
        <v>34375</v>
      </c>
      <c r="K8" s="218"/>
      <c r="L8" s="218"/>
      <c r="M8" s="218"/>
      <c r="N8" s="204">
        <f t="shared" si="0"/>
        <v>834375</v>
      </c>
      <c r="O8" s="220">
        <v>62500</v>
      </c>
      <c r="P8" s="221">
        <v>137500</v>
      </c>
      <c r="Q8" s="221"/>
      <c r="R8" s="221"/>
      <c r="S8" s="221"/>
      <c r="T8" s="207">
        <f>SUM(O8:S8)</f>
        <v>200000</v>
      </c>
      <c r="U8" s="222"/>
      <c r="V8" s="209">
        <f>SUM(U8:U8)</f>
        <v>0</v>
      </c>
      <c r="W8" s="210"/>
      <c r="X8" s="223"/>
      <c r="Y8" s="224">
        <v>50000</v>
      </c>
      <c r="Z8" s="224">
        <v>150000</v>
      </c>
      <c r="AA8" s="224"/>
      <c r="AB8" s="224">
        <v>150000</v>
      </c>
      <c r="AC8" s="224"/>
      <c r="AD8" s="213">
        <f t="shared" si="1"/>
        <v>350000</v>
      </c>
      <c r="AE8" s="214"/>
      <c r="AF8" s="225"/>
      <c r="AG8" s="215"/>
      <c r="AH8" s="215">
        <f t="shared" si="2"/>
        <v>1384375</v>
      </c>
    </row>
    <row r="9" spans="1:34" x14ac:dyDescent="0.25">
      <c r="A9" s="216" t="s">
        <v>270</v>
      </c>
      <c r="B9" s="217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04">
        <f t="shared" si="0"/>
        <v>0</v>
      </c>
      <c r="O9" s="220"/>
      <c r="P9" s="221"/>
      <c r="Q9" s="221"/>
      <c r="R9" s="221"/>
      <c r="S9" s="221"/>
      <c r="T9" s="207"/>
      <c r="U9" s="222"/>
      <c r="V9" s="209"/>
      <c r="W9" s="210"/>
      <c r="X9" s="223"/>
      <c r="Y9" s="224"/>
      <c r="Z9" s="224"/>
      <c r="AA9" s="224"/>
      <c r="AB9" s="224"/>
      <c r="AC9" s="224"/>
      <c r="AD9" s="213">
        <f t="shared" si="1"/>
        <v>0</v>
      </c>
      <c r="AE9" s="214"/>
      <c r="AF9" s="225"/>
      <c r="AG9" s="215"/>
      <c r="AH9" s="215">
        <f t="shared" si="2"/>
        <v>0</v>
      </c>
    </row>
    <row r="10" spans="1:34" x14ac:dyDescent="0.25">
      <c r="A10" s="216" t="s">
        <v>271</v>
      </c>
      <c r="B10" s="217"/>
      <c r="C10" s="218"/>
      <c r="D10" s="218">
        <f>20000*12</f>
        <v>240000</v>
      </c>
      <c r="E10" s="218"/>
      <c r="F10" s="218">
        <v>120000</v>
      </c>
      <c r="G10" s="218">
        <f>10000*12</f>
        <v>120000</v>
      </c>
      <c r="H10" s="218">
        <f>10300*12</f>
        <v>123600</v>
      </c>
      <c r="I10" s="218"/>
      <c r="J10" s="218"/>
      <c r="K10" s="218"/>
      <c r="L10" s="218"/>
      <c r="M10" s="218"/>
      <c r="N10" s="204">
        <f t="shared" si="0"/>
        <v>603600</v>
      </c>
      <c r="O10" s="220"/>
      <c r="P10" s="221"/>
      <c r="Q10" s="221"/>
      <c r="R10" s="221"/>
      <c r="S10" s="221"/>
      <c r="T10" s="207">
        <f>SUM(O10:S10)</f>
        <v>0</v>
      </c>
      <c r="U10" s="222"/>
      <c r="V10" s="209">
        <f>SUM(U10:U10)</f>
        <v>0</v>
      </c>
      <c r="W10" s="210"/>
      <c r="X10" s="223"/>
      <c r="Y10" s="224"/>
      <c r="Z10" s="224"/>
      <c r="AA10" s="224"/>
      <c r="AB10" s="224"/>
      <c r="AC10" s="224"/>
      <c r="AD10" s="213">
        <f t="shared" si="1"/>
        <v>0</v>
      </c>
      <c r="AE10" s="214"/>
      <c r="AF10" s="225"/>
      <c r="AG10" s="215"/>
      <c r="AH10" s="215">
        <f t="shared" si="2"/>
        <v>603600</v>
      </c>
    </row>
    <row r="11" spans="1:34" x14ac:dyDescent="0.25">
      <c r="A11" s="216" t="s">
        <v>272</v>
      </c>
      <c r="B11" s="217">
        <v>6000</v>
      </c>
      <c r="C11" s="218">
        <v>6000</v>
      </c>
      <c r="D11" s="218">
        <v>12000</v>
      </c>
      <c r="E11" s="218"/>
      <c r="F11" s="218">
        <f>12000</f>
        <v>12000</v>
      </c>
      <c r="G11" s="218">
        <v>12000</v>
      </c>
      <c r="H11" s="218">
        <v>12000</v>
      </c>
      <c r="I11" s="218">
        <v>4000</v>
      </c>
      <c r="J11" s="218">
        <v>2750</v>
      </c>
      <c r="K11" s="218"/>
      <c r="L11" s="218"/>
      <c r="M11" s="218">
        <v>50000</v>
      </c>
      <c r="N11" s="204">
        <f t="shared" si="0"/>
        <v>116750</v>
      </c>
      <c r="O11" s="220">
        <v>12000</v>
      </c>
      <c r="P11" s="221"/>
      <c r="Q11" s="221"/>
      <c r="R11" s="221"/>
      <c r="S11" s="221"/>
      <c r="T11" s="207">
        <f>SUM(O11:S11)</f>
        <v>12000</v>
      </c>
      <c r="U11" s="222"/>
      <c r="V11" s="209"/>
      <c r="W11" s="210"/>
      <c r="X11" s="223"/>
      <c r="Y11" s="224">
        <v>4000</v>
      </c>
      <c r="Z11" s="224"/>
      <c r="AA11" s="224"/>
      <c r="AB11" s="224"/>
      <c r="AC11" s="224"/>
      <c r="AD11" s="213">
        <f t="shared" si="1"/>
        <v>4000</v>
      </c>
      <c r="AE11" s="214"/>
      <c r="AF11" s="225"/>
      <c r="AG11" s="215"/>
      <c r="AH11" s="215">
        <f t="shared" si="2"/>
        <v>132750</v>
      </c>
    </row>
    <row r="12" spans="1:34" ht="30.75" thickBot="1" x14ac:dyDescent="0.3">
      <c r="A12" s="226" t="s">
        <v>548</v>
      </c>
      <c r="B12" s="227">
        <v>200000</v>
      </c>
      <c r="C12" s="228"/>
      <c r="D12" s="228"/>
      <c r="E12" s="228"/>
      <c r="F12" s="228">
        <f>100000+156400</f>
        <v>256400</v>
      </c>
      <c r="G12" s="228"/>
      <c r="H12" s="228">
        <f>128600+150000</f>
        <v>278600</v>
      </c>
      <c r="I12" s="228"/>
      <c r="J12" s="228"/>
      <c r="K12" s="228"/>
      <c r="L12" s="228"/>
      <c r="M12" s="228"/>
      <c r="N12" s="229">
        <f t="shared" si="0"/>
        <v>735000</v>
      </c>
      <c r="O12" s="230"/>
      <c r="P12" s="231"/>
      <c r="Q12" s="231"/>
      <c r="R12" s="231"/>
      <c r="S12" s="231"/>
      <c r="T12" s="232">
        <f t="shared" ref="T12:T38" si="3">SUM(O12:S12)</f>
        <v>0</v>
      </c>
      <c r="U12" s="233"/>
      <c r="V12" s="234">
        <f t="shared" ref="V12:V38" si="4">SUM(U12:U12)</f>
        <v>0</v>
      </c>
      <c r="W12" s="235"/>
      <c r="X12" s="236"/>
      <c r="Y12" s="237"/>
      <c r="Z12" s="237"/>
      <c r="AA12" s="237">
        <f>44000*2.5</f>
        <v>110000</v>
      </c>
      <c r="AB12" s="237">
        <f>100000*2.5</f>
        <v>250000</v>
      </c>
      <c r="AC12" s="237"/>
      <c r="AD12" s="238">
        <f t="shared" si="1"/>
        <v>360000</v>
      </c>
      <c r="AE12" s="239"/>
      <c r="AF12" s="240"/>
      <c r="AG12" s="241"/>
      <c r="AH12" s="242">
        <f t="shared" si="2"/>
        <v>1095000</v>
      </c>
    </row>
    <row r="13" spans="1:34" ht="15.75" thickBot="1" x14ac:dyDescent="0.3">
      <c r="A13" s="243" t="s">
        <v>274</v>
      </c>
      <c r="B13" s="244">
        <f t="shared" ref="B13:S13" si="5">SUM(B4:B12)</f>
        <v>1878680</v>
      </c>
      <c r="C13" s="245">
        <f t="shared" si="5"/>
        <v>1678680</v>
      </c>
      <c r="D13" s="245">
        <f t="shared" si="5"/>
        <v>7010900</v>
      </c>
      <c r="E13" s="245">
        <f t="shared" si="5"/>
        <v>0</v>
      </c>
      <c r="F13" s="245">
        <f t="shared" si="5"/>
        <v>4804800</v>
      </c>
      <c r="G13" s="245">
        <f t="shared" si="5"/>
        <v>4117000</v>
      </c>
      <c r="H13" s="245">
        <f t="shared" si="5"/>
        <v>3527937.5</v>
      </c>
      <c r="I13" s="245">
        <f t="shared" si="5"/>
        <v>1104000</v>
      </c>
      <c r="J13" s="245">
        <f t="shared" si="5"/>
        <v>618625</v>
      </c>
      <c r="K13" s="245">
        <f t="shared" si="5"/>
        <v>0</v>
      </c>
      <c r="L13" s="245">
        <f t="shared" si="5"/>
        <v>0</v>
      </c>
      <c r="M13" s="245">
        <f t="shared" si="5"/>
        <v>2300089.75</v>
      </c>
      <c r="N13" s="246">
        <f>SUM(N4:N12)</f>
        <v>27040712.25</v>
      </c>
      <c r="O13" s="247">
        <f t="shared" si="5"/>
        <v>1863513</v>
      </c>
      <c r="P13" s="248">
        <f t="shared" si="5"/>
        <v>3371500</v>
      </c>
      <c r="Q13" s="248">
        <f t="shared" si="5"/>
        <v>0</v>
      </c>
      <c r="R13" s="248">
        <f t="shared" si="5"/>
        <v>0</v>
      </c>
      <c r="S13" s="248">
        <f t="shared" si="5"/>
        <v>489422.9</v>
      </c>
      <c r="T13" s="249">
        <f t="shared" si="3"/>
        <v>5724435.9000000004</v>
      </c>
      <c r="U13" s="250">
        <f>SUM(U4:U12)</f>
        <v>0</v>
      </c>
      <c r="V13" s="251">
        <f t="shared" si="4"/>
        <v>0</v>
      </c>
      <c r="W13" s="252">
        <f t="shared" ref="W13:AC13" si="6">SUM(W4:W12)</f>
        <v>0</v>
      </c>
      <c r="X13" s="253">
        <f t="shared" si="6"/>
        <v>987912.5</v>
      </c>
      <c r="Y13" s="254">
        <f t="shared" si="6"/>
        <v>1104000</v>
      </c>
      <c r="Z13" s="254">
        <f t="shared" si="6"/>
        <v>2670000</v>
      </c>
      <c r="AA13" s="254">
        <f t="shared" si="6"/>
        <v>1980000</v>
      </c>
      <c r="AB13" s="254">
        <f t="shared" si="6"/>
        <v>5060000</v>
      </c>
      <c r="AC13" s="254">
        <f t="shared" si="6"/>
        <v>1108791.25</v>
      </c>
      <c r="AD13" s="255">
        <f t="shared" si="1"/>
        <v>12910703.75</v>
      </c>
      <c r="AE13" s="256">
        <f>SUM(AE4:AE12)</f>
        <v>0</v>
      </c>
      <c r="AF13" s="257">
        <f>SUM(AF4:AF12)</f>
        <v>0</v>
      </c>
      <c r="AG13" s="258">
        <f>SUM(AG4:AG12)</f>
        <v>0</v>
      </c>
      <c r="AH13" s="202">
        <f t="shared" si="2"/>
        <v>45675851.899999999</v>
      </c>
    </row>
    <row r="14" spans="1:34" x14ac:dyDescent="0.25">
      <c r="A14" s="259" t="s">
        <v>275</v>
      </c>
      <c r="B14" s="260"/>
      <c r="C14" s="261"/>
      <c r="D14" s="262"/>
      <c r="E14" s="262"/>
      <c r="F14" s="262"/>
      <c r="G14" s="262"/>
      <c r="H14" s="261"/>
      <c r="I14" s="261"/>
      <c r="J14" s="261"/>
      <c r="K14" s="261"/>
      <c r="L14" s="261"/>
      <c r="M14" s="261"/>
      <c r="N14" s="204">
        <f>SUM(B14:M14)</f>
        <v>0</v>
      </c>
      <c r="O14" s="230"/>
      <c r="P14" s="231"/>
      <c r="Q14" s="231"/>
      <c r="R14" s="231"/>
      <c r="S14" s="231"/>
      <c r="T14" s="192">
        <f t="shared" si="3"/>
        <v>0</v>
      </c>
      <c r="U14" s="233"/>
      <c r="V14" s="194">
        <f t="shared" si="4"/>
        <v>0</v>
      </c>
      <c r="W14" s="195"/>
      <c r="X14" s="236"/>
      <c r="Y14" s="237"/>
      <c r="Z14" s="237"/>
      <c r="AA14" s="237"/>
      <c r="AB14" s="237"/>
      <c r="AC14" s="237"/>
      <c r="AD14" s="198">
        <f t="shared" si="1"/>
        <v>0</v>
      </c>
      <c r="AE14" s="199"/>
      <c r="AF14" s="263"/>
      <c r="AG14" s="264"/>
      <c r="AH14" s="202">
        <f t="shared" si="2"/>
        <v>0</v>
      </c>
    </row>
    <row r="15" spans="1:34" ht="45" x14ac:dyDescent="0.25">
      <c r="A15" s="226" t="s">
        <v>276</v>
      </c>
      <c r="B15" s="260"/>
      <c r="C15" s="261"/>
      <c r="D15" s="261"/>
      <c r="E15" s="261"/>
      <c r="F15" s="261"/>
      <c r="G15" s="261"/>
      <c r="H15" s="261"/>
      <c r="I15" s="262"/>
      <c r="J15" s="262"/>
      <c r="K15" s="262">
        <f>100000*11+60000</f>
        <v>1160000</v>
      </c>
      <c r="L15" s="262">
        <f>321900*4</f>
        <v>1287600</v>
      </c>
      <c r="M15" s="262"/>
      <c r="N15" s="204">
        <f>SUM(B15:M15)</f>
        <v>2447600</v>
      </c>
      <c r="O15" s="220"/>
      <c r="P15" s="221"/>
      <c r="Q15" s="221"/>
      <c r="R15" s="221"/>
      <c r="S15" s="221"/>
      <c r="T15" s="207">
        <f t="shared" si="3"/>
        <v>0</v>
      </c>
      <c r="U15" s="233"/>
      <c r="V15" s="209">
        <f t="shared" si="4"/>
        <v>0</v>
      </c>
      <c r="W15" s="210"/>
      <c r="X15" s="236"/>
      <c r="Y15" s="237"/>
      <c r="Z15" s="237"/>
      <c r="AA15" s="237"/>
      <c r="AB15" s="237"/>
      <c r="AC15" s="237"/>
      <c r="AD15" s="213">
        <f t="shared" si="1"/>
        <v>0</v>
      </c>
      <c r="AE15" s="214"/>
      <c r="AF15" s="240"/>
      <c r="AG15" s="241"/>
      <c r="AH15" s="215">
        <f t="shared" si="2"/>
        <v>2447600</v>
      </c>
    </row>
    <row r="16" spans="1:34" ht="30.75" thickBot="1" x14ac:dyDescent="0.3">
      <c r="A16" s="226" t="s">
        <v>277</v>
      </c>
      <c r="B16" s="227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04">
        <f>SUM(B16:M16)</f>
        <v>0</v>
      </c>
      <c r="O16" s="265"/>
      <c r="P16" s="266"/>
      <c r="Q16" s="266"/>
      <c r="R16" s="266"/>
      <c r="S16" s="266"/>
      <c r="T16" s="232">
        <f t="shared" si="3"/>
        <v>0</v>
      </c>
      <c r="U16" s="267"/>
      <c r="V16" s="234">
        <f t="shared" si="4"/>
        <v>0</v>
      </c>
      <c r="W16" s="235"/>
      <c r="X16" s="268"/>
      <c r="Y16" s="269"/>
      <c r="Z16" s="269"/>
      <c r="AA16" s="269"/>
      <c r="AB16" s="269"/>
      <c r="AC16" s="269"/>
      <c r="AD16" s="238">
        <f t="shared" si="1"/>
        <v>0</v>
      </c>
      <c r="AE16" s="239"/>
      <c r="AF16" s="240"/>
      <c r="AG16" s="241"/>
      <c r="AH16" s="242">
        <f t="shared" si="2"/>
        <v>0</v>
      </c>
    </row>
    <row r="17" spans="1:34" ht="15.75" thickBot="1" x14ac:dyDescent="0.3">
      <c r="A17" s="243" t="s">
        <v>278</v>
      </c>
      <c r="B17" s="244">
        <f t="shared" ref="B17:I17" si="7">SUM(B16:B16)</f>
        <v>0</v>
      </c>
      <c r="C17" s="245">
        <f t="shared" si="7"/>
        <v>0</v>
      </c>
      <c r="D17" s="245">
        <f t="shared" si="7"/>
        <v>0</v>
      </c>
      <c r="E17" s="245">
        <f t="shared" si="7"/>
        <v>0</v>
      </c>
      <c r="F17" s="245">
        <f t="shared" si="7"/>
        <v>0</v>
      </c>
      <c r="G17" s="245">
        <f t="shared" si="7"/>
        <v>0</v>
      </c>
      <c r="H17" s="245">
        <f t="shared" si="7"/>
        <v>0</v>
      </c>
      <c r="I17" s="245">
        <f t="shared" si="7"/>
        <v>0</v>
      </c>
      <c r="J17" s="245">
        <f>SUM(J16:J16)</f>
        <v>0</v>
      </c>
      <c r="K17" s="245">
        <f>SUM(K14:K16)</f>
        <v>1160000</v>
      </c>
      <c r="L17" s="245">
        <f>SUM(L14:L16)</f>
        <v>1287600</v>
      </c>
      <c r="M17" s="245">
        <f>SUM(M16:M16)</f>
        <v>0</v>
      </c>
      <c r="N17" s="246">
        <f t="shared" ref="N17:S17" si="8">SUM(N14:N16)</f>
        <v>2447600</v>
      </c>
      <c r="O17" s="247">
        <f t="shared" si="8"/>
        <v>0</v>
      </c>
      <c r="P17" s="248">
        <f t="shared" si="8"/>
        <v>0</v>
      </c>
      <c r="Q17" s="248">
        <f t="shared" si="8"/>
        <v>0</v>
      </c>
      <c r="R17" s="248">
        <f t="shared" si="8"/>
        <v>0</v>
      </c>
      <c r="S17" s="248">
        <f t="shared" si="8"/>
        <v>0</v>
      </c>
      <c r="T17" s="249">
        <f t="shared" si="3"/>
        <v>0</v>
      </c>
      <c r="U17" s="250">
        <f>SUM(U14:U16)</f>
        <v>0</v>
      </c>
      <c r="V17" s="251">
        <f t="shared" si="4"/>
        <v>0</v>
      </c>
      <c r="W17" s="252">
        <f t="shared" ref="W17:AC17" si="9">SUM(W14:W16)</f>
        <v>0</v>
      </c>
      <c r="X17" s="253">
        <f t="shared" si="9"/>
        <v>0</v>
      </c>
      <c r="Y17" s="254">
        <f t="shared" si="9"/>
        <v>0</v>
      </c>
      <c r="Z17" s="254">
        <f t="shared" si="9"/>
        <v>0</v>
      </c>
      <c r="AA17" s="254">
        <f t="shared" si="9"/>
        <v>0</v>
      </c>
      <c r="AB17" s="254">
        <f t="shared" si="9"/>
        <v>0</v>
      </c>
      <c r="AC17" s="254">
        <f t="shared" si="9"/>
        <v>0</v>
      </c>
      <c r="AD17" s="255">
        <f t="shared" si="1"/>
        <v>0</v>
      </c>
      <c r="AE17" s="256">
        <f>SUM(AE14:AE16)</f>
        <v>0</v>
      </c>
      <c r="AF17" s="257">
        <f>SUM(AF14:AF16)</f>
        <v>0</v>
      </c>
      <c r="AG17" s="258"/>
      <c r="AH17" s="202">
        <f t="shared" si="2"/>
        <v>2447600</v>
      </c>
    </row>
    <row r="18" spans="1:34" ht="16.5" thickBot="1" x14ac:dyDescent="0.3">
      <c r="A18" s="270" t="s">
        <v>279</v>
      </c>
      <c r="B18" s="271">
        <f t="shared" ref="B18:S18" si="10">B13+B17</f>
        <v>1878680</v>
      </c>
      <c r="C18" s="272">
        <f t="shared" si="10"/>
        <v>1678680</v>
      </c>
      <c r="D18" s="272">
        <f t="shared" si="10"/>
        <v>7010900</v>
      </c>
      <c r="E18" s="272">
        <f t="shared" si="10"/>
        <v>0</v>
      </c>
      <c r="F18" s="272">
        <f t="shared" si="10"/>
        <v>4804800</v>
      </c>
      <c r="G18" s="272">
        <f t="shared" si="10"/>
        <v>4117000</v>
      </c>
      <c r="H18" s="272">
        <f t="shared" si="10"/>
        <v>3527937.5</v>
      </c>
      <c r="I18" s="272">
        <f t="shared" si="10"/>
        <v>1104000</v>
      </c>
      <c r="J18" s="272">
        <f t="shared" si="10"/>
        <v>618625</v>
      </c>
      <c r="K18" s="272">
        <f t="shared" si="10"/>
        <v>1160000</v>
      </c>
      <c r="L18" s="272">
        <f t="shared" si="10"/>
        <v>1287600</v>
      </c>
      <c r="M18" s="272">
        <f t="shared" si="10"/>
        <v>2300089.75</v>
      </c>
      <c r="N18" s="273">
        <f t="shared" si="10"/>
        <v>29488312.25</v>
      </c>
      <c r="O18" s="274">
        <f t="shared" si="10"/>
        <v>1863513</v>
      </c>
      <c r="P18" s="275">
        <f t="shared" si="10"/>
        <v>3371500</v>
      </c>
      <c r="Q18" s="275">
        <f t="shared" si="10"/>
        <v>0</v>
      </c>
      <c r="R18" s="275">
        <f t="shared" si="10"/>
        <v>0</v>
      </c>
      <c r="S18" s="275">
        <f t="shared" si="10"/>
        <v>489422.9</v>
      </c>
      <c r="T18" s="276">
        <f t="shared" si="3"/>
        <v>5724435.9000000004</v>
      </c>
      <c r="U18" s="277">
        <f>U13+U17</f>
        <v>0</v>
      </c>
      <c r="V18" s="278">
        <f t="shared" si="4"/>
        <v>0</v>
      </c>
      <c r="W18" s="279">
        <f t="shared" ref="W18:AC18" si="11">W13+W17</f>
        <v>0</v>
      </c>
      <c r="X18" s="280">
        <f t="shared" si="11"/>
        <v>987912.5</v>
      </c>
      <c r="Y18" s="281">
        <f t="shared" si="11"/>
        <v>1104000</v>
      </c>
      <c r="Z18" s="281">
        <f t="shared" si="11"/>
        <v>2670000</v>
      </c>
      <c r="AA18" s="281">
        <f t="shared" si="11"/>
        <v>1980000</v>
      </c>
      <c r="AB18" s="281">
        <f t="shared" si="11"/>
        <v>5060000</v>
      </c>
      <c r="AC18" s="281">
        <f t="shared" si="11"/>
        <v>1108791.25</v>
      </c>
      <c r="AD18" s="282">
        <f t="shared" si="1"/>
        <v>12910703.75</v>
      </c>
      <c r="AE18" s="283">
        <f>AE13+AE17</f>
        <v>0</v>
      </c>
      <c r="AF18" s="284">
        <f>AF13+AF17</f>
        <v>0</v>
      </c>
      <c r="AG18" s="285">
        <f>AG13+AG17</f>
        <v>0</v>
      </c>
      <c r="AH18" s="286">
        <f>AH13+AH17</f>
        <v>48123451.899999999</v>
      </c>
    </row>
    <row r="19" spans="1:34" x14ac:dyDescent="0.25">
      <c r="A19" s="186" t="s">
        <v>280</v>
      </c>
      <c r="B19" s="288">
        <f>(B4+B12+B11+B8)*17.5%</f>
        <v>328769</v>
      </c>
      <c r="C19" s="289">
        <f>(C4+C11+C8)*17.5%</f>
        <v>293769</v>
      </c>
      <c r="D19" s="289">
        <f>(D4+D11+D8)*17.5%+24000</f>
        <v>1208907.5</v>
      </c>
      <c r="E19" s="289">
        <f>(E4+E5)*17.5%</f>
        <v>0</v>
      </c>
      <c r="F19" s="289">
        <f>(F4+F12+F11+F8)*17.5%+12000</f>
        <v>831840</v>
      </c>
      <c r="G19" s="289">
        <f>(G4+G11+G8)*17.5%+12000</f>
        <v>711475</v>
      </c>
      <c r="H19" s="289">
        <f>(H4+H12+H11+H8)*17.5%</f>
        <v>595759.0625</v>
      </c>
      <c r="I19" s="289">
        <f>(I4+I11+I8)*17.5%</f>
        <v>193200</v>
      </c>
      <c r="J19" s="289">
        <f>(J4+J5+J11+J8)*17.5%</f>
        <v>108259.375</v>
      </c>
      <c r="K19" s="289">
        <f>K15*17.5%</f>
        <v>203000</v>
      </c>
      <c r="L19" s="289">
        <f>L15*17.5%</f>
        <v>225330</v>
      </c>
      <c r="M19" s="289">
        <f>(M4+M5+M11)*17.5%</f>
        <v>402515.70624999999</v>
      </c>
      <c r="N19" s="290">
        <f t="shared" ref="N19:N25" si="12">SUM(B19:M19)</f>
        <v>5102824.6437499998</v>
      </c>
      <c r="O19" s="190">
        <f>(O4+O11+O12+O8+O5)*17.5%</f>
        <v>326114.77499999997</v>
      </c>
      <c r="P19" s="191">
        <f>(P4+P11+P12+P8)*17.5%</f>
        <v>590012.5</v>
      </c>
      <c r="Q19" s="191">
        <f>Q12*17.5%</f>
        <v>0</v>
      </c>
      <c r="R19" s="191">
        <f t="shared" ref="R19" si="13">R15*17.5%</f>
        <v>0</v>
      </c>
      <c r="S19" s="191">
        <f>S5*17.5%</f>
        <v>85649.007499999992</v>
      </c>
      <c r="T19" s="192">
        <f t="shared" si="3"/>
        <v>1001776.2824999999</v>
      </c>
      <c r="U19" s="193">
        <f>U15*90%*17.5%</f>
        <v>0</v>
      </c>
      <c r="V19" s="194">
        <f t="shared" si="4"/>
        <v>0</v>
      </c>
      <c r="W19" s="195"/>
      <c r="X19" s="196">
        <f>(X4+X11+X8)*17.5%</f>
        <v>172884.6875</v>
      </c>
      <c r="Y19" s="197">
        <f>(Y4+Y11+Y8)*17.5%</f>
        <v>193200</v>
      </c>
      <c r="Z19" s="197">
        <f>(Z4+Z11+Z8)*17.5%</f>
        <v>467249.99999999994</v>
      </c>
      <c r="AA19" s="197">
        <f>(AA4+AA11+AA12)*17.5%</f>
        <v>346500</v>
      </c>
      <c r="AB19" s="197">
        <f>(AB4+AB11++AB12+AB8)*17.5%</f>
        <v>885500</v>
      </c>
      <c r="AC19" s="197">
        <f t="shared" ref="AC19" si="14">(AC4+AC5)*17.5%</f>
        <v>194038.46875</v>
      </c>
      <c r="AD19" s="198">
        <f t="shared" si="1"/>
        <v>2259373.15625</v>
      </c>
      <c r="AE19" s="199"/>
      <c r="AF19" s="291"/>
      <c r="AG19" s="292"/>
      <c r="AH19" s="202">
        <f t="shared" ref="AH19:AH25" si="15">N19+T19+W19+AE19+AF19+AG19+AD19+V19</f>
        <v>8363974.0824999996</v>
      </c>
    </row>
    <row r="20" spans="1:34" x14ac:dyDescent="0.25">
      <c r="A20" s="203" t="s">
        <v>281</v>
      </c>
      <c r="B20" s="187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204">
        <f t="shared" si="12"/>
        <v>0</v>
      </c>
      <c r="O20" s="205"/>
      <c r="P20" s="206"/>
      <c r="Q20" s="206"/>
      <c r="R20" s="206"/>
      <c r="S20" s="206"/>
      <c r="T20" s="207">
        <f t="shared" si="3"/>
        <v>0</v>
      </c>
      <c r="U20" s="208"/>
      <c r="V20" s="209">
        <f t="shared" si="4"/>
        <v>0</v>
      </c>
      <c r="W20" s="210"/>
      <c r="X20" s="211"/>
      <c r="Y20" s="212"/>
      <c r="Z20" s="212"/>
      <c r="AA20" s="212"/>
      <c r="AB20" s="212"/>
      <c r="AC20" s="212"/>
      <c r="AD20" s="213">
        <f t="shared" si="1"/>
        <v>0</v>
      </c>
      <c r="AE20" s="214"/>
      <c r="AF20" s="200"/>
      <c r="AG20" s="293"/>
      <c r="AH20" s="215">
        <f t="shared" si="15"/>
        <v>0</v>
      </c>
    </row>
    <row r="21" spans="1:34" x14ac:dyDescent="0.25">
      <c r="A21" s="203" t="s">
        <v>282</v>
      </c>
      <c r="B21" s="187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219">
        <f t="shared" si="12"/>
        <v>0</v>
      </c>
      <c r="O21" s="205"/>
      <c r="P21" s="206"/>
      <c r="Q21" s="206"/>
      <c r="R21" s="206"/>
      <c r="S21" s="206"/>
      <c r="T21" s="207">
        <f t="shared" si="3"/>
        <v>0</v>
      </c>
      <c r="U21" s="208"/>
      <c r="V21" s="209">
        <f t="shared" si="4"/>
        <v>0</v>
      </c>
      <c r="W21" s="210"/>
      <c r="X21" s="211"/>
      <c r="Y21" s="212"/>
      <c r="Z21" s="212"/>
      <c r="AA21" s="212"/>
      <c r="AB21" s="212"/>
      <c r="AC21" s="212"/>
      <c r="AD21" s="213">
        <f t="shared" si="1"/>
        <v>0</v>
      </c>
      <c r="AE21" s="214"/>
      <c r="AF21" s="200"/>
      <c r="AG21" s="293"/>
      <c r="AH21" s="215">
        <f t="shared" si="15"/>
        <v>0</v>
      </c>
    </row>
    <row r="22" spans="1:34" ht="30" x14ac:dyDescent="0.25">
      <c r="A22" s="216" t="s">
        <v>549</v>
      </c>
      <c r="B22" s="217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04">
        <f t="shared" si="12"/>
        <v>0</v>
      </c>
      <c r="O22" s="220"/>
      <c r="P22" s="221"/>
      <c r="Q22" s="221"/>
      <c r="R22" s="221"/>
      <c r="S22" s="221"/>
      <c r="T22" s="207">
        <f t="shared" si="3"/>
        <v>0</v>
      </c>
      <c r="U22" s="222"/>
      <c r="V22" s="209">
        <f t="shared" si="4"/>
        <v>0</v>
      </c>
      <c r="W22" s="210"/>
      <c r="X22" s="223"/>
      <c r="Y22" s="224"/>
      <c r="Z22" s="224"/>
      <c r="AA22" s="224"/>
      <c r="AB22" s="224"/>
      <c r="AC22" s="224"/>
      <c r="AD22" s="213">
        <f t="shared" si="1"/>
        <v>0</v>
      </c>
      <c r="AE22" s="214"/>
      <c r="AF22" s="225"/>
      <c r="AG22" s="294"/>
      <c r="AH22" s="215">
        <f t="shared" si="15"/>
        <v>0</v>
      </c>
    </row>
    <row r="23" spans="1:34" x14ac:dyDescent="0.25">
      <c r="A23" s="216" t="s">
        <v>284</v>
      </c>
      <c r="B23" s="217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>
        <v>300000</v>
      </c>
      <c r="N23" s="204">
        <f t="shared" si="12"/>
        <v>300000</v>
      </c>
      <c r="O23" s="220"/>
      <c r="P23" s="221"/>
      <c r="Q23" s="221"/>
      <c r="R23" s="221"/>
      <c r="S23" s="221"/>
      <c r="T23" s="207">
        <f t="shared" si="3"/>
        <v>0</v>
      </c>
      <c r="U23" s="222"/>
      <c r="V23" s="209">
        <f t="shared" si="4"/>
        <v>0</v>
      </c>
      <c r="W23" s="210"/>
      <c r="X23" s="223"/>
      <c r="Y23" s="224"/>
      <c r="Z23" s="224"/>
      <c r="AA23" s="224"/>
      <c r="AB23" s="224"/>
      <c r="AC23" s="224">
        <v>100000</v>
      </c>
      <c r="AD23" s="213">
        <f t="shared" si="1"/>
        <v>100000</v>
      </c>
      <c r="AE23" s="214"/>
      <c r="AF23" s="225"/>
      <c r="AG23" s="294"/>
      <c r="AH23" s="215">
        <f t="shared" si="15"/>
        <v>400000</v>
      </c>
    </row>
    <row r="24" spans="1:34" x14ac:dyDescent="0.25">
      <c r="A24" s="216" t="s">
        <v>285</v>
      </c>
      <c r="B24" s="217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04">
        <f t="shared" si="12"/>
        <v>0</v>
      </c>
      <c r="O24" s="220"/>
      <c r="P24" s="221"/>
      <c r="Q24" s="221"/>
      <c r="R24" s="221"/>
      <c r="S24" s="221"/>
      <c r="T24" s="207">
        <f t="shared" si="3"/>
        <v>0</v>
      </c>
      <c r="U24" s="222"/>
      <c r="V24" s="209">
        <f t="shared" si="4"/>
        <v>0</v>
      </c>
      <c r="W24" s="210"/>
      <c r="X24" s="223"/>
      <c r="Y24" s="224"/>
      <c r="Z24" s="224"/>
      <c r="AA24" s="224"/>
      <c r="AB24" s="224"/>
      <c r="AC24" s="224"/>
      <c r="AD24" s="213">
        <f t="shared" si="1"/>
        <v>0</v>
      </c>
      <c r="AE24" s="214"/>
      <c r="AF24" s="225"/>
      <c r="AG24" s="294"/>
      <c r="AH24" s="215">
        <f t="shared" si="15"/>
        <v>0</v>
      </c>
    </row>
    <row r="25" spans="1:34" ht="45.75" thickBot="1" x14ac:dyDescent="0.3">
      <c r="A25" s="226" t="s">
        <v>286</v>
      </c>
      <c r="B25" s="295">
        <f>B8*15%</f>
        <v>11250</v>
      </c>
      <c r="C25" s="296">
        <f>C8*15%</f>
        <v>11250</v>
      </c>
      <c r="D25" s="296">
        <f t="shared" ref="D25:M25" si="16">D8*15%</f>
        <v>22500</v>
      </c>
      <c r="E25" s="296">
        <f t="shared" si="16"/>
        <v>0</v>
      </c>
      <c r="F25" s="296">
        <f t="shared" si="16"/>
        <v>22500</v>
      </c>
      <c r="G25" s="296">
        <f t="shared" si="16"/>
        <v>22500</v>
      </c>
      <c r="H25" s="296">
        <f t="shared" si="16"/>
        <v>22500</v>
      </c>
      <c r="I25" s="296">
        <f t="shared" si="16"/>
        <v>7500</v>
      </c>
      <c r="J25" s="296">
        <f t="shared" si="16"/>
        <v>5156.25</v>
      </c>
      <c r="K25" s="296">
        <f t="shared" si="16"/>
        <v>0</v>
      </c>
      <c r="L25" s="296">
        <f t="shared" si="16"/>
        <v>0</v>
      </c>
      <c r="M25" s="296">
        <f t="shared" si="16"/>
        <v>0</v>
      </c>
      <c r="N25" s="204">
        <f t="shared" si="12"/>
        <v>125156.25</v>
      </c>
      <c r="O25" s="935">
        <f>O8*15%</f>
        <v>9375</v>
      </c>
      <c r="P25" s="936">
        <f>P8*15%</f>
        <v>20625</v>
      </c>
      <c r="Q25" s="231"/>
      <c r="R25" s="231"/>
      <c r="S25" s="231"/>
      <c r="T25" s="297">
        <f t="shared" si="3"/>
        <v>30000</v>
      </c>
      <c r="U25" s="233"/>
      <c r="V25" s="298">
        <f t="shared" si="4"/>
        <v>0</v>
      </c>
      <c r="W25" s="210"/>
      <c r="X25" s="236">
        <f>X8*15%</f>
        <v>0</v>
      </c>
      <c r="Y25" s="237">
        <f>Y8*15%</f>
        <v>7500</v>
      </c>
      <c r="Z25" s="237">
        <f>Z8*15%</f>
        <v>22500</v>
      </c>
      <c r="AA25" s="237"/>
      <c r="AB25" s="237">
        <f>AB8*15%</f>
        <v>22500</v>
      </c>
      <c r="AC25" s="237"/>
      <c r="AD25" s="299">
        <f t="shared" si="1"/>
        <v>52500</v>
      </c>
      <c r="AE25" s="214"/>
      <c r="AF25" s="240"/>
      <c r="AG25" s="300"/>
      <c r="AH25" s="242">
        <f t="shared" si="15"/>
        <v>207656.25</v>
      </c>
    </row>
    <row r="26" spans="1:34" ht="32.25" thickBot="1" x14ac:dyDescent="0.3">
      <c r="A26" s="301" t="s">
        <v>287</v>
      </c>
      <c r="B26" s="271">
        <f t="shared" ref="B26:S26" si="17">SUM(B19:B25)</f>
        <v>340019</v>
      </c>
      <c r="C26" s="272">
        <f t="shared" si="17"/>
        <v>305019</v>
      </c>
      <c r="D26" s="272">
        <f t="shared" si="17"/>
        <v>1231407.5</v>
      </c>
      <c r="E26" s="272">
        <f t="shared" si="17"/>
        <v>0</v>
      </c>
      <c r="F26" s="272">
        <f t="shared" si="17"/>
        <v>854340</v>
      </c>
      <c r="G26" s="272">
        <f t="shared" si="17"/>
        <v>733975</v>
      </c>
      <c r="H26" s="272">
        <f t="shared" si="17"/>
        <v>618259.0625</v>
      </c>
      <c r="I26" s="272">
        <f t="shared" si="17"/>
        <v>200700</v>
      </c>
      <c r="J26" s="272">
        <f t="shared" si="17"/>
        <v>113415.625</v>
      </c>
      <c r="K26" s="272">
        <f t="shared" si="17"/>
        <v>203000</v>
      </c>
      <c r="L26" s="272">
        <f t="shared" si="17"/>
        <v>225330</v>
      </c>
      <c r="M26" s="272">
        <f t="shared" si="17"/>
        <v>702515.70625000005</v>
      </c>
      <c r="N26" s="273">
        <f t="shared" si="17"/>
        <v>5527980.8937499998</v>
      </c>
      <c r="O26" s="274">
        <f t="shared" si="17"/>
        <v>335489.77499999997</v>
      </c>
      <c r="P26" s="275">
        <f t="shared" si="17"/>
        <v>610637.5</v>
      </c>
      <c r="Q26" s="275">
        <f t="shared" si="17"/>
        <v>0</v>
      </c>
      <c r="R26" s="275">
        <f t="shared" si="17"/>
        <v>0</v>
      </c>
      <c r="S26" s="275">
        <f t="shared" si="17"/>
        <v>85649.007499999992</v>
      </c>
      <c r="T26" s="276">
        <f t="shared" si="3"/>
        <v>1031776.2824999999</v>
      </c>
      <c r="U26" s="277">
        <f>SUM(U19:U25)</f>
        <v>0</v>
      </c>
      <c r="V26" s="278">
        <f t="shared" si="4"/>
        <v>0</v>
      </c>
      <c r="W26" s="302">
        <f t="shared" ref="W26:AC26" si="18">SUM(W19:W25)</f>
        <v>0</v>
      </c>
      <c r="X26" s="280">
        <f t="shared" si="18"/>
        <v>172884.6875</v>
      </c>
      <c r="Y26" s="281">
        <f t="shared" si="18"/>
        <v>200700</v>
      </c>
      <c r="Z26" s="281">
        <f t="shared" si="18"/>
        <v>489749.99999999994</v>
      </c>
      <c r="AA26" s="281">
        <f t="shared" si="18"/>
        <v>346500</v>
      </c>
      <c r="AB26" s="281">
        <f t="shared" si="18"/>
        <v>908000</v>
      </c>
      <c r="AC26" s="281">
        <f t="shared" si="18"/>
        <v>294038.46875</v>
      </c>
      <c r="AD26" s="282">
        <f t="shared" si="1"/>
        <v>2411873.15625</v>
      </c>
      <c r="AE26" s="303">
        <f>SUM(AE19:AE25)</f>
        <v>0</v>
      </c>
      <c r="AF26" s="304">
        <f>SUM(AF19:AF25)</f>
        <v>0</v>
      </c>
      <c r="AG26" s="305">
        <f>SUM(AG19:AG25)</f>
        <v>0</v>
      </c>
      <c r="AH26" s="305">
        <f>SUM(AH19:AH25)</f>
        <v>8971630.3324999996</v>
      </c>
    </row>
    <row r="27" spans="1:34" x14ac:dyDescent="0.25">
      <c r="A27" s="306" t="s">
        <v>288</v>
      </c>
      <c r="B27" s="288"/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90">
        <f>SUM(B27:M27)</f>
        <v>0</v>
      </c>
      <c r="O27" s="190"/>
      <c r="P27" s="191"/>
      <c r="Q27" s="191"/>
      <c r="R27" s="191"/>
      <c r="S27" s="191"/>
      <c r="T27" s="192">
        <f t="shared" si="3"/>
        <v>0</v>
      </c>
      <c r="U27" s="193"/>
      <c r="V27" s="194">
        <f t="shared" si="4"/>
        <v>0</v>
      </c>
      <c r="W27" s="195"/>
      <c r="X27" s="196"/>
      <c r="Y27" s="197"/>
      <c r="Z27" s="197"/>
      <c r="AA27" s="197"/>
      <c r="AB27" s="197"/>
      <c r="AC27" s="197">
        <v>10000</v>
      </c>
      <c r="AD27" s="198">
        <f t="shared" si="1"/>
        <v>10000</v>
      </c>
      <c r="AE27" s="199"/>
      <c r="AF27" s="291"/>
      <c r="AG27" s="307"/>
      <c r="AH27" s="202">
        <f>N27+T27+W27+AE27+AF27+AG27+V27+AD27</f>
        <v>10000</v>
      </c>
    </row>
    <row r="28" spans="1:34" x14ac:dyDescent="0.25">
      <c r="A28" s="216" t="s">
        <v>289</v>
      </c>
      <c r="B28" s="217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04">
        <f>SUM(B28:M28)</f>
        <v>0</v>
      </c>
      <c r="O28" s="220"/>
      <c r="P28" s="221"/>
      <c r="Q28" s="221"/>
      <c r="R28" s="221"/>
      <c r="S28" s="221"/>
      <c r="T28" s="207">
        <f t="shared" si="3"/>
        <v>0</v>
      </c>
      <c r="U28" s="222"/>
      <c r="V28" s="209">
        <f t="shared" si="4"/>
        <v>0</v>
      </c>
      <c r="W28" s="210"/>
      <c r="X28" s="223"/>
      <c r="Y28" s="224"/>
      <c r="Z28" s="224"/>
      <c r="AA28" s="224"/>
      <c r="AB28" s="224"/>
      <c r="AC28" s="224"/>
      <c r="AD28" s="213">
        <f t="shared" si="1"/>
        <v>0</v>
      </c>
      <c r="AE28" s="214"/>
      <c r="AF28" s="225"/>
      <c r="AG28" s="308"/>
      <c r="AH28" s="215">
        <f>N28+T28+W28+AE28+AF28+AG28+V28+AD28</f>
        <v>0</v>
      </c>
    </row>
    <row r="29" spans="1:34" ht="30" x14ac:dyDescent="0.25">
      <c r="A29" s="216" t="s">
        <v>290</v>
      </c>
      <c r="B29" s="217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>
        <v>170000</v>
      </c>
      <c r="N29" s="204">
        <f>SUM(B29:M29)</f>
        <v>170000</v>
      </c>
      <c r="O29" s="220"/>
      <c r="P29" s="221"/>
      <c r="Q29" s="221"/>
      <c r="R29" s="221"/>
      <c r="S29" s="221"/>
      <c r="T29" s="207">
        <f t="shared" si="3"/>
        <v>0</v>
      </c>
      <c r="U29" s="222"/>
      <c r="V29" s="209">
        <f t="shared" si="4"/>
        <v>0</v>
      </c>
      <c r="W29" s="210"/>
      <c r="X29" s="223"/>
      <c r="Y29" s="224"/>
      <c r="Z29" s="224"/>
      <c r="AA29" s="224"/>
      <c r="AB29" s="224"/>
      <c r="AC29" s="224"/>
      <c r="AD29" s="213">
        <f t="shared" si="1"/>
        <v>0</v>
      </c>
      <c r="AE29" s="214"/>
      <c r="AF29" s="225"/>
      <c r="AG29" s="308"/>
      <c r="AH29" s="215">
        <f>N29+T29+W29+AE29+AF29+AG29+V29+AD29</f>
        <v>170000</v>
      </c>
    </row>
    <row r="30" spans="1:34" ht="30" x14ac:dyDescent="0.25">
      <c r="A30" s="309" t="s">
        <v>291</v>
      </c>
      <c r="B30" s="217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>
        <v>180000</v>
      </c>
      <c r="N30" s="204">
        <f>SUM(B30:M30)</f>
        <v>180000</v>
      </c>
      <c r="O30" s="220"/>
      <c r="P30" s="221"/>
      <c r="Q30" s="221"/>
      <c r="R30" s="221"/>
      <c r="S30" s="221"/>
      <c r="T30" s="207">
        <f t="shared" si="3"/>
        <v>0</v>
      </c>
      <c r="U30" s="222"/>
      <c r="V30" s="209">
        <f t="shared" si="4"/>
        <v>0</v>
      </c>
      <c r="W30" s="210"/>
      <c r="X30" s="223"/>
      <c r="Y30" s="224"/>
      <c r="Z30" s="224"/>
      <c r="AA30" s="224"/>
      <c r="AB30" s="224"/>
      <c r="AC30" s="224"/>
      <c r="AD30" s="213">
        <f t="shared" si="1"/>
        <v>0</v>
      </c>
      <c r="AE30" s="214"/>
      <c r="AF30" s="225"/>
      <c r="AG30" s="308"/>
      <c r="AH30" s="215">
        <f>N30+T30+W30+AE30+AF30+AG30+V30+AD30</f>
        <v>180000</v>
      </c>
    </row>
    <row r="31" spans="1:34" x14ac:dyDescent="0.25">
      <c r="A31" s="309" t="s">
        <v>292</v>
      </c>
      <c r="B31" s="217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04">
        <f>SUM(B31:M31)</f>
        <v>0</v>
      </c>
      <c r="O31" s="220"/>
      <c r="P31" s="221"/>
      <c r="Q31" s="221"/>
      <c r="R31" s="221"/>
      <c r="S31" s="221"/>
      <c r="T31" s="207">
        <f t="shared" si="3"/>
        <v>0</v>
      </c>
      <c r="U31" s="222"/>
      <c r="V31" s="209">
        <f t="shared" si="4"/>
        <v>0</v>
      </c>
      <c r="W31" s="210"/>
      <c r="X31" s="223"/>
      <c r="Y31" s="224"/>
      <c r="Z31" s="224"/>
      <c r="AA31" s="224"/>
      <c r="AB31" s="224"/>
      <c r="AC31" s="224">
        <v>20000</v>
      </c>
      <c r="AD31" s="213">
        <f t="shared" si="1"/>
        <v>20000</v>
      </c>
      <c r="AE31" s="214"/>
      <c r="AF31" s="225"/>
      <c r="AG31" s="308"/>
      <c r="AH31" s="215">
        <f>N31+T31+W31+AE31+AF31+AG31+V31+AD31</f>
        <v>20000</v>
      </c>
    </row>
    <row r="32" spans="1:34" x14ac:dyDescent="0.25">
      <c r="A32" s="310" t="s">
        <v>293</v>
      </c>
      <c r="B32" s="311">
        <f>SUM(B27:B31)</f>
        <v>0</v>
      </c>
      <c r="C32" s="312">
        <f t="shared" ref="C32:I32" si="19">SUM(C27:C30)</f>
        <v>0</v>
      </c>
      <c r="D32" s="312">
        <f t="shared" si="19"/>
        <v>0</v>
      </c>
      <c r="E32" s="312">
        <f t="shared" si="19"/>
        <v>0</v>
      </c>
      <c r="F32" s="312">
        <f t="shared" si="19"/>
        <v>0</v>
      </c>
      <c r="G32" s="312">
        <f t="shared" si="19"/>
        <v>0</v>
      </c>
      <c r="H32" s="312">
        <f t="shared" si="19"/>
        <v>0</v>
      </c>
      <c r="I32" s="312">
        <f t="shared" si="19"/>
        <v>0</v>
      </c>
      <c r="J32" s="312">
        <f t="shared" ref="J32:S32" si="20">SUM(J27:J31)</f>
        <v>0</v>
      </c>
      <c r="K32" s="312">
        <f t="shared" si="20"/>
        <v>0</v>
      </c>
      <c r="L32" s="312">
        <f t="shared" si="20"/>
        <v>0</v>
      </c>
      <c r="M32" s="312">
        <f t="shared" si="20"/>
        <v>350000</v>
      </c>
      <c r="N32" s="313">
        <f t="shared" si="20"/>
        <v>350000</v>
      </c>
      <c r="O32" s="314">
        <f t="shared" si="20"/>
        <v>0</v>
      </c>
      <c r="P32" s="315">
        <f t="shared" si="20"/>
        <v>0</v>
      </c>
      <c r="Q32" s="315">
        <f t="shared" si="20"/>
        <v>0</v>
      </c>
      <c r="R32" s="315">
        <f t="shared" si="20"/>
        <v>0</v>
      </c>
      <c r="S32" s="315">
        <f t="shared" si="20"/>
        <v>0</v>
      </c>
      <c r="T32" s="207">
        <f t="shared" si="3"/>
        <v>0</v>
      </c>
      <c r="U32" s="316">
        <f>SUM(U27:U31)</f>
        <v>0</v>
      </c>
      <c r="V32" s="209">
        <f t="shared" si="4"/>
        <v>0</v>
      </c>
      <c r="W32" s="318">
        <f t="shared" ref="W32:AC32" si="21">SUM(W27:W31)</f>
        <v>0</v>
      </c>
      <c r="X32" s="319">
        <f t="shared" si="21"/>
        <v>0</v>
      </c>
      <c r="Y32" s="320">
        <f t="shared" si="21"/>
        <v>0</v>
      </c>
      <c r="Z32" s="320">
        <f t="shared" si="21"/>
        <v>0</v>
      </c>
      <c r="AA32" s="320">
        <f t="shared" si="21"/>
        <v>0</v>
      </c>
      <c r="AB32" s="320">
        <f t="shared" si="21"/>
        <v>0</v>
      </c>
      <c r="AC32" s="320">
        <f t="shared" si="21"/>
        <v>30000</v>
      </c>
      <c r="AD32" s="213">
        <f t="shared" si="1"/>
        <v>30000</v>
      </c>
      <c r="AE32" s="321">
        <f>SUM(AE27:AE31)</f>
        <v>0</v>
      </c>
      <c r="AF32" s="322">
        <f>SUM(AF27:AF31)</f>
        <v>0</v>
      </c>
      <c r="AG32" s="323">
        <f>SUM(AG27:AG31)</f>
        <v>0</v>
      </c>
      <c r="AH32" s="324">
        <f>SUM(AH27:AH31)</f>
        <v>380000</v>
      </c>
    </row>
    <row r="33" spans="1:34" x14ac:dyDescent="0.25">
      <c r="A33" s="216" t="s">
        <v>294</v>
      </c>
      <c r="B33" s="217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04">
        <f t="shared" ref="N33:N38" si="22">SUM(B33:M33)</f>
        <v>0</v>
      </c>
      <c r="O33" s="220"/>
      <c r="P33" s="221"/>
      <c r="Q33" s="221"/>
      <c r="R33" s="221"/>
      <c r="S33" s="221"/>
      <c r="T33" s="207">
        <f t="shared" si="3"/>
        <v>0</v>
      </c>
      <c r="U33" s="222"/>
      <c r="V33" s="209">
        <f t="shared" si="4"/>
        <v>0</v>
      </c>
      <c r="W33" s="210"/>
      <c r="X33" s="223"/>
      <c r="Y33" s="224"/>
      <c r="Z33" s="224"/>
      <c r="AA33" s="224"/>
      <c r="AB33" s="224"/>
      <c r="AC33" s="224">
        <f>14900000+200000</f>
        <v>15100000</v>
      </c>
      <c r="AD33" s="213">
        <f t="shared" si="1"/>
        <v>15100000</v>
      </c>
      <c r="AE33" s="214"/>
      <c r="AF33" s="225"/>
      <c r="AG33" s="308"/>
      <c r="AH33" s="215">
        <f t="shared" ref="AH33:AH38" si="23">N33+T33+W33+AE33+AF33+AG33+V33+AD33</f>
        <v>15100000</v>
      </c>
    </row>
    <row r="34" spans="1:34" x14ac:dyDescent="0.25">
      <c r="A34" s="216" t="s">
        <v>295</v>
      </c>
      <c r="B34" s="217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>
        <v>170000</v>
      </c>
      <c r="N34" s="204">
        <f t="shared" si="22"/>
        <v>170000</v>
      </c>
      <c r="O34" s="220"/>
      <c r="P34" s="221"/>
      <c r="Q34" s="221"/>
      <c r="R34" s="221"/>
      <c r="S34" s="221">
        <v>30000</v>
      </c>
      <c r="T34" s="207">
        <f t="shared" si="3"/>
        <v>30000</v>
      </c>
      <c r="U34" s="222"/>
      <c r="V34" s="209">
        <f t="shared" si="4"/>
        <v>0</v>
      </c>
      <c r="W34" s="210"/>
      <c r="X34" s="223"/>
      <c r="Y34" s="224"/>
      <c r="Z34" s="224"/>
      <c r="AA34" s="224"/>
      <c r="AB34" s="224"/>
      <c r="AC34" s="224">
        <v>50000</v>
      </c>
      <c r="AD34" s="213">
        <f t="shared" si="1"/>
        <v>50000</v>
      </c>
      <c r="AE34" s="214"/>
      <c r="AF34" s="225"/>
      <c r="AG34" s="308"/>
      <c r="AH34" s="215">
        <f t="shared" si="23"/>
        <v>250000</v>
      </c>
    </row>
    <row r="35" spans="1:34" x14ac:dyDescent="0.25">
      <c r="A35" s="216" t="s">
        <v>296</v>
      </c>
      <c r="B35" s="217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>
        <v>30000</v>
      </c>
      <c r="N35" s="204">
        <f t="shared" si="22"/>
        <v>30000</v>
      </c>
      <c r="O35" s="220"/>
      <c r="P35" s="221"/>
      <c r="Q35" s="221"/>
      <c r="R35" s="221"/>
      <c r="S35" s="221">
        <v>5000</v>
      </c>
      <c r="T35" s="207">
        <f t="shared" si="3"/>
        <v>5000</v>
      </c>
      <c r="U35" s="222"/>
      <c r="V35" s="209">
        <f t="shared" si="4"/>
        <v>0</v>
      </c>
      <c r="W35" s="210"/>
      <c r="X35" s="223"/>
      <c r="Y35" s="224"/>
      <c r="Z35" s="224"/>
      <c r="AA35" s="224"/>
      <c r="AB35" s="224"/>
      <c r="AC35" s="224">
        <v>10000</v>
      </c>
      <c r="AD35" s="213">
        <f t="shared" si="1"/>
        <v>10000</v>
      </c>
      <c r="AE35" s="214"/>
      <c r="AF35" s="225"/>
      <c r="AG35" s="308"/>
      <c r="AH35" s="215">
        <f t="shared" si="23"/>
        <v>45000</v>
      </c>
    </row>
    <row r="36" spans="1:34" x14ac:dyDescent="0.25">
      <c r="A36" s="216" t="s">
        <v>297</v>
      </c>
      <c r="B36" s="217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04">
        <f t="shared" si="22"/>
        <v>0</v>
      </c>
      <c r="O36" s="220"/>
      <c r="P36" s="221"/>
      <c r="Q36" s="221"/>
      <c r="R36" s="221"/>
      <c r="S36" s="221"/>
      <c r="T36" s="207">
        <f t="shared" si="3"/>
        <v>0</v>
      </c>
      <c r="U36" s="222"/>
      <c r="V36" s="209">
        <f t="shared" si="4"/>
        <v>0</v>
      </c>
      <c r="W36" s="210"/>
      <c r="X36" s="223"/>
      <c r="Y36" s="224"/>
      <c r="Z36" s="224"/>
      <c r="AA36" s="224"/>
      <c r="AB36" s="224"/>
      <c r="AC36" s="224"/>
      <c r="AD36" s="213">
        <f t="shared" si="1"/>
        <v>0</v>
      </c>
      <c r="AE36" s="214"/>
      <c r="AF36" s="225"/>
      <c r="AG36" s="308"/>
      <c r="AH36" s="215">
        <f t="shared" si="23"/>
        <v>0</v>
      </c>
    </row>
    <row r="37" spans="1:34" x14ac:dyDescent="0.25">
      <c r="A37" s="216" t="s">
        <v>298</v>
      </c>
      <c r="B37" s="217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04">
        <f t="shared" si="22"/>
        <v>0</v>
      </c>
      <c r="O37" s="220"/>
      <c r="P37" s="221"/>
      <c r="Q37" s="221"/>
      <c r="R37" s="221"/>
      <c r="S37" s="221"/>
      <c r="T37" s="207">
        <f t="shared" si="3"/>
        <v>0</v>
      </c>
      <c r="U37" s="222"/>
      <c r="V37" s="209">
        <f t="shared" si="4"/>
        <v>0</v>
      </c>
      <c r="W37" s="210"/>
      <c r="X37" s="223"/>
      <c r="Y37" s="224"/>
      <c r="Z37" s="224"/>
      <c r="AA37" s="224"/>
      <c r="AB37" s="224"/>
      <c r="AC37" s="224">
        <v>100000</v>
      </c>
      <c r="AD37" s="213">
        <f t="shared" si="1"/>
        <v>100000</v>
      </c>
      <c r="AE37" s="214"/>
      <c r="AF37" s="225"/>
      <c r="AG37" s="308"/>
      <c r="AH37" s="215">
        <f t="shared" si="23"/>
        <v>100000</v>
      </c>
    </row>
    <row r="38" spans="1:34" ht="49.9" customHeight="1" x14ac:dyDescent="0.25">
      <c r="A38" s="216" t="s">
        <v>497</v>
      </c>
      <c r="B38" s="217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>
        <v>900000</v>
      </c>
      <c r="N38" s="204">
        <f t="shared" si="22"/>
        <v>900000</v>
      </c>
      <c r="O38" s="220"/>
      <c r="P38" s="221"/>
      <c r="Q38" s="221"/>
      <c r="R38" s="221"/>
      <c r="S38" s="221"/>
      <c r="T38" s="207">
        <f t="shared" si="3"/>
        <v>0</v>
      </c>
      <c r="U38" s="222"/>
      <c r="V38" s="209">
        <f t="shared" si="4"/>
        <v>0</v>
      </c>
      <c r="W38" s="210"/>
      <c r="X38" s="223"/>
      <c r="Y38" s="224"/>
      <c r="Z38" s="224"/>
      <c r="AA38" s="224"/>
      <c r="AB38" s="224"/>
      <c r="AC38" s="224">
        <v>800000</v>
      </c>
      <c r="AD38" s="213">
        <f t="shared" si="1"/>
        <v>800000</v>
      </c>
      <c r="AE38" s="214"/>
      <c r="AF38" s="225"/>
      <c r="AG38" s="308"/>
      <c r="AH38" s="215">
        <f t="shared" si="23"/>
        <v>1700000</v>
      </c>
    </row>
    <row r="39" spans="1:34" ht="15.75" thickBot="1" x14ac:dyDescent="0.3">
      <c r="A39" s="325" t="s">
        <v>299</v>
      </c>
      <c r="B39" s="326">
        <f t="shared" ref="B39:AC39" si="24">SUM(B33:B38)</f>
        <v>0</v>
      </c>
      <c r="C39" s="327">
        <f t="shared" si="24"/>
        <v>0</v>
      </c>
      <c r="D39" s="327">
        <f t="shared" si="24"/>
        <v>0</v>
      </c>
      <c r="E39" s="327">
        <f t="shared" si="24"/>
        <v>0</v>
      </c>
      <c r="F39" s="327">
        <f t="shared" si="24"/>
        <v>0</v>
      </c>
      <c r="G39" s="327">
        <f t="shared" si="24"/>
        <v>0</v>
      </c>
      <c r="H39" s="327">
        <f t="shared" si="24"/>
        <v>0</v>
      </c>
      <c r="I39" s="327">
        <f t="shared" si="24"/>
        <v>0</v>
      </c>
      <c r="J39" s="327">
        <f t="shared" si="24"/>
        <v>0</v>
      </c>
      <c r="K39" s="327">
        <f t="shared" si="24"/>
        <v>0</v>
      </c>
      <c r="L39" s="327">
        <f t="shared" si="24"/>
        <v>0</v>
      </c>
      <c r="M39" s="327">
        <f t="shared" si="24"/>
        <v>1100000</v>
      </c>
      <c r="N39" s="328">
        <f t="shared" si="24"/>
        <v>1100000</v>
      </c>
      <c r="O39" s="329">
        <f t="shared" si="24"/>
        <v>0</v>
      </c>
      <c r="P39" s="330">
        <f t="shared" si="24"/>
        <v>0</v>
      </c>
      <c r="Q39" s="330">
        <f t="shared" si="24"/>
        <v>0</v>
      </c>
      <c r="R39" s="330">
        <f t="shared" si="24"/>
        <v>0</v>
      </c>
      <c r="S39" s="330">
        <f t="shared" si="24"/>
        <v>35000</v>
      </c>
      <c r="T39" s="232">
        <f t="shared" si="24"/>
        <v>35000</v>
      </c>
      <c r="U39" s="331">
        <f t="shared" si="24"/>
        <v>0</v>
      </c>
      <c r="V39" s="234">
        <f t="shared" si="24"/>
        <v>0</v>
      </c>
      <c r="W39" s="332">
        <f t="shared" si="24"/>
        <v>0</v>
      </c>
      <c r="X39" s="333">
        <f t="shared" si="24"/>
        <v>0</v>
      </c>
      <c r="Y39" s="334">
        <f t="shared" si="24"/>
        <v>0</v>
      </c>
      <c r="Z39" s="334">
        <f t="shared" si="24"/>
        <v>0</v>
      </c>
      <c r="AA39" s="334">
        <f t="shared" si="24"/>
        <v>0</v>
      </c>
      <c r="AB39" s="334">
        <f t="shared" si="24"/>
        <v>0</v>
      </c>
      <c r="AC39" s="334">
        <f t="shared" si="24"/>
        <v>16060000</v>
      </c>
      <c r="AD39" s="238">
        <f>SUM(AD33:AD38)</f>
        <v>16060000</v>
      </c>
      <c r="AE39" s="335">
        <f>SUM(AE33:AE38)</f>
        <v>0</v>
      </c>
      <c r="AF39" s="336">
        <f>SUM(AF33:AF38)</f>
        <v>0</v>
      </c>
      <c r="AG39" s="337">
        <f>SUM(AG33:AG38)</f>
        <v>0</v>
      </c>
      <c r="AH39" s="338">
        <f>SUM(AH33:AH38)</f>
        <v>17195000</v>
      </c>
    </row>
    <row r="40" spans="1:34" ht="15.75" thickBot="1" x14ac:dyDescent="0.3">
      <c r="A40" s="339" t="s">
        <v>300</v>
      </c>
      <c r="B40" s="340">
        <f t="shared" ref="B40:AH40" si="25">B32+B39</f>
        <v>0</v>
      </c>
      <c r="C40" s="341">
        <f t="shared" si="25"/>
        <v>0</v>
      </c>
      <c r="D40" s="341">
        <f t="shared" si="25"/>
        <v>0</v>
      </c>
      <c r="E40" s="341">
        <f t="shared" si="25"/>
        <v>0</v>
      </c>
      <c r="F40" s="341">
        <f t="shared" si="25"/>
        <v>0</v>
      </c>
      <c r="G40" s="341">
        <f t="shared" si="25"/>
        <v>0</v>
      </c>
      <c r="H40" s="341">
        <f t="shared" si="25"/>
        <v>0</v>
      </c>
      <c r="I40" s="341">
        <f t="shared" si="25"/>
        <v>0</v>
      </c>
      <c r="J40" s="341">
        <f t="shared" si="25"/>
        <v>0</v>
      </c>
      <c r="K40" s="341">
        <f t="shared" si="25"/>
        <v>0</v>
      </c>
      <c r="L40" s="341">
        <f t="shared" si="25"/>
        <v>0</v>
      </c>
      <c r="M40" s="341">
        <f t="shared" si="25"/>
        <v>1450000</v>
      </c>
      <c r="N40" s="342">
        <f t="shared" si="25"/>
        <v>1450000</v>
      </c>
      <c r="O40" s="343">
        <f t="shared" si="25"/>
        <v>0</v>
      </c>
      <c r="P40" s="343">
        <f t="shared" si="25"/>
        <v>0</v>
      </c>
      <c r="Q40" s="343">
        <f t="shared" si="25"/>
        <v>0</v>
      </c>
      <c r="R40" s="343">
        <f t="shared" si="25"/>
        <v>0</v>
      </c>
      <c r="S40" s="343">
        <f t="shared" si="25"/>
        <v>35000</v>
      </c>
      <c r="T40" s="249">
        <f t="shared" si="25"/>
        <v>35000</v>
      </c>
      <c r="U40" s="344">
        <f t="shared" si="25"/>
        <v>0</v>
      </c>
      <c r="V40" s="251">
        <f t="shared" si="25"/>
        <v>0</v>
      </c>
      <c r="W40" s="345">
        <f t="shared" si="25"/>
        <v>0</v>
      </c>
      <c r="X40" s="346">
        <f t="shared" si="25"/>
        <v>0</v>
      </c>
      <c r="Y40" s="347">
        <f t="shared" si="25"/>
        <v>0</v>
      </c>
      <c r="Z40" s="347">
        <f t="shared" si="25"/>
        <v>0</v>
      </c>
      <c r="AA40" s="347">
        <f t="shared" si="25"/>
        <v>0</v>
      </c>
      <c r="AB40" s="347">
        <f t="shared" si="25"/>
        <v>0</v>
      </c>
      <c r="AC40" s="347">
        <f t="shared" si="25"/>
        <v>16090000</v>
      </c>
      <c r="AD40" s="255">
        <f t="shared" si="25"/>
        <v>16090000</v>
      </c>
      <c r="AE40" s="348">
        <f t="shared" si="25"/>
        <v>0</v>
      </c>
      <c r="AF40" s="349">
        <f t="shared" si="25"/>
        <v>0</v>
      </c>
      <c r="AG40" s="350">
        <f t="shared" si="25"/>
        <v>0</v>
      </c>
      <c r="AH40" s="351">
        <f t="shared" si="25"/>
        <v>17575000</v>
      </c>
    </row>
    <row r="41" spans="1:34" ht="30" x14ac:dyDescent="0.25">
      <c r="A41" s="352" t="s">
        <v>301</v>
      </c>
      <c r="B41" s="187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219">
        <f>SUM(B41:M41)</f>
        <v>0</v>
      </c>
      <c r="O41" s="205"/>
      <c r="P41" s="206"/>
      <c r="Q41" s="206"/>
      <c r="R41" s="206"/>
      <c r="S41" s="206"/>
      <c r="T41" s="353"/>
      <c r="U41" s="208"/>
      <c r="V41" s="354"/>
      <c r="W41" s="355"/>
      <c r="X41" s="211"/>
      <c r="Y41" s="212"/>
      <c r="Z41" s="212"/>
      <c r="AA41" s="212"/>
      <c r="AB41" s="212"/>
      <c r="AC41" s="212"/>
      <c r="AD41" s="356"/>
      <c r="AE41" s="357"/>
      <c r="AF41" s="200"/>
      <c r="AG41" s="358"/>
      <c r="AH41" s="201">
        <f>N41+T41+W41+AE41+AF41+AG41</f>
        <v>0</v>
      </c>
    </row>
    <row r="42" spans="1:34" ht="99" customHeight="1" x14ac:dyDescent="0.25">
      <c r="A42" s="216" t="s">
        <v>931</v>
      </c>
      <c r="B42" s="217"/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>
        <f>805000</f>
        <v>805000</v>
      </c>
      <c r="N42" s="204">
        <f>SUM(B42:M42)</f>
        <v>805000</v>
      </c>
      <c r="O42" s="220"/>
      <c r="P42" s="221"/>
      <c r="Q42" s="221"/>
      <c r="R42" s="221"/>
      <c r="S42" s="221">
        <v>180000</v>
      </c>
      <c r="T42" s="207">
        <f>SUM(O42:S42)</f>
        <v>180000</v>
      </c>
      <c r="U42" s="222"/>
      <c r="V42" s="209">
        <f>SUM(U42:U42)</f>
        <v>0</v>
      </c>
      <c r="W42" s="210"/>
      <c r="X42" s="223"/>
      <c r="Y42" s="224"/>
      <c r="Z42" s="224"/>
      <c r="AA42" s="224"/>
      <c r="AB42" s="224"/>
      <c r="AC42" s="224">
        <f>60000+135000</f>
        <v>195000</v>
      </c>
      <c r="AD42" s="213">
        <f>SUM(X42:AC42)</f>
        <v>195000</v>
      </c>
      <c r="AE42" s="214"/>
      <c r="AF42" s="225"/>
      <c r="AG42" s="308"/>
      <c r="AH42" s="215">
        <f>N42+T42+W42+AE42+AF42+AG42+V42+AD42</f>
        <v>1180000</v>
      </c>
    </row>
    <row r="43" spans="1:34" ht="30" x14ac:dyDescent="0.25">
      <c r="A43" s="216" t="s">
        <v>302</v>
      </c>
      <c r="B43" s="217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04">
        <f>SUM(B43:M43)</f>
        <v>0</v>
      </c>
      <c r="O43" s="220"/>
      <c r="P43" s="221"/>
      <c r="Q43" s="221"/>
      <c r="R43" s="221"/>
      <c r="S43" s="221"/>
      <c r="T43" s="207">
        <f>SUM(O43:S43)</f>
        <v>0</v>
      </c>
      <c r="U43" s="222"/>
      <c r="V43" s="209">
        <f>SUM(U43:U43)</f>
        <v>0</v>
      </c>
      <c r="W43" s="210"/>
      <c r="X43" s="223"/>
      <c r="Y43" s="224"/>
      <c r="Z43" s="224"/>
      <c r="AA43" s="224"/>
      <c r="AB43" s="224"/>
      <c r="AC43" s="224"/>
      <c r="AD43" s="213">
        <f>SUM(X43:AC43)</f>
        <v>0</v>
      </c>
      <c r="AE43" s="214"/>
      <c r="AF43" s="225"/>
      <c r="AG43" s="308"/>
      <c r="AH43" s="215">
        <f>N43+T43+W43+AE43+AF43+AG43+V43+AD43</f>
        <v>0</v>
      </c>
    </row>
    <row r="44" spans="1:34" ht="45" x14ac:dyDescent="0.25">
      <c r="A44" s="216" t="s">
        <v>550</v>
      </c>
      <c r="B44" s="217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>
        <v>200000</v>
      </c>
      <c r="N44" s="204">
        <f>SUM(B44:M44)</f>
        <v>200000</v>
      </c>
      <c r="O44" s="220"/>
      <c r="P44" s="221"/>
      <c r="Q44" s="221"/>
      <c r="R44" s="221"/>
      <c r="S44" s="221">
        <v>25000</v>
      </c>
      <c r="T44" s="207">
        <f>SUM(O44:S44)</f>
        <v>25000</v>
      </c>
      <c r="U44" s="222"/>
      <c r="V44" s="209">
        <f>SUM(U44:U44)</f>
        <v>0</v>
      </c>
      <c r="W44" s="210"/>
      <c r="X44" s="223"/>
      <c r="Y44" s="224"/>
      <c r="Z44" s="224"/>
      <c r="AA44" s="224"/>
      <c r="AB44" s="224">
        <v>12000</v>
      </c>
      <c r="AC44" s="224"/>
      <c r="AD44" s="213">
        <f>SUM(X44:AC44)</f>
        <v>12000</v>
      </c>
      <c r="AE44" s="214"/>
      <c r="AF44" s="225"/>
      <c r="AG44" s="308"/>
      <c r="AH44" s="215">
        <f>N44+T44+W44+AE44+AF44+AG44+V44+AD44</f>
        <v>237000</v>
      </c>
    </row>
    <row r="45" spans="1:34" ht="30" x14ac:dyDescent="0.25">
      <c r="A45" s="310" t="s">
        <v>303</v>
      </c>
      <c r="B45" s="311">
        <f t="shared" ref="B45:R45" si="26">SUM(B41:B44)</f>
        <v>0</v>
      </c>
      <c r="C45" s="312">
        <f t="shared" si="26"/>
        <v>0</v>
      </c>
      <c r="D45" s="312">
        <f t="shared" si="26"/>
        <v>0</v>
      </c>
      <c r="E45" s="312">
        <f t="shared" si="26"/>
        <v>0</v>
      </c>
      <c r="F45" s="312">
        <f t="shared" si="26"/>
        <v>0</v>
      </c>
      <c r="G45" s="312">
        <f t="shared" si="26"/>
        <v>0</v>
      </c>
      <c r="H45" s="312">
        <f t="shared" si="26"/>
        <v>0</v>
      </c>
      <c r="I45" s="312">
        <f t="shared" si="26"/>
        <v>0</v>
      </c>
      <c r="J45" s="312">
        <f t="shared" ref="J45:L45" si="27">SUM(J41:J44)</f>
        <v>0</v>
      </c>
      <c r="K45" s="312">
        <f t="shared" si="27"/>
        <v>0</v>
      </c>
      <c r="L45" s="312">
        <f t="shared" si="27"/>
        <v>0</v>
      </c>
      <c r="M45" s="312">
        <f t="shared" si="26"/>
        <v>1005000</v>
      </c>
      <c r="N45" s="313">
        <f t="shared" si="26"/>
        <v>1005000</v>
      </c>
      <c r="O45" s="315">
        <f t="shared" si="26"/>
        <v>0</v>
      </c>
      <c r="P45" s="315">
        <f t="shared" ref="P45:Q45" si="28">SUM(P41:P44)</f>
        <v>0</v>
      </c>
      <c r="Q45" s="315">
        <f t="shared" si="28"/>
        <v>0</v>
      </c>
      <c r="R45" s="315">
        <f t="shared" si="26"/>
        <v>0</v>
      </c>
      <c r="S45" s="315">
        <f>SUM(S41:S44)</f>
        <v>205000</v>
      </c>
      <c r="T45" s="207">
        <f>SUM(O45:S45)</f>
        <v>205000</v>
      </c>
      <c r="U45" s="316">
        <f>SUM(U41:U44)</f>
        <v>0</v>
      </c>
      <c r="V45" s="209">
        <f>SUM(U45:U45)</f>
        <v>0</v>
      </c>
      <c r="W45" s="359">
        <f>SUM(W41:W44)</f>
        <v>0</v>
      </c>
      <c r="X45" s="319">
        <f t="shared" ref="X45:AC45" si="29">SUM(X41:X44)</f>
        <v>0</v>
      </c>
      <c r="Y45" s="320">
        <f t="shared" si="29"/>
        <v>0</v>
      </c>
      <c r="Z45" s="320">
        <f t="shared" si="29"/>
        <v>0</v>
      </c>
      <c r="AA45" s="320">
        <f t="shared" si="29"/>
        <v>0</v>
      </c>
      <c r="AB45" s="320">
        <f t="shared" si="29"/>
        <v>12000</v>
      </c>
      <c r="AC45" s="320">
        <f t="shared" si="29"/>
        <v>195000</v>
      </c>
      <c r="AD45" s="213">
        <f>SUM(X45:AC45)</f>
        <v>207000</v>
      </c>
      <c r="AE45" s="360">
        <f>SUM(AE41:AE44)</f>
        <v>0</v>
      </c>
      <c r="AF45" s="361">
        <f>SUM(AF41:AF44)</f>
        <v>0</v>
      </c>
      <c r="AG45" s="362">
        <f>SUM(AG41:AG44)</f>
        <v>0</v>
      </c>
      <c r="AH45" s="215">
        <f>N45+T45+W45+AE45+AF45+AG45+V45+AD45</f>
        <v>1417000</v>
      </c>
    </row>
    <row r="46" spans="1:34" ht="30.75" thickBot="1" x14ac:dyDescent="0.3">
      <c r="A46" s="325" t="s">
        <v>304</v>
      </c>
      <c r="B46" s="326"/>
      <c r="C46" s="327"/>
      <c r="D46" s="327"/>
      <c r="E46" s="327"/>
      <c r="F46" s="327"/>
      <c r="G46" s="327"/>
      <c r="H46" s="327"/>
      <c r="I46" s="327"/>
      <c r="J46" s="327"/>
      <c r="K46" s="327"/>
      <c r="L46" s="327"/>
      <c r="M46" s="327">
        <v>300000</v>
      </c>
      <c r="N46" s="363">
        <f>SUM(B46:M46)</f>
        <v>300000</v>
      </c>
      <c r="O46" s="364"/>
      <c r="P46" s="365"/>
      <c r="Q46" s="365"/>
      <c r="R46" s="365"/>
      <c r="S46" s="365">
        <v>15000</v>
      </c>
      <c r="T46" s="366">
        <f>SUM(O46:S46)</f>
        <v>15000</v>
      </c>
      <c r="U46" s="367"/>
      <c r="V46" s="368">
        <f>SUM(U46:U46)</f>
        <v>0</v>
      </c>
      <c r="W46" s="369"/>
      <c r="X46" s="370"/>
      <c r="Y46" s="371"/>
      <c r="Z46" s="371"/>
      <c r="AA46" s="371"/>
      <c r="AB46" s="371">
        <v>20000</v>
      </c>
      <c r="AC46" s="371"/>
      <c r="AD46" s="372">
        <f>SUM(X46:AC46)</f>
        <v>20000</v>
      </c>
      <c r="AE46" s="373"/>
      <c r="AF46" s="374"/>
      <c r="AG46" s="375"/>
      <c r="AH46" s="215">
        <f>N46+T46+W46+AE46+AF46+AG46+V46+AD46</f>
        <v>335000</v>
      </c>
    </row>
    <row r="47" spans="1:34" ht="15.75" thickBot="1" x14ac:dyDescent="0.3">
      <c r="A47" s="339" t="s">
        <v>305</v>
      </c>
      <c r="B47" s="340">
        <f t="shared" ref="B47:AC47" si="30">B45+B46</f>
        <v>0</v>
      </c>
      <c r="C47" s="341">
        <f t="shared" si="30"/>
        <v>0</v>
      </c>
      <c r="D47" s="341">
        <f t="shared" si="30"/>
        <v>0</v>
      </c>
      <c r="E47" s="341">
        <f t="shared" si="30"/>
        <v>0</v>
      </c>
      <c r="F47" s="341">
        <f t="shared" si="30"/>
        <v>0</v>
      </c>
      <c r="G47" s="341">
        <f t="shared" si="30"/>
        <v>0</v>
      </c>
      <c r="H47" s="341">
        <f t="shared" si="30"/>
        <v>0</v>
      </c>
      <c r="I47" s="341">
        <f t="shared" si="30"/>
        <v>0</v>
      </c>
      <c r="J47" s="341">
        <f t="shared" si="30"/>
        <v>0</v>
      </c>
      <c r="K47" s="341">
        <f t="shared" si="30"/>
        <v>0</v>
      </c>
      <c r="L47" s="341">
        <f t="shared" si="30"/>
        <v>0</v>
      </c>
      <c r="M47" s="341">
        <f t="shared" si="30"/>
        <v>1305000</v>
      </c>
      <c r="N47" s="342">
        <f t="shared" si="30"/>
        <v>1305000</v>
      </c>
      <c r="O47" s="343">
        <f t="shared" si="30"/>
        <v>0</v>
      </c>
      <c r="P47" s="343">
        <f t="shared" si="30"/>
        <v>0</v>
      </c>
      <c r="Q47" s="343">
        <f t="shared" si="30"/>
        <v>0</v>
      </c>
      <c r="R47" s="343">
        <f t="shared" si="30"/>
        <v>0</v>
      </c>
      <c r="S47" s="343">
        <f t="shared" si="30"/>
        <v>220000</v>
      </c>
      <c r="T47" s="249">
        <f t="shared" si="30"/>
        <v>220000</v>
      </c>
      <c r="U47" s="377">
        <f t="shared" si="30"/>
        <v>0</v>
      </c>
      <c r="V47" s="251">
        <f t="shared" si="30"/>
        <v>0</v>
      </c>
      <c r="W47" s="345">
        <f t="shared" si="30"/>
        <v>0</v>
      </c>
      <c r="X47" s="346">
        <f t="shared" si="30"/>
        <v>0</v>
      </c>
      <c r="Y47" s="347">
        <f t="shared" si="30"/>
        <v>0</v>
      </c>
      <c r="Z47" s="347">
        <f t="shared" si="30"/>
        <v>0</v>
      </c>
      <c r="AA47" s="347">
        <f t="shared" si="30"/>
        <v>0</v>
      </c>
      <c r="AB47" s="347">
        <f t="shared" si="30"/>
        <v>32000</v>
      </c>
      <c r="AC47" s="347">
        <f t="shared" si="30"/>
        <v>195000</v>
      </c>
      <c r="AD47" s="255">
        <f>AD45+AD46</f>
        <v>227000</v>
      </c>
      <c r="AE47" s="348">
        <f>AE45+AE46</f>
        <v>0</v>
      </c>
      <c r="AF47" s="349">
        <f>AF45+AF46</f>
        <v>0</v>
      </c>
      <c r="AG47" s="350">
        <f>AG45+AG46</f>
        <v>0</v>
      </c>
      <c r="AH47" s="351">
        <f>AH45+AH46</f>
        <v>1752000</v>
      </c>
    </row>
    <row r="48" spans="1:34" x14ac:dyDescent="0.25">
      <c r="A48" s="306" t="s">
        <v>306</v>
      </c>
      <c r="B48" s="288"/>
      <c r="C48" s="289"/>
      <c r="D48" s="289"/>
      <c r="E48" s="289"/>
      <c r="F48" s="289"/>
      <c r="G48" s="289"/>
      <c r="H48" s="289"/>
      <c r="I48" s="289"/>
      <c r="J48" s="289"/>
      <c r="K48" s="289"/>
      <c r="L48" s="289"/>
      <c r="M48" s="289">
        <v>500000</v>
      </c>
      <c r="N48" s="290">
        <f>SUM(B48:M48)</f>
        <v>500000</v>
      </c>
      <c r="O48" s="190"/>
      <c r="P48" s="191"/>
      <c r="Q48" s="191"/>
      <c r="R48" s="191"/>
      <c r="S48" s="191">
        <v>60000</v>
      </c>
      <c r="T48" s="192">
        <f>SUM(O48:S48)</f>
        <v>60000</v>
      </c>
      <c r="U48" s="193"/>
      <c r="V48" s="194">
        <f>SUM(U48:U48)</f>
        <v>0</v>
      </c>
      <c r="W48" s="378"/>
      <c r="X48" s="196"/>
      <c r="Y48" s="197"/>
      <c r="Z48" s="197"/>
      <c r="AA48" s="197"/>
      <c r="AB48" s="197"/>
      <c r="AC48" s="197">
        <v>600000</v>
      </c>
      <c r="AD48" s="198">
        <f>SUM(X48:AC48)</f>
        <v>600000</v>
      </c>
      <c r="AE48" s="199"/>
      <c r="AF48" s="291"/>
      <c r="AG48" s="307"/>
      <c r="AH48" s="202">
        <f>N48+T48+W48+AE48+AF48+AG48+V48+AD48</f>
        <v>1160000</v>
      </c>
    </row>
    <row r="49" spans="1:34" x14ac:dyDescent="0.25">
      <c r="A49" s="216" t="s">
        <v>307</v>
      </c>
      <c r="B49" s="217"/>
      <c r="C49" s="218"/>
      <c r="D49" s="218"/>
      <c r="E49" s="218"/>
      <c r="F49" s="218"/>
      <c r="G49" s="218"/>
      <c r="H49" s="218"/>
      <c r="I49" s="218"/>
      <c r="J49" s="218"/>
      <c r="K49" s="218"/>
      <c r="L49" s="218"/>
      <c r="M49" s="218">
        <v>50000</v>
      </c>
      <c r="N49" s="204">
        <f>SUM(B49:M49)</f>
        <v>50000</v>
      </c>
      <c r="O49" s="220"/>
      <c r="P49" s="221"/>
      <c r="Q49" s="221"/>
      <c r="R49" s="221"/>
      <c r="S49" s="221">
        <v>5000</v>
      </c>
      <c r="T49" s="207">
        <f>SUM(O49:S49)</f>
        <v>5000</v>
      </c>
      <c r="U49" s="222"/>
      <c r="V49" s="209">
        <f>SUM(U49:U49)</f>
        <v>0</v>
      </c>
      <c r="W49" s="379"/>
      <c r="X49" s="223"/>
      <c r="Y49" s="224"/>
      <c r="Z49" s="224"/>
      <c r="AA49" s="224"/>
      <c r="AB49" s="224"/>
      <c r="AC49" s="224">
        <v>960000</v>
      </c>
      <c r="AD49" s="213">
        <f>SUM(X49:AC49)</f>
        <v>960000</v>
      </c>
      <c r="AE49" s="214"/>
      <c r="AF49" s="225"/>
      <c r="AG49" s="308"/>
      <c r="AH49" s="215">
        <f>N49+T49+W49+AE49+AF49+AG49+V49+AD49</f>
        <v>1015000</v>
      </c>
    </row>
    <row r="50" spans="1:34" x14ac:dyDescent="0.25">
      <c r="A50" s="216" t="s">
        <v>308</v>
      </c>
      <c r="B50" s="217"/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04">
        <f>SUM(B50:M50)</f>
        <v>0</v>
      </c>
      <c r="O50" s="220"/>
      <c r="P50" s="221"/>
      <c r="Q50" s="221"/>
      <c r="R50" s="221"/>
      <c r="S50" s="221"/>
      <c r="T50" s="207">
        <f>SUM(O50:S50)</f>
        <v>0</v>
      </c>
      <c r="U50" s="222"/>
      <c r="V50" s="209">
        <f>SUM(U50:U50)</f>
        <v>0</v>
      </c>
      <c r="W50" s="379"/>
      <c r="X50" s="223"/>
      <c r="Y50" s="224"/>
      <c r="Z50" s="224"/>
      <c r="AA50" s="224"/>
      <c r="AB50" s="224"/>
      <c r="AC50" s="224"/>
      <c r="AD50" s="213">
        <f>SUM(X50:AC50)</f>
        <v>0</v>
      </c>
      <c r="AE50" s="214"/>
      <c r="AF50" s="225"/>
      <c r="AG50" s="308"/>
      <c r="AH50" s="215">
        <f>N50+T50+W50+AE50+AF50+AG50+V50+AD50</f>
        <v>0</v>
      </c>
    </row>
    <row r="51" spans="1:34" x14ac:dyDescent="0.25">
      <c r="A51" s="216" t="s">
        <v>309</v>
      </c>
      <c r="B51" s="217"/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218">
        <v>135000</v>
      </c>
      <c r="N51" s="204">
        <f>SUM(B51:M51)</f>
        <v>135000</v>
      </c>
      <c r="O51" s="220"/>
      <c r="P51" s="221"/>
      <c r="Q51" s="221"/>
      <c r="R51" s="221"/>
      <c r="S51" s="221">
        <v>15000</v>
      </c>
      <c r="T51" s="207">
        <f>SUM(O51:S51)</f>
        <v>15000</v>
      </c>
      <c r="U51" s="222"/>
      <c r="V51" s="209">
        <f>SUM(U51:U51)</f>
        <v>0</v>
      </c>
      <c r="W51" s="379"/>
      <c r="X51" s="223"/>
      <c r="Y51" s="224"/>
      <c r="Z51" s="224"/>
      <c r="AA51" s="224"/>
      <c r="AB51" s="224"/>
      <c r="AC51" s="224">
        <v>170000</v>
      </c>
      <c r="AD51" s="213">
        <f>SUM(X51:AC51)</f>
        <v>170000</v>
      </c>
      <c r="AE51" s="214"/>
      <c r="AF51" s="225"/>
      <c r="AG51" s="308"/>
      <c r="AH51" s="215">
        <f>N51+T51+W51+AE51+AF51+AG51+V51+AD51</f>
        <v>320000</v>
      </c>
    </row>
    <row r="52" spans="1:34" x14ac:dyDescent="0.25">
      <c r="A52" s="310" t="s">
        <v>310</v>
      </c>
      <c r="B52" s="311">
        <f t="shared" ref="B52:AG53" si="31">SUM(B48:B51)</f>
        <v>0</v>
      </c>
      <c r="C52" s="312">
        <f t="shared" si="31"/>
        <v>0</v>
      </c>
      <c r="D52" s="312">
        <f t="shared" si="31"/>
        <v>0</v>
      </c>
      <c r="E52" s="312">
        <f t="shared" si="31"/>
        <v>0</v>
      </c>
      <c r="F52" s="312">
        <f t="shared" si="31"/>
        <v>0</v>
      </c>
      <c r="G52" s="312">
        <f t="shared" si="31"/>
        <v>0</v>
      </c>
      <c r="H52" s="312">
        <f t="shared" si="31"/>
        <v>0</v>
      </c>
      <c r="I52" s="312">
        <f t="shared" si="31"/>
        <v>0</v>
      </c>
      <c r="J52" s="312">
        <f t="shared" ref="J52:L52" si="32">SUM(J48:J51)</f>
        <v>0</v>
      </c>
      <c r="K52" s="312">
        <f t="shared" si="32"/>
        <v>0</v>
      </c>
      <c r="L52" s="312">
        <f t="shared" si="32"/>
        <v>0</v>
      </c>
      <c r="M52" s="312">
        <f t="shared" si="31"/>
        <v>685000</v>
      </c>
      <c r="N52" s="313">
        <f t="shared" si="31"/>
        <v>685000</v>
      </c>
      <c r="O52" s="314">
        <f t="shared" si="31"/>
        <v>0</v>
      </c>
      <c r="P52" s="315">
        <f t="shared" ref="P52:Q52" si="33">SUM(P48:P51)</f>
        <v>0</v>
      </c>
      <c r="Q52" s="315">
        <f t="shared" si="33"/>
        <v>0</v>
      </c>
      <c r="R52" s="315">
        <f t="shared" si="31"/>
        <v>0</v>
      </c>
      <c r="S52" s="315">
        <f t="shared" si="31"/>
        <v>80000</v>
      </c>
      <c r="T52" s="380">
        <f t="shared" si="31"/>
        <v>80000</v>
      </c>
      <c r="U52" s="316">
        <f t="shared" si="31"/>
        <v>0</v>
      </c>
      <c r="V52" s="381">
        <f t="shared" si="31"/>
        <v>0</v>
      </c>
      <c r="W52" s="382">
        <f t="shared" si="31"/>
        <v>0</v>
      </c>
      <c r="X52" s="319">
        <f t="shared" si="31"/>
        <v>0</v>
      </c>
      <c r="Y52" s="320">
        <f t="shared" si="31"/>
        <v>0</v>
      </c>
      <c r="Z52" s="320">
        <f t="shared" si="31"/>
        <v>0</v>
      </c>
      <c r="AA52" s="320">
        <f t="shared" si="31"/>
        <v>0</v>
      </c>
      <c r="AB52" s="320">
        <f t="shared" si="31"/>
        <v>0</v>
      </c>
      <c r="AC52" s="320">
        <f t="shared" si="31"/>
        <v>1730000</v>
      </c>
      <c r="AD52" s="383">
        <f t="shared" si="31"/>
        <v>1730000</v>
      </c>
      <c r="AE52" s="360">
        <f t="shared" si="31"/>
        <v>0</v>
      </c>
      <c r="AF52" s="361">
        <f t="shared" si="31"/>
        <v>0</v>
      </c>
      <c r="AG52" s="362">
        <f t="shared" si="31"/>
        <v>0</v>
      </c>
      <c r="AH52" s="384">
        <f>SUM(AH48:AH51)</f>
        <v>2495000</v>
      </c>
    </row>
    <row r="53" spans="1:34" x14ac:dyDescent="0.25">
      <c r="A53" s="310" t="s">
        <v>311</v>
      </c>
      <c r="B53" s="311"/>
      <c r="C53" s="312"/>
      <c r="D53" s="312"/>
      <c r="E53" s="312"/>
      <c r="F53" s="312"/>
      <c r="G53" s="312"/>
      <c r="H53" s="312"/>
      <c r="I53" s="312"/>
      <c r="J53" s="312"/>
      <c r="K53" s="312"/>
      <c r="L53" s="312"/>
      <c r="M53" s="312"/>
      <c r="N53" s="204">
        <f>SUM(B53:M53)</f>
        <v>0</v>
      </c>
      <c r="O53" s="220"/>
      <c r="P53" s="221"/>
      <c r="Q53" s="221"/>
      <c r="R53" s="221"/>
      <c r="S53" s="221"/>
      <c r="T53" s="207">
        <f t="shared" ref="T53:T60" si="34">SUM(O53:S53)</f>
        <v>0</v>
      </c>
      <c r="U53" s="222"/>
      <c r="V53" s="381">
        <f t="shared" si="31"/>
        <v>0</v>
      </c>
      <c r="W53" s="385"/>
      <c r="X53" s="223"/>
      <c r="Y53" s="224"/>
      <c r="Z53" s="224"/>
      <c r="AA53" s="224"/>
      <c r="AB53" s="224"/>
      <c r="AC53" s="224"/>
      <c r="AD53" s="213">
        <f>SUM(AA53:AC53)</f>
        <v>0</v>
      </c>
      <c r="AE53" s="386"/>
      <c r="AF53" s="387"/>
      <c r="AG53" s="388"/>
      <c r="AH53" s="215">
        <f>N53+T53+W53+AE53+AF53+AG53</f>
        <v>0</v>
      </c>
    </row>
    <row r="54" spans="1:34" x14ac:dyDescent="0.25">
      <c r="A54" s="310" t="s">
        <v>312</v>
      </c>
      <c r="B54" s="311"/>
      <c r="C54" s="312"/>
      <c r="D54" s="312"/>
      <c r="E54" s="312"/>
      <c r="F54" s="312"/>
      <c r="G54" s="312"/>
      <c r="H54" s="312"/>
      <c r="I54" s="312"/>
      <c r="J54" s="312"/>
      <c r="K54" s="312"/>
      <c r="L54" s="312"/>
      <c r="M54" s="312"/>
      <c r="N54" s="204">
        <f>SUM(B54:M54)</f>
        <v>0</v>
      </c>
      <c r="O54" s="220"/>
      <c r="P54" s="221"/>
      <c r="Q54" s="221"/>
      <c r="R54" s="221"/>
      <c r="S54" s="221"/>
      <c r="T54" s="207">
        <f t="shared" si="34"/>
        <v>0</v>
      </c>
      <c r="U54" s="222"/>
      <c r="V54" s="381">
        <f>SUM(U54:U54)</f>
        <v>0</v>
      </c>
      <c r="W54" s="385"/>
      <c r="X54" s="223"/>
      <c r="Y54" s="224"/>
      <c r="Z54" s="224"/>
      <c r="AA54" s="224"/>
      <c r="AB54" s="224"/>
      <c r="AC54" s="224"/>
      <c r="AD54" s="383">
        <f>SUM(X54:AC54)</f>
        <v>0</v>
      </c>
      <c r="AE54" s="386"/>
      <c r="AF54" s="387"/>
      <c r="AG54" s="388"/>
      <c r="AH54" s="215">
        <f>N54+T54+W54+AE54+AF54+AG54+V54+AD54</f>
        <v>0</v>
      </c>
    </row>
    <row r="55" spans="1:34" x14ac:dyDescent="0.25">
      <c r="A55" s="389" t="s">
        <v>313</v>
      </c>
      <c r="B55" s="311"/>
      <c r="C55" s="312"/>
      <c r="D55" s="312"/>
      <c r="E55" s="312"/>
      <c r="F55" s="312"/>
      <c r="G55" s="312"/>
      <c r="H55" s="312"/>
      <c r="I55" s="312"/>
      <c r="J55" s="312"/>
      <c r="K55" s="312"/>
      <c r="L55" s="312"/>
      <c r="M55" s="312">
        <v>30000</v>
      </c>
      <c r="N55" s="204">
        <f>SUM(B55:M55)</f>
        <v>30000</v>
      </c>
      <c r="O55" s="220"/>
      <c r="P55" s="221"/>
      <c r="Q55" s="221"/>
      <c r="R55" s="221"/>
      <c r="S55" s="221"/>
      <c r="T55" s="207">
        <f t="shared" si="34"/>
        <v>0</v>
      </c>
      <c r="U55" s="222"/>
      <c r="V55" s="381">
        <f>SUM(U55:U55)</f>
        <v>0</v>
      </c>
      <c r="W55" s="385"/>
      <c r="X55" s="223"/>
      <c r="Y55" s="224"/>
      <c r="Z55" s="224"/>
      <c r="AA55" s="224"/>
      <c r="AB55" s="224"/>
      <c r="AC55" s="224">
        <v>100000</v>
      </c>
      <c r="AD55" s="383">
        <f>SUM(X55:AC55)</f>
        <v>100000</v>
      </c>
      <c r="AE55" s="386"/>
      <c r="AF55" s="387"/>
      <c r="AG55" s="388"/>
      <c r="AH55" s="215">
        <f>N55+T55+W55+AE55+AF55+AG55+V55+AD55</f>
        <v>130000</v>
      </c>
    </row>
    <row r="56" spans="1:34" x14ac:dyDescent="0.25">
      <c r="A56" s="216" t="s">
        <v>314</v>
      </c>
      <c r="B56" s="217"/>
      <c r="C56" s="218"/>
      <c r="D56" s="218"/>
      <c r="E56" s="218"/>
      <c r="F56" s="218"/>
      <c r="G56" s="218"/>
      <c r="H56" s="218"/>
      <c r="I56" s="218"/>
      <c r="J56" s="218"/>
      <c r="K56" s="218"/>
      <c r="L56" s="218"/>
      <c r="M56" s="218">
        <v>50000</v>
      </c>
      <c r="N56" s="204">
        <f>SUM(B56:M56)</f>
        <v>50000</v>
      </c>
      <c r="O56" s="220"/>
      <c r="P56" s="221"/>
      <c r="Q56" s="221"/>
      <c r="R56" s="221"/>
      <c r="S56" s="221"/>
      <c r="T56" s="207">
        <f t="shared" si="34"/>
        <v>0</v>
      </c>
      <c r="U56" s="222"/>
      <c r="V56" s="381">
        <f>SUM(U56:U56)</f>
        <v>0</v>
      </c>
      <c r="W56" s="379"/>
      <c r="X56" s="223"/>
      <c r="Y56" s="224"/>
      <c r="Z56" s="224"/>
      <c r="AA56" s="224"/>
      <c r="AB56" s="224"/>
      <c r="AC56" s="224"/>
      <c r="AD56" s="383">
        <f>SUM(X56:AC56)</f>
        <v>0</v>
      </c>
      <c r="AE56" s="214"/>
      <c r="AF56" s="225"/>
      <c r="AG56" s="308"/>
      <c r="AH56" s="215">
        <f>N56+T56+W56+AE56+AF56+AG56+V56+AD56</f>
        <v>50000</v>
      </c>
    </row>
    <row r="57" spans="1:34" x14ac:dyDescent="0.25">
      <c r="A57" s="216" t="s">
        <v>315</v>
      </c>
      <c r="B57" s="217"/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04">
        <f>SUM(B57:M57)</f>
        <v>0</v>
      </c>
      <c r="O57" s="220"/>
      <c r="P57" s="221"/>
      <c r="Q57" s="221"/>
      <c r="R57" s="221"/>
      <c r="S57" s="221"/>
      <c r="T57" s="207">
        <f t="shared" si="34"/>
        <v>0</v>
      </c>
      <c r="U57" s="222"/>
      <c r="V57" s="381">
        <f>SUM(U57:U57)</f>
        <v>0</v>
      </c>
      <c r="W57" s="379"/>
      <c r="X57" s="223"/>
      <c r="Y57" s="224"/>
      <c r="Z57" s="224"/>
      <c r="AA57" s="224"/>
      <c r="AB57" s="224"/>
      <c r="AC57" s="224"/>
      <c r="AD57" s="383">
        <f>SUM(X57:AC57)</f>
        <v>0</v>
      </c>
      <c r="AE57" s="214"/>
      <c r="AF57" s="225"/>
      <c r="AG57" s="308"/>
      <c r="AH57" s="215">
        <f>N57+T57+W57+AE57+AF57+AG57</f>
        <v>0</v>
      </c>
    </row>
    <row r="58" spans="1:34" x14ac:dyDescent="0.25">
      <c r="A58" s="310" t="s">
        <v>316</v>
      </c>
      <c r="B58" s="311">
        <f t="shared" ref="B58:I58" si="35">SUM(B56:B57)</f>
        <v>0</v>
      </c>
      <c r="C58" s="312">
        <f t="shared" si="35"/>
        <v>0</v>
      </c>
      <c r="D58" s="312">
        <f t="shared" si="35"/>
        <v>0</v>
      </c>
      <c r="E58" s="312">
        <f t="shared" si="35"/>
        <v>0</v>
      </c>
      <c r="F58" s="312">
        <f t="shared" si="35"/>
        <v>0</v>
      </c>
      <c r="G58" s="312">
        <f t="shared" si="35"/>
        <v>0</v>
      </c>
      <c r="H58" s="312">
        <f t="shared" si="35"/>
        <v>0</v>
      </c>
      <c r="I58" s="312">
        <f t="shared" si="35"/>
        <v>0</v>
      </c>
      <c r="J58" s="312">
        <f>J56+J57</f>
        <v>0</v>
      </c>
      <c r="K58" s="312">
        <f>K56+K57</f>
        <v>0</v>
      </c>
      <c r="L58" s="312">
        <f>L56+L57</f>
        <v>0</v>
      </c>
      <c r="M58" s="312">
        <f>M56+M57</f>
        <v>50000</v>
      </c>
      <c r="N58" s="313">
        <f>N56+N57</f>
        <v>50000</v>
      </c>
      <c r="O58" s="315">
        <f>O57</f>
        <v>0</v>
      </c>
      <c r="P58" s="315">
        <f>P57</f>
        <v>0</v>
      </c>
      <c r="Q58" s="315">
        <f>Q57</f>
        <v>0</v>
      </c>
      <c r="R58" s="315">
        <f>R57</f>
        <v>0</v>
      </c>
      <c r="S58" s="315">
        <f>S57</f>
        <v>0</v>
      </c>
      <c r="T58" s="207">
        <f t="shared" si="34"/>
        <v>0</v>
      </c>
      <c r="U58" s="317">
        <f>U57</f>
        <v>0</v>
      </c>
      <c r="V58" s="381">
        <f>V56+V57</f>
        <v>0</v>
      </c>
      <c r="W58" s="382">
        <f>W56+W57</f>
        <v>0</v>
      </c>
      <c r="X58" s="320">
        <f t="shared" ref="X58:AC58" si="36">X57</f>
        <v>0</v>
      </c>
      <c r="Y58" s="320">
        <f t="shared" si="36"/>
        <v>0</v>
      </c>
      <c r="Z58" s="320">
        <f t="shared" si="36"/>
        <v>0</v>
      </c>
      <c r="AA58" s="320">
        <f t="shared" si="36"/>
        <v>0</v>
      </c>
      <c r="AB58" s="320">
        <f t="shared" si="36"/>
        <v>0</v>
      </c>
      <c r="AC58" s="320">
        <f t="shared" si="36"/>
        <v>0</v>
      </c>
      <c r="AD58" s="383">
        <f>AD56+AD57</f>
        <v>0</v>
      </c>
      <c r="AE58" s="360">
        <f>AE56+AE57</f>
        <v>0</v>
      </c>
      <c r="AF58" s="361">
        <f>AF56+AF57</f>
        <v>0</v>
      </c>
      <c r="AG58" s="390">
        <f>AG56+AG57</f>
        <v>0</v>
      </c>
      <c r="AH58" s="324">
        <f>AH56+AH57</f>
        <v>50000</v>
      </c>
    </row>
    <row r="59" spans="1:34" ht="90" x14ac:dyDescent="0.25">
      <c r="A59" s="216" t="s">
        <v>551</v>
      </c>
      <c r="B59" s="217"/>
      <c r="C59" s="218"/>
      <c r="D59" s="218"/>
      <c r="E59" s="218"/>
      <c r="F59" s="218"/>
      <c r="G59" s="218"/>
      <c r="H59" s="218"/>
      <c r="I59" s="218"/>
      <c r="J59" s="218"/>
      <c r="K59" s="218"/>
      <c r="L59" s="218"/>
      <c r="M59" s="218">
        <v>130000</v>
      </c>
      <c r="N59" s="204">
        <f>SUM(B59:M59)</f>
        <v>130000</v>
      </c>
      <c r="O59" s="220"/>
      <c r="P59" s="221"/>
      <c r="Q59" s="221"/>
      <c r="R59" s="221"/>
      <c r="S59" s="221">
        <v>30000</v>
      </c>
      <c r="T59" s="207">
        <f t="shared" si="34"/>
        <v>30000</v>
      </c>
      <c r="U59" s="222"/>
      <c r="V59" s="209">
        <f>SUM(U59:U59)</f>
        <v>0</v>
      </c>
      <c r="W59" s="379"/>
      <c r="X59" s="223"/>
      <c r="Y59" s="224"/>
      <c r="Z59" s="224"/>
      <c r="AA59" s="224"/>
      <c r="AB59" s="224"/>
      <c r="AC59" s="224"/>
      <c r="AD59" s="213">
        <f>SUM(X59:AC59)</f>
        <v>0</v>
      </c>
      <c r="AE59" s="214"/>
      <c r="AF59" s="225"/>
      <c r="AG59" s="308"/>
      <c r="AH59" s="215">
        <f>N59+T59+W59+AE59+AF59+AG59</f>
        <v>160000</v>
      </c>
    </row>
    <row r="60" spans="1:34" ht="90" x14ac:dyDescent="0.25">
      <c r="A60" s="216" t="s">
        <v>932</v>
      </c>
      <c r="B60" s="217"/>
      <c r="C60" s="218"/>
      <c r="D60" s="218"/>
      <c r="E60" s="218"/>
      <c r="F60" s="218"/>
      <c r="G60" s="218"/>
      <c r="H60" s="218"/>
      <c r="I60" s="218"/>
      <c r="J60" s="218"/>
      <c r="K60" s="218"/>
      <c r="L60" s="218"/>
      <c r="M60" s="218">
        <f>3600000+565000+420000-550000</f>
        <v>4035000</v>
      </c>
      <c r="N60" s="204">
        <f>SUM(B60:M60)</f>
        <v>4035000</v>
      </c>
      <c r="O60" s="220"/>
      <c r="P60" s="221"/>
      <c r="Q60" s="221"/>
      <c r="R60" s="221"/>
      <c r="S60" s="221">
        <v>550000</v>
      </c>
      <c r="T60" s="207">
        <f t="shared" si="34"/>
        <v>550000</v>
      </c>
      <c r="U60" s="222"/>
      <c r="V60" s="209"/>
      <c r="W60" s="379"/>
      <c r="X60" s="223"/>
      <c r="Y60" s="224"/>
      <c r="Z60" s="224"/>
      <c r="AA60" s="224"/>
      <c r="AB60" s="224"/>
      <c r="AC60" s="224">
        <f>240000+1650000</f>
        <v>1890000</v>
      </c>
      <c r="AD60" s="213">
        <f>SUM(X60:AC60)</f>
        <v>1890000</v>
      </c>
      <c r="AE60" s="214"/>
      <c r="AF60" s="225"/>
      <c r="AG60" s="308"/>
      <c r="AH60" s="215">
        <f>N60+T60+W60+AE60+AF60+AG60+V60+AD60</f>
        <v>6475000</v>
      </c>
    </row>
    <row r="61" spans="1:34" ht="30" x14ac:dyDescent="0.25">
      <c r="A61" s="310" t="s">
        <v>317</v>
      </c>
      <c r="B61" s="311">
        <f t="shared" ref="B61:AB61" si="37">SUM(B59:B60)</f>
        <v>0</v>
      </c>
      <c r="C61" s="312">
        <f t="shared" si="37"/>
        <v>0</v>
      </c>
      <c r="D61" s="312">
        <f t="shared" si="37"/>
        <v>0</v>
      </c>
      <c r="E61" s="312">
        <f t="shared" si="37"/>
        <v>0</v>
      </c>
      <c r="F61" s="312">
        <f t="shared" si="37"/>
        <v>0</v>
      </c>
      <c r="G61" s="312">
        <f t="shared" si="37"/>
        <v>0</v>
      </c>
      <c r="H61" s="312">
        <f t="shared" si="37"/>
        <v>0</v>
      </c>
      <c r="I61" s="312">
        <f t="shared" si="37"/>
        <v>0</v>
      </c>
      <c r="J61" s="312">
        <f t="shared" ref="J61:L61" si="38">SUM(J59:J60)</f>
        <v>0</v>
      </c>
      <c r="K61" s="312">
        <f t="shared" si="38"/>
        <v>0</v>
      </c>
      <c r="L61" s="312">
        <f t="shared" si="38"/>
        <v>0</v>
      </c>
      <c r="M61" s="312">
        <f t="shared" si="37"/>
        <v>4165000</v>
      </c>
      <c r="N61" s="313">
        <f t="shared" si="37"/>
        <v>4165000</v>
      </c>
      <c r="O61" s="314">
        <f t="shared" si="37"/>
        <v>0</v>
      </c>
      <c r="P61" s="315">
        <f t="shared" ref="P61:Q61" si="39">SUM(P59:P60)</f>
        <v>0</v>
      </c>
      <c r="Q61" s="315">
        <f t="shared" si="39"/>
        <v>0</v>
      </c>
      <c r="R61" s="315">
        <f t="shared" si="37"/>
        <v>0</v>
      </c>
      <c r="S61" s="315">
        <f t="shared" si="37"/>
        <v>580000</v>
      </c>
      <c r="T61" s="380">
        <f t="shared" si="37"/>
        <v>580000</v>
      </c>
      <c r="U61" s="316">
        <f t="shared" si="37"/>
        <v>0</v>
      </c>
      <c r="V61" s="381">
        <f>SUM(V59:V60)</f>
        <v>0</v>
      </c>
      <c r="W61" s="382">
        <f t="shared" si="37"/>
        <v>0</v>
      </c>
      <c r="X61" s="319">
        <f t="shared" si="37"/>
        <v>0</v>
      </c>
      <c r="Y61" s="320">
        <f t="shared" si="37"/>
        <v>0</v>
      </c>
      <c r="Z61" s="320">
        <f t="shared" si="37"/>
        <v>0</v>
      </c>
      <c r="AA61" s="320">
        <f t="shared" si="37"/>
        <v>0</v>
      </c>
      <c r="AB61" s="320">
        <f t="shared" si="37"/>
        <v>0</v>
      </c>
      <c r="AC61" s="320">
        <f t="shared" ref="AC61:AH61" si="40">SUM(AC59:AC60)</f>
        <v>1890000</v>
      </c>
      <c r="AD61" s="383">
        <f t="shared" si="40"/>
        <v>1890000</v>
      </c>
      <c r="AE61" s="360">
        <f t="shared" si="40"/>
        <v>0</v>
      </c>
      <c r="AF61" s="361">
        <f t="shared" si="40"/>
        <v>0</v>
      </c>
      <c r="AG61" s="391">
        <f t="shared" si="40"/>
        <v>0</v>
      </c>
      <c r="AH61" s="384">
        <f t="shared" si="40"/>
        <v>6635000</v>
      </c>
    </row>
    <row r="62" spans="1:34" ht="75.75" thickBot="1" x14ac:dyDescent="0.3">
      <c r="A62" s="325" t="s">
        <v>552</v>
      </c>
      <c r="B62" s="326"/>
      <c r="C62" s="327"/>
      <c r="D62" s="327"/>
      <c r="E62" s="327"/>
      <c r="F62" s="327"/>
      <c r="G62" s="327"/>
      <c r="H62" s="327"/>
      <c r="I62" s="327"/>
      <c r="J62" s="327"/>
      <c r="K62" s="327"/>
      <c r="L62" s="327"/>
      <c r="M62" s="327">
        <v>670000</v>
      </c>
      <c r="N62" s="229">
        <f>SUM(B62:M62)</f>
        <v>670000</v>
      </c>
      <c r="O62" s="230"/>
      <c r="P62" s="231"/>
      <c r="Q62" s="231"/>
      <c r="R62" s="231"/>
      <c r="S62" s="231">
        <v>70000</v>
      </c>
      <c r="T62" s="366">
        <f>SUM(O62:S62)</f>
        <v>70000</v>
      </c>
      <c r="U62" s="233"/>
      <c r="V62" s="368">
        <f>SUM(U62:U62)</f>
        <v>0</v>
      </c>
      <c r="W62" s="392"/>
      <c r="X62" s="236"/>
      <c r="Y62" s="237"/>
      <c r="Z62" s="237"/>
      <c r="AA62" s="237"/>
      <c r="AB62" s="237"/>
      <c r="AC62" s="237">
        <f>12000+120000+50000</f>
        <v>182000</v>
      </c>
      <c r="AD62" s="372">
        <f>SUM(X62:AC62)</f>
        <v>182000</v>
      </c>
      <c r="AE62" s="373"/>
      <c r="AF62" s="374"/>
      <c r="AG62" s="375"/>
      <c r="AH62" s="215">
        <f>N62+T62+W62+AE62+AF62+AG62+V62+AD62</f>
        <v>922000</v>
      </c>
    </row>
    <row r="63" spans="1:34" ht="16.5" thickBot="1" x14ac:dyDescent="0.3">
      <c r="A63" s="393" t="s">
        <v>318</v>
      </c>
      <c r="B63" s="394">
        <f t="shared" ref="B63:AG63" si="41">B52+B53+B54+B55+B58+B61+B62</f>
        <v>0</v>
      </c>
      <c r="C63" s="395">
        <f t="shared" si="41"/>
        <v>0</v>
      </c>
      <c r="D63" s="395">
        <f t="shared" si="41"/>
        <v>0</v>
      </c>
      <c r="E63" s="395">
        <f t="shared" si="41"/>
        <v>0</v>
      </c>
      <c r="F63" s="395">
        <f t="shared" si="41"/>
        <v>0</v>
      </c>
      <c r="G63" s="395">
        <f t="shared" si="41"/>
        <v>0</v>
      </c>
      <c r="H63" s="395">
        <f t="shared" si="41"/>
        <v>0</v>
      </c>
      <c r="I63" s="395">
        <f t="shared" si="41"/>
        <v>0</v>
      </c>
      <c r="J63" s="395">
        <f t="shared" si="41"/>
        <v>0</v>
      </c>
      <c r="K63" s="395">
        <f t="shared" si="41"/>
        <v>0</v>
      </c>
      <c r="L63" s="395">
        <f t="shared" si="41"/>
        <v>0</v>
      </c>
      <c r="M63" s="395">
        <f t="shared" si="41"/>
        <v>5600000</v>
      </c>
      <c r="N63" s="396">
        <f t="shared" si="41"/>
        <v>5600000</v>
      </c>
      <c r="O63" s="397">
        <f t="shared" si="41"/>
        <v>0</v>
      </c>
      <c r="P63" s="398">
        <f t="shared" si="41"/>
        <v>0</v>
      </c>
      <c r="Q63" s="398">
        <f t="shared" si="41"/>
        <v>0</v>
      </c>
      <c r="R63" s="398">
        <f t="shared" si="41"/>
        <v>0</v>
      </c>
      <c r="S63" s="398">
        <f t="shared" si="41"/>
        <v>730000</v>
      </c>
      <c r="T63" s="399">
        <f t="shared" si="41"/>
        <v>730000</v>
      </c>
      <c r="U63" s="400">
        <f t="shared" si="41"/>
        <v>0</v>
      </c>
      <c r="V63" s="401">
        <f t="shared" si="41"/>
        <v>0</v>
      </c>
      <c r="W63" s="402">
        <f t="shared" si="41"/>
        <v>0</v>
      </c>
      <c r="X63" s="403">
        <f t="shared" si="41"/>
        <v>0</v>
      </c>
      <c r="Y63" s="404">
        <f t="shared" si="41"/>
        <v>0</v>
      </c>
      <c r="Z63" s="404">
        <f t="shared" si="41"/>
        <v>0</v>
      </c>
      <c r="AA63" s="404">
        <f t="shared" si="41"/>
        <v>0</v>
      </c>
      <c r="AB63" s="404">
        <f t="shared" si="41"/>
        <v>0</v>
      </c>
      <c r="AC63" s="404">
        <f t="shared" si="41"/>
        <v>3902000</v>
      </c>
      <c r="AD63" s="405">
        <f t="shared" si="41"/>
        <v>3902000</v>
      </c>
      <c r="AE63" s="406">
        <f t="shared" si="41"/>
        <v>0</v>
      </c>
      <c r="AF63" s="407">
        <f t="shared" si="41"/>
        <v>0</v>
      </c>
      <c r="AG63" s="408">
        <f t="shared" si="41"/>
        <v>0</v>
      </c>
      <c r="AH63" s="409">
        <f>AH52+AH53+AH54+AH55+AH58+AH61+AH62</f>
        <v>10232000</v>
      </c>
    </row>
    <row r="64" spans="1:34" ht="30" x14ac:dyDescent="0.25">
      <c r="A64" s="352" t="s">
        <v>319</v>
      </c>
      <c r="B64" s="187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>
        <v>330000</v>
      </c>
      <c r="N64" s="219">
        <f>SUM(B64:M64)</f>
        <v>330000</v>
      </c>
      <c r="O64" s="205"/>
      <c r="P64" s="206"/>
      <c r="Q64" s="206"/>
      <c r="R64" s="206"/>
      <c r="S64" s="206">
        <v>20000</v>
      </c>
      <c r="T64" s="353">
        <f>SUM(O64:S64)</f>
        <v>20000</v>
      </c>
      <c r="U64" s="208"/>
      <c r="V64" s="354">
        <f>SUM(U64:U64)</f>
        <v>0</v>
      </c>
      <c r="W64" s="355"/>
      <c r="X64" s="211"/>
      <c r="Y64" s="212"/>
      <c r="Z64" s="212"/>
      <c r="AA64" s="212"/>
      <c r="AB64" s="212"/>
      <c r="AC64" s="212">
        <v>20000</v>
      </c>
      <c r="AD64" s="356">
        <f>SUM(X64:AC64)</f>
        <v>20000</v>
      </c>
      <c r="AE64" s="357"/>
      <c r="AF64" s="200"/>
      <c r="AG64" s="358"/>
      <c r="AH64" s="201">
        <f>N64+T64+W64+AE64+AF64+AG64+AD64</f>
        <v>370000</v>
      </c>
    </row>
    <row r="65" spans="1:34" x14ac:dyDescent="0.25">
      <c r="A65" s="216" t="s">
        <v>320</v>
      </c>
      <c r="B65" s="217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04">
        <f>SUM(B65:M65)</f>
        <v>0</v>
      </c>
      <c r="O65" s="220"/>
      <c r="P65" s="221"/>
      <c r="Q65" s="221"/>
      <c r="R65" s="221"/>
      <c r="S65" s="221"/>
      <c r="T65" s="207">
        <f>SUM(O65:S65)</f>
        <v>0</v>
      </c>
      <c r="U65" s="222"/>
      <c r="V65" s="209">
        <f>SUM(U65:U65)</f>
        <v>0</v>
      </c>
      <c r="W65" s="210"/>
      <c r="X65" s="223"/>
      <c r="Y65" s="224"/>
      <c r="Z65" s="224"/>
      <c r="AA65" s="224"/>
      <c r="AB65" s="224"/>
      <c r="AC65" s="224"/>
      <c r="AD65" s="213">
        <f>SUM(X65:AC65)</f>
        <v>0</v>
      </c>
      <c r="AE65" s="214"/>
      <c r="AF65" s="225"/>
      <c r="AG65" s="308"/>
      <c r="AH65" s="215">
        <f>N65+T65+W65+AE65+AF65+AG65</f>
        <v>0</v>
      </c>
    </row>
    <row r="66" spans="1:34" x14ac:dyDescent="0.25">
      <c r="A66" s="310" t="s">
        <v>321</v>
      </c>
      <c r="B66" s="311">
        <f t="shared" ref="B66:AB66" si="42">SUM(B64:B65)</f>
        <v>0</v>
      </c>
      <c r="C66" s="312">
        <f t="shared" si="42"/>
        <v>0</v>
      </c>
      <c r="D66" s="312">
        <f t="shared" si="42"/>
        <v>0</v>
      </c>
      <c r="E66" s="312">
        <f t="shared" si="42"/>
        <v>0</v>
      </c>
      <c r="F66" s="312">
        <f t="shared" si="42"/>
        <v>0</v>
      </c>
      <c r="G66" s="312">
        <f t="shared" si="42"/>
        <v>0</v>
      </c>
      <c r="H66" s="312">
        <f t="shared" si="42"/>
        <v>0</v>
      </c>
      <c r="I66" s="312">
        <f t="shared" si="42"/>
        <v>0</v>
      </c>
      <c r="J66" s="312">
        <f t="shared" ref="J66:L66" si="43">SUM(J64:J65)</f>
        <v>0</v>
      </c>
      <c r="K66" s="312">
        <f t="shared" si="43"/>
        <v>0</v>
      </c>
      <c r="L66" s="312">
        <f t="shared" si="43"/>
        <v>0</v>
      </c>
      <c r="M66" s="312">
        <f t="shared" si="42"/>
        <v>330000</v>
      </c>
      <c r="N66" s="313">
        <f t="shared" si="42"/>
        <v>330000</v>
      </c>
      <c r="O66" s="314">
        <f t="shared" si="42"/>
        <v>0</v>
      </c>
      <c r="P66" s="315">
        <f t="shared" ref="P66:Q66" si="44">SUM(P64:P65)</f>
        <v>0</v>
      </c>
      <c r="Q66" s="315">
        <f t="shared" si="44"/>
        <v>0</v>
      </c>
      <c r="R66" s="315">
        <f t="shared" si="42"/>
        <v>0</v>
      </c>
      <c r="S66" s="315">
        <f t="shared" si="42"/>
        <v>20000</v>
      </c>
      <c r="T66" s="380">
        <f t="shared" si="42"/>
        <v>20000</v>
      </c>
      <c r="U66" s="316">
        <f t="shared" si="42"/>
        <v>0</v>
      </c>
      <c r="V66" s="381">
        <f>SUM(V64:V65)</f>
        <v>0</v>
      </c>
      <c r="W66" s="318">
        <f t="shared" si="42"/>
        <v>0</v>
      </c>
      <c r="X66" s="319">
        <f t="shared" si="42"/>
        <v>0</v>
      </c>
      <c r="Y66" s="320">
        <f t="shared" si="42"/>
        <v>0</v>
      </c>
      <c r="Z66" s="320">
        <f t="shared" si="42"/>
        <v>0</v>
      </c>
      <c r="AA66" s="320">
        <f t="shared" si="42"/>
        <v>0</v>
      </c>
      <c r="AB66" s="320">
        <f t="shared" si="42"/>
        <v>0</v>
      </c>
      <c r="AC66" s="320">
        <f t="shared" ref="AC66:AH66" si="45">SUM(AC64:AC65)</f>
        <v>20000</v>
      </c>
      <c r="AD66" s="383">
        <f t="shared" si="45"/>
        <v>20000</v>
      </c>
      <c r="AE66" s="321">
        <f t="shared" si="45"/>
        <v>0</v>
      </c>
      <c r="AF66" s="322">
        <f t="shared" si="45"/>
        <v>0</v>
      </c>
      <c r="AG66" s="323">
        <f t="shared" si="45"/>
        <v>0</v>
      </c>
      <c r="AH66" s="324">
        <f t="shared" si="45"/>
        <v>370000</v>
      </c>
    </row>
    <row r="67" spans="1:34" ht="15.75" thickBot="1" x14ac:dyDescent="0.3">
      <c r="A67" s="325" t="s">
        <v>322</v>
      </c>
      <c r="B67" s="326"/>
      <c r="C67" s="327"/>
      <c r="D67" s="327"/>
      <c r="E67" s="327"/>
      <c r="F67" s="327"/>
      <c r="G67" s="327"/>
      <c r="H67" s="327"/>
      <c r="I67" s="327"/>
      <c r="J67" s="327"/>
      <c r="K67" s="327"/>
      <c r="L67" s="327"/>
      <c r="M67" s="327"/>
      <c r="N67" s="229">
        <f>SUM(B67:M67)</f>
        <v>0</v>
      </c>
      <c r="O67" s="230"/>
      <c r="P67" s="231"/>
      <c r="Q67" s="231"/>
      <c r="R67" s="231"/>
      <c r="S67" s="231"/>
      <c r="T67" s="380">
        <f>SUM(O67:S67)</f>
        <v>0</v>
      </c>
      <c r="U67" s="233"/>
      <c r="V67" s="368"/>
      <c r="W67" s="369"/>
      <c r="X67" s="236"/>
      <c r="Y67" s="237"/>
      <c r="Z67" s="237"/>
      <c r="AA67" s="237"/>
      <c r="AB67" s="237"/>
      <c r="AC67" s="237"/>
      <c r="AD67" s="372"/>
      <c r="AE67" s="373"/>
      <c r="AF67" s="374"/>
      <c r="AG67" s="375"/>
      <c r="AH67" s="241">
        <f>N67+T67+W67+AE67+AF67+AG67</f>
        <v>0</v>
      </c>
    </row>
    <row r="68" spans="1:34" ht="30.75" thickBot="1" x14ac:dyDescent="0.3">
      <c r="A68" s="339" t="s">
        <v>323</v>
      </c>
      <c r="B68" s="340">
        <f t="shared" ref="B68:AH68" si="46">B66+B67</f>
        <v>0</v>
      </c>
      <c r="C68" s="341">
        <f t="shared" si="46"/>
        <v>0</v>
      </c>
      <c r="D68" s="341">
        <f t="shared" si="46"/>
        <v>0</v>
      </c>
      <c r="E68" s="341">
        <f t="shared" si="46"/>
        <v>0</v>
      </c>
      <c r="F68" s="341">
        <f t="shared" si="46"/>
        <v>0</v>
      </c>
      <c r="G68" s="341">
        <f t="shared" si="46"/>
        <v>0</v>
      </c>
      <c r="H68" s="341">
        <f t="shared" si="46"/>
        <v>0</v>
      </c>
      <c r="I68" s="341">
        <f t="shared" si="46"/>
        <v>0</v>
      </c>
      <c r="J68" s="341">
        <f t="shared" si="46"/>
        <v>0</v>
      </c>
      <c r="K68" s="341">
        <f t="shared" si="46"/>
        <v>0</v>
      </c>
      <c r="L68" s="341">
        <f t="shared" si="46"/>
        <v>0</v>
      </c>
      <c r="M68" s="341">
        <f t="shared" si="46"/>
        <v>330000</v>
      </c>
      <c r="N68" s="342">
        <f t="shared" si="46"/>
        <v>330000</v>
      </c>
      <c r="O68" s="410">
        <f t="shared" si="46"/>
        <v>0</v>
      </c>
      <c r="P68" s="343">
        <f t="shared" si="46"/>
        <v>0</v>
      </c>
      <c r="Q68" s="343">
        <f t="shared" si="46"/>
        <v>0</v>
      </c>
      <c r="R68" s="343">
        <f t="shared" si="46"/>
        <v>0</v>
      </c>
      <c r="S68" s="343">
        <f t="shared" si="46"/>
        <v>20000</v>
      </c>
      <c r="T68" s="249">
        <f t="shared" si="46"/>
        <v>20000</v>
      </c>
      <c r="U68" s="377">
        <f t="shared" si="46"/>
        <v>0</v>
      </c>
      <c r="V68" s="251">
        <f t="shared" si="46"/>
        <v>0</v>
      </c>
      <c r="W68" s="345">
        <f t="shared" si="46"/>
        <v>0</v>
      </c>
      <c r="X68" s="346">
        <f t="shared" si="46"/>
        <v>0</v>
      </c>
      <c r="Y68" s="347">
        <f t="shared" si="46"/>
        <v>0</v>
      </c>
      <c r="Z68" s="347">
        <f t="shared" si="46"/>
        <v>0</v>
      </c>
      <c r="AA68" s="347">
        <f t="shared" si="46"/>
        <v>0</v>
      </c>
      <c r="AB68" s="347">
        <f t="shared" si="46"/>
        <v>0</v>
      </c>
      <c r="AC68" s="347">
        <f t="shared" si="46"/>
        <v>20000</v>
      </c>
      <c r="AD68" s="255">
        <f t="shared" si="46"/>
        <v>20000</v>
      </c>
      <c r="AE68" s="348">
        <f t="shared" si="46"/>
        <v>0</v>
      </c>
      <c r="AF68" s="349">
        <f t="shared" si="46"/>
        <v>0</v>
      </c>
      <c r="AG68" s="350">
        <f t="shared" si="46"/>
        <v>0</v>
      </c>
      <c r="AH68" s="351">
        <f t="shared" si="46"/>
        <v>370000</v>
      </c>
    </row>
    <row r="69" spans="1:34" x14ac:dyDescent="0.25">
      <c r="A69" s="411" t="s">
        <v>324</v>
      </c>
      <c r="B69" s="412"/>
      <c r="C69" s="413"/>
      <c r="D69" s="413"/>
      <c r="E69" s="413"/>
      <c r="F69" s="413"/>
      <c r="G69" s="413"/>
      <c r="H69" s="413"/>
      <c r="I69" s="413"/>
      <c r="J69" s="414">
        <f>(J40+J47+J63)*27%</f>
        <v>0</v>
      </c>
      <c r="K69" s="414">
        <f>(K40+K47+K63)*27%</f>
        <v>0</v>
      </c>
      <c r="L69" s="414">
        <f>(L40+L47+L63)*27%</f>
        <v>0</v>
      </c>
      <c r="M69" s="414">
        <f>(M40+M47+M63)*27%</f>
        <v>2255850</v>
      </c>
      <c r="N69" s="415">
        <f>SUM(B69,M69)</f>
        <v>2255850</v>
      </c>
      <c r="O69" s="416"/>
      <c r="P69" s="417"/>
      <c r="Q69" s="417"/>
      <c r="R69" s="417"/>
      <c r="S69" s="417">
        <f>(S63+S47+S40)*27%</f>
        <v>265950</v>
      </c>
      <c r="T69" s="353">
        <f>SUM(O69:S69)</f>
        <v>265950</v>
      </c>
      <c r="U69" s="418"/>
      <c r="V69" s="354">
        <f>SUM(U69:U69)</f>
        <v>0</v>
      </c>
      <c r="W69" s="419"/>
      <c r="X69" s="420"/>
      <c r="Y69" s="421"/>
      <c r="Z69" s="421"/>
      <c r="AA69" s="421"/>
      <c r="AB69" s="421"/>
      <c r="AC69" s="421">
        <f>(AC40+AC47+AC63)*26%</f>
        <v>5248620</v>
      </c>
      <c r="AD69" s="356">
        <f>SUM(X69:AC69)</f>
        <v>5248620</v>
      </c>
      <c r="AE69" s="422"/>
      <c r="AF69" s="423"/>
      <c r="AG69" s="424"/>
      <c r="AH69" s="201">
        <f>N69+T69+W69+AE69+AF69+AG69+V69+AD69</f>
        <v>7770420</v>
      </c>
    </row>
    <row r="70" spans="1:34" x14ac:dyDescent="0.25">
      <c r="A70" s="310" t="s">
        <v>325</v>
      </c>
      <c r="B70" s="311"/>
      <c r="C70" s="312"/>
      <c r="D70" s="312"/>
      <c r="E70" s="312"/>
      <c r="F70" s="312"/>
      <c r="G70" s="312"/>
      <c r="H70" s="312"/>
      <c r="I70" s="312"/>
      <c r="J70" s="425"/>
      <c r="K70" s="425"/>
      <c r="L70" s="425"/>
      <c r="M70" s="425"/>
      <c r="N70" s="426">
        <f>SUM(B70,M70)</f>
        <v>0</v>
      </c>
      <c r="O70" s="427"/>
      <c r="P70" s="428"/>
      <c r="Q70" s="428"/>
      <c r="R70" s="428"/>
      <c r="S70" s="428"/>
      <c r="T70" s="380"/>
      <c r="U70" s="429"/>
      <c r="V70" s="354">
        <f>SUM(U70:U70)</f>
        <v>0</v>
      </c>
      <c r="W70" s="430"/>
      <c r="X70" s="431"/>
      <c r="Y70" s="432"/>
      <c r="Z70" s="432"/>
      <c r="AA70" s="432"/>
      <c r="AB70" s="432"/>
      <c r="AC70" s="432"/>
      <c r="AD70" s="356">
        <f>SUM(X70:AC70)</f>
        <v>0</v>
      </c>
      <c r="AE70" s="386"/>
      <c r="AF70" s="387"/>
      <c r="AG70" s="388"/>
      <c r="AH70" s="201">
        <f>N70+T70+W70+AE70+AF70+AG70+V70+AD70</f>
        <v>0</v>
      </c>
    </row>
    <row r="71" spans="1:34" x14ac:dyDescent="0.25">
      <c r="A71" s="216" t="s">
        <v>326</v>
      </c>
      <c r="B71" s="217"/>
      <c r="C71" s="218"/>
      <c r="D71" s="218"/>
      <c r="E71" s="218"/>
      <c r="F71" s="218"/>
      <c r="G71" s="218"/>
      <c r="H71" s="218"/>
      <c r="I71" s="218"/>
      <c r="J71" s="218"/>
      <c r="K71" s="218"/>
      <c r="L71" s="218"/>
      <c r="M71" s="218"/>
      <c r="N71" s="204">
        <f>SUM(B71:M71)</f>
        <v>0</v>
      </c>
      <c r="O71" s="220"/>
      <c r="P71" s="221"/>
      <c r="Q71" s="221"/>
      <c r="R71" s="221"/>
      <c r="S71" s="221"/>
      <c r="T71" s="207"/>
      <c r="U71" s="222"/>
      <c r="V71" s="354">
        <f>SUM(U71:U71)</f>
        <v>0</v>
      </c>
      <c r="W71" s="210"/>
      <c r="X71" s="223"/>
      <c r="Y71" s="224"/>
      <c r="Z71" s="224"/>
      <c r="AA71" s="224"/>
      <c r="AB71" s="224"/>
      <c r="AC71" s="224"/>
      <c r="AD71" s="213"/>
      <c r="AE71" s="214"/>
      <c r="AF71" s="225"/>
      <c r="AG71" s="308"/>
      <c r="AH71" s="201">
        <f>N71+T71+W71+AE71+AF71+AG71+V71+AD71</f>
        <v>0</v>
      </c>
    </row>
    <row r="72" spans="1:34" x14ac:dyDescent="0.25">
      <c r="A72" s="310" t="s">
        <v>327</v>
      </c>
      <c r="B72" s="311">
        <f t="shared" ref="B72:AC72" si="47">B71</f>
        <v>0</v>
      </c>
      <c r="C72" s="312">
        <f t="shared" si="47"/>
        <v>0</v>
      </c>
      <c r="D72" s="312">
        <f t="shared" si="47"/>
        <v>0</v>
      </c>
      <c r="E72" s="312">
        <f t="shared" si="47"/>
        <v>0</v>
      </c>
      <c r="F72" s="312">
        <f t="shared" si="47"/>
        <v>0</v>
      </c>
      <c r="G72" s="312">
        <f t="shared" si="47"/>
        <v>0</v>
      </c>
      <c r="H72" s="312">
        <f t="shared" si="47"/>
        <v>0</v>
      </c>
      <c r="I72" s="312">
        <f t="shared" si="47"/>
        <v>0</v>
      </c>
      <c r="J72" s="312">
        <f t="shared" si="47"/>
        <v>0</v>
      </c>
      <c r="K72" s="312">
        <f t="shared" si="47"/>
        <v>0</v>
      </c>
      <c r="L72" s="312">
        <f t="shared" si="47"/>
        <v>0</v>
      </c>
      <c r="M72" s="312">
        <f t="shared" si="47"/>
        <v>0</v>
      </c>
      <c r="N72" s="313">
        <f t="shared" si="47"/>
        <v>0</v>
      </c>
      <c r="O72" s="315">
        <f t="shared" si="47"/>
        <v>0</v>
      </c>
      <c r="P72" s="315">
        <f t="shared" si="47"/>
        <v>0</v>
      </c>
      <c r="Q72" s="315">
        <f t="shared" si="47"/>
        <v>0</v>
      </c>
      <c r="R72" s="315">
        <f t="shared" si="47"/>
        <v>0</v>
      </c>
      <c r="S72" s="315">
        <f t="shared" si="47"/>
        <v>0</v>
      </c>
      <c r="T72" s="380">
        <f t="shared" si="47"/>
        <v>0</v>
      </c>
      <c r="U72" s="316">
        <f t="shared" si="47"/>
        <v>0</v>
      </c>
      <c r="V72" s="381">
        <f t="shared" si="47"/>
        <v>0</v>
      </c>
      <c r="W72" s="359">
        <f t="shared" si="47"/>
        <v>0</v>
      </c>
      <c r="X72" s="319">
        <f t="shared" si="47"/>
        <v>0</v>
      </c>
      <c r="Y72" s="320">
        <f t="shared" si="47"/>
        <v>0</v>
      </c>
      <c r="Z72" s="320">
        <f t="shared" si="47"/>
        <v>0</v>
      </c>
      <c r="AA72" s="320">
        <f t="shared" si="47"/>
        <v>0</v>
      </c>
      <c r="AB72" s="320">
        <f t="shared" si="47"/>
        <v>0</v>
      </c>
      <c r="AC72" s="320">
        <f t="shared" si="47"/>
        <v>0</v>
      </c>
      <c r="AD72" s="383">
        <f>AD71</f>
        <v>0</v>
      </c>
      <c r="AE72" s="360">
        <f>AE71</f>
        <v>0</v>
      </c>
      <c r="AF72" s="361">
        <f>AF71</f>
        <v>0</v>
      </c>
      <c r="AG72" s="362">
        <f>AG71</f>
        <v>0</v>
      </c>
      <c r="AH72" s="215">
        <f>N72+T72+W72+AE72+AF72+AG72</f>
        <v>0</v>
      </c>
    </row>
    <row r="73" spans="1:34" x14ac:dyDescent="0.25">
      <c r="A73" s="216" t="s">
        <v>328</v>
      </c>
      <c r="B73" s="217"/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04">
        <f>SUM(B73:M73)</f>
        <v>0</v>
      </c>
      <c r="O73" s="220"/>
      <c r="P73" s="221"/>
      <c r="Q73" s="221"/>
      <c r="R73" s="221"/>
      <c r="S73" s="221"/>
      <c r="T73" s="207"/>
      <c r="U73" s="222"/>
      <c r="V73" s="381">
        <f>V72</f>
        <v>0</v>
      </c>
      <c r="W73" s="210"/>
      <c r="X73" s="223"/>
      <c r="Y73" s="224"/>
      <c r="Z73" s="224"/>
      <c r="AA73" s="224"/>
      <c r="AB73" s="224"/>
      <c r="AC73" s="224"/>
      <c r="AD73" s="213"/>
      <c r="AE73" s="214"/>
      <c r="AF73" s="225"/>
      <c r="AG73" s="308"/>
      <c r="AH73" s="215">
        <f>N73+T73+W73+AE73+AF73+AG73</f>
        <v>0</v>
      </c>
    </row>
    <row r="74" spans="1:34" x14ac:dyDescent="0.25">
      <c r="A74" s="216" t="s">
        <v>329</v>
      </c>
      <c r="B74" s="217"/>
      <c r="C74" s="218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04">
        <f>SUM(B74:M74)</f>
        <v>0</v>
      </c>
      <c r="O74" s="220"/>
      <c r="P74" s="221"/>
      <c r="Q74" s="221"/>
      <c r="R74" s="221"/>
      <c r="S74" s="221"/>
      <c r="T74" s="207"/>
      <c r="U74" s="222"/>
      <c r="V74" s="381">
        <f>V73</f>
        <v>0</v>
      </c>
      <c r="W74" s="210"/>
      <c r="X74" s="223"/>
      <c r="Y74" s="224"/>
      <c r="Z74" s="224"/>
      <c r="AA74" s="224"/>
      <c r="AB74" s="224"/>
      <c r="AC74" s="224"/>
      <c r="AD74" s="213"/>
      <c r="AE74" s="214"/>
      <c r="AF74" s="225"/>
      <c r="AG74" s="308"/>
      <c r="AH74" s="215">
        <f>N74+T74+W74+AE74+AF74+AG74</f>
        <v>0</v>
      </c>
    </row>
    <row r="75" spans="1:34" ht="30" x14ac:dyDescent="0.25">
      <c r="A75" s="216" t="s">
        <v>330</v>
      </c>
      <c r="B75" s="217"/>
      <c r="C75" s="218"/>
      <c r="D75" s="218"/>
      <c r="E75" s="218"/>
      <c r="F75" s="218"/>
      <c r="G75" s="218"/>
      <c r="H75" s="218"/>
      <c r="I75" s="218"/>
      <c r="J75" s="218"/>
      <c r="K75" s="218"/>
      <c r="L75" s="218"/>
      <c r="M75" s="218"/>
      <c r="N75" s="204">
        <f>SUM(B75:M75)</f>
        <v>0</v>
      </c>
      <c r="O75" s="220"/>
      <c r="P75" s="221"/>
      <c r="Q75" s="221"/>
      <c r="R75" s="221"/>
      <c r="S75" s="221"/>
      <c r="T75" s="207"/>
      <c r="U75" s="222"/>
      <c r="V75" s="381">
        <f>V74</f>
        <v>0</v>
      </c>
      <c r="W75" s="210"/>
      <c r="X75" s="223"/>
      <c r="Y75" s="224"/>
      <c r="Z75" s="224"/>
      <c r="AA75" s="224"/>
      <c r="AB75" s="224"/>
      <c r="AC75" s="224"/>
      <c r="AD75" s="213"/>
      <c r="AE75" s="214"/>
      <c r="AF75" s="225"/>
      <c r="AG75" s="308"/>
      <c r="AH75" s="215">
        <f>N75+T75+W75+AE75+AF75+AG75</f>
        <v>0</v>
      </c>
    </row>
    <row r="76" spans="1:34" ht="45" x14ac:dyDescent="0.25">
      <c r="A76" s="216" t="s">
        <v>331</v>
      </c>
      <c r="B76" s="217"/>
      <c r="C76" s="218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04">
        <f>SUM(B76:M76)</f>
        <v>0</v>
      </c>
      <c r="O76" s="220"/>
      <c r="P76" s="221"/>
      <c r="Q76" s="221"/>
      <c r="R76" s="221"/>
      <c r="S76" s="221"/>
      <c r="T76" s="207"/>
      <c r="U76" s="222"/>
      <c r="V76" s="381">
        <f>V75</f>
        <v>0</v>
      </c>
      <c r="W76" s="210"/>
      <c r="X76" s="223"/>
      <c r="Y76" s="224"/>
      <c r="Z76" s="224"/>
      <c r="AA76" s="224"/>
      <c r="AB76" s="224"/>
      <c r="AC76" s="224"/>
      <c r="AD76" s="213">
        <f>SUM(X76:AC76)</f>
        <v>0</v>
      </c>
      <c r="AE76" s="214"/>
      <c r="AF76" s="225"/>
      <c r="AG76" s="308"/>
      <c r="AH76" s="201">
        <f>N76+T76+W76+AE76+AF76+AG76+V76+AD76</f>
        <v>0</v>
      </c>
    </row>
    <row r="77" spans="1:34" ht="30" x14ac:dyDescent="0.25">
      <c r="A77" s="216" t="s">
        <v>332</v>
      </c>
      <c r="B77" s="217"/>
      <c r="C77" s="218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04">
        <f>SUM(B77:M77)</f>
        <v>0</v>
      </c>
      <c r="O77" s="220"/>
      <c r="P77" s="221"/>
      <c r="Q77" s="221"/>
      <c r="R77" s="221"/>
      <c r="S77" s="221"/>
      <c r="T77" s="207"/>
      <c r="U77" s="222"/>
      <c r="V77" s="381">
        <f>V76</f>
        <v>0</v>
      </c>
      <c r="W77" s="210"/>
      <c r="X77" s="223"/>
      <c r="Y77" s="224"/>
      <c r="Z77" s="224"/>
      <c r="AA77" s="224"/>
      <c r="AB77" s="224"/>
      <c r="AC77" s="224"/>
      <c r="AD77" s="213"/>
      <c r="AE77" s="214"/>
      <c r="AF77" s="225"/>
      <c r="AG77" s="308"/>
      <c r="AH77" s="215">
        <f>N77+T77+W77+AE77+AF77+AG77</f>
        <v>0</v>
      </c>
    </row>
    <row r="78" spans="1:34" ht="15.75" thickBot="1" x14ac:dyDescent="0.3">
      <c r="A78" s="325" t="s">
        <v>333</v>
      </c>
      <c r="B78" s="326">
        <f>SUM(B73:B77)</f>
        <v>0</v>
      </c>
      <c r="C78" s="327">
        <f t="shared" ref="C78:AC78" si="48">SUM(C73:C77)</f>
        <v>0</v>
      </c>
      <c r="D78" s="327">
        <f t="shared" si="48"/>
        <v>0</v>
      </c>
      <c r="E78" s="327">
        <f t="shared" si="48"/>
        <v>0</v>
      </c>
      <c r="F78" s="327">
        <f t="shared" si="48"/>
        <v>0</v>
      </c>
      <c r="G78" s="327">
        <f t="shared" si="48"/>
        <v>0</v>
      </c>
      <c r="H78" s="327">
        <f t="shared" si="48"/>
        <v>0</v>
      </c>
      <c r="I78" s="327">
        <f t="shared" si="48"/>
        <v>0</v>
      </c>
      <c r="J78" s="327">
        <f t="shared" si="48"/>
        <v>0</v>
      </c>
      <c r="K78" s="327">
        <f t="shared" si="48"/>
        <v>0</v>
      </c>
      <c r="L78" s="327">
        <f t="shared" si="48"/>
        <v>0</v>
      </c>
      <c r="M78" s="327">
        <f t="shared" si="48"/>
        <v>0</v>
      </c>
      <c r="N78" s="328">
        <f t="shared" si="48"/>
        <v>0</v>
      </c>
      <c r="O78" s="330">
        <f t="shared" si="48"/>
        <v>0</v>
      </c>
      <c r="P78" s="330">
        <f t="shared" si="48"/>
        <v>0</v>
      </c>
      <c r="Q78" s="330">
        <f t="shared" si="48"/>
        <v>0</v>
      </c>
      <c r="R78" s="330">
        <f t="shared" si="48"/>
        <v>0</v>
      </c>
      <c r="S78" s="330">
        <f t="shared" si="48"/>
        <v>0</v>
      </c>
      <c r="T78" s="366">
        <f t="shared" si="48"/>
        <v>0</v>
      </c>
      <c r="U78" s="368">
        <f t="shared" si="48"/>
        <v>0</v>
      </c>
      <c r="V78" s="368">
        <f t="shared" si="48"/>
        <v>0</v>
      </c>
      <c r="W78" s="332">
        <f t="shared" si="48"/>
        <v>0</v>
      </c>
      <c r="X78" s="937">
        <f t="shared" si="48"/>
        <v>0</v>
      </c>
      <c r="Y78" s="938">
        <f t="shared" si="48"/>
        <v>0</v>
      </c>
      <c r="Z78" s="938">
        <f t="shared" si="48"/>
        <v>0</v>
      </c>
      <c r="AA78" s="938">
        <f t="shared" si="48"/>
        <v>0</v>
      </c>
      <c r="AB78" s="938">
        <f t="shared" si="48"/>
        <v>0</v>
      </c>
      <c r="AC78" s="938">
        <f t="shared" si="48"/>
        <v>0</v>
      </c>
      <c r="AD78" s="939">
        <f>SUM(AD73:AD77)</f>
        <v>0</v>
      </c>
      <c r="AE78" s="335">
        <f>SUM(AE73:AE77)</f>
        <v>0</v>
      </c>
      <c r="AF78" s="336">
        <f>SUM(AF73:AF77)</f>
        <v>0</v>
      </c>
      <c r="AG78" s="337">
        <f>SUM(AG73:AG77)</f>
        <v>0</v>
      </c>
      <c r="AH78" s="241">
        <f>N78+T78+W78+AE78+AF78+AG78</f>
        <v>0</v>
      </c>
    </row>
    <row r="79" spans="1:34" ht="30.75" thickBot="1" x14ac:dyDescent="0.3">
      <c r="A79" s="339" t="s">
        <v>334</v>
      </c>
      <c r="B79" s="340">
        <f>B69+B70+B72+B78</f>
        <v>0</v>
      </c>
      <c r="C79" s="341">
        <f t="shared" ref="C79:S79" si="49">C69+C70+C72+C78</f>
        <v>0</v>
      </c>
      <c r="D79" s="341">
        <f t="shared" si="49"/>
        <v>0</v>
      </c>
      <c r="E79" s="341">
        <f t="shared" si="49"/>
        <v>0</v>
      </c>
      <c r="F79" s="341">
        <f t="shared" si="49"/>
        <v>0</v>
      </c>
      <c r="G79" s="341">
        <f t="shared" si="49"/>
        <v>0</v>
      </c>
      <c r="H79" s="341">
        <f t="shared" si="49"/>
        <v>0</v>
      </c>
      <c r="I79" s="341">
        <f t="shared" si="49"/>
        <v>0</v>
      </c>
      <c r="J79" s="341">
        <f t="shared" si="49"/>
        <v>0</v>
      </c>
      <c r="K79" s="341">
        <f t="shared" si="49"/>
        <v>0</v>
      </c>
      <c r="L79" s="341">
        <f t="shared" si="49"/>
        <v>0</v>
      </c>
      <c r="M79" s="341">
        <f t="shared" si="49"/>
        <v>2255850</v>
      </c>
      <c r="N79" s="342">
        <f t="shared" si="49"/>
        <v>2255850</v>
      </c>
      <c r="O79" s="343">
        <f t="shared" si="49"/>
        <v>0</v>
      </c>
      <c r="P79" s="343">
        <f t="shared" si="49"/>
        <v>0</v>
      </c>
      <c r="Q79" s="343">
        <f t="shared" si="49"/>
        <v>0</v>
      </c>
      <c r="R79" s="343">
        <f t="shared" si="49"/>
        <v>0</v>
      </c>
      <c r="S79" s="343">
        <f t="shared" si="49"/>
        <v>265950</v>
      </c>
      <c r="T79" s="249">
        <f>SUM(T69,T78)</f>
        <v>265950</v>
      </c>
      <c r="U79" s="344">
        <f>U69+U70+U72+U78</f>
        <v>0</v>
      </c>
      <c r="V79" s="251">
        <f>SUM(V69,V78)</f>
        <v>0</v>
      </c>
      <c r="W79" s="345">
        <f>SUM(W69,W78)</f>
        <v>0</v>
      </c>
      <c r="X79" s="347">
        <f t="shared" ref="X79:AD79" si="50">X69+X70+X72+X78</f>
        <v>0</v>
      </c>
      <c r="Y79" s="347">
        <f t="shared" si="50"/>
        <v>0</v>
      </c>
      <c r="Z79" s="347">
        <f t="shared" si="50"/>
        <v>0</v>
      </c>
      <c r="AA79" s="347">
        <f t="shared" si="50"/>
        <v>0</v>
      </c>
      <c r="AB79" s="347">
        <f t="shared" si="50"/>
        <v>0</v>
      </c>
      <c r="AC79" s="347">
        <f t="shared" si="50"/>
        <v>5248620</v>
      </c>
      <c r="AD79" s="347">
        <f t="shared" si="50"/>
        <v>5248620</v>
      </c>
      <c r="AE79" s="348">
        <f>SUM(AE69,AE78)</f>
        <v>0</v>
      </c>
      <c r="AF79" s="349">
        <f>SUM(AF69,AF78)</f>
        <v>0</v>
      </c>
      <c r="AG79" s="351">
        <f>SUM(AG69,AG78)</f>
        <v>0</v>
      </c>
      <c r="AH79" s="351">
        <f>SUM(AH69:AH77)</f>
        <v>7770420</v>
      </c>
    </row>
    <row r="80" spans="1:34" ht="16.5" thickBot="1" x14ac:dyDescent="0.3">
      <c r="A80" s="433" t="s">
        <v>335</v>
      </c>
      <c r="B80" s="434">
        <f t="shared" ref="B80:AG80" si="51">B40+B47+B63+B68+B79</f>
        <v>0</v>
      </c>
      <c r="C80" s="435">
        <f t="shared" si="51"/>
        <v>0</v>
      </c>
      <c r="D80" s="435">
        <f t="shared" si="51"/>
        <v>0</v>
      </c>
      <c r="E80" s="435">
        <f t="shared" si="51"/>
        <v>0</v>
      </c>
      <c r="F80" s="435">
        <f t="shared" si="51"/>
        <v>0</v>
      </c>
      <c r="G80" s="435">
        <f t="shared" si="51"/>
        <v>0</v>
      </c>
      <c r="H80" s="435">
        <f t="shared" si="51"/>
        <v>0</v>
      </c>
      <c r="I80" s="435">
        <f t="shared" si="51"/>
        <v>0</v>
      </c>
      <c r="J80" s="435">
        <f t="shared" si="51"/>
        <v>0</v>
      </c>
      <c r="K80" s="435">
        <f t="shared" si="51"/>
        <v>0</v>
      </c>
      <c r="L80" s="435">
        <f t="shared" si="51"/>
        <v>0</v>
      </c>
      <c r="M80" s="435">
        <f t="shared" si="51"/>
        <v>10940850</v>
      </c>
      <c r="N80" s="436">
        <f t="shared" si="51"/>
        <v>10940850</v>
      </c>
      <c r="O80" s="437">
        <f t="shared" si="51"/>
        <v>0</v>
      </c>
      <c r="P80" s="438">
        <f t="shared" si="51"/>
        <v>0</v>
      </c>
      <c r="Q80" s="438">
        <f t="shared" si="51"/>
        <v>0</v>
      </c>
      <c r="R80" s="438">
        <f t="shared" si="51"/>
        <v>0</v>
      </c>
      <c r="S80" s="438">
        <f t="shared" si="51"/>
        <v>1270950</v>
      </c>
      <c r="T80" s="439">
        <f t="shared" si="51"/>
        <v>1270950</v>
      </c>
      <c r="U80" s="440">
        <f t="shared" si="51"/>
        <v>0</v>
      </c>
      <c r="V80" s="441">
        <f t="shared" si="51"/>
        <v>0</v>
      </c>
      <c r="W80" s="442">
        <f t="shared" si="51"/>
        <v>0</v>
      </c>
      <c r="X80" s="443">
        <f t="shared" si="51"/>
        <v>0</v>
      </c>
      <c r="Y80" s="444">
        <f t="shared" si="51"/>
        <v>0</v>
      </c>
      <c r="Z80" s="444">
        <f t="shared" si="51"/>
        <v>0</v>
      </c>
      <c r="AA80" s="444">
        <f t="shared" si="51"/>
        <v>0</v>
      </c>
      <c r="AB80" s="444">
        <f t="shared" si="51"/>
        <v>32000</v>
      </c>
      <c r="AC80" s="444">
        <f t="shared" si="51"/>
        <v>25455620</v>
      </c>
      <c r="AD80" s="445">
        <f>AD40+AD47+AD63+AD68+AD79</f>
        <v>25487620</v>
      </c>
      <c r="AE80" s="446">
        <f t="shared" si="51"/>
        <v>0</v>
      </c>
      <c r="AF80" s="447">
        <f t="shared" si="51"/>
        <v>0</v>
      </c>
      <c r="AG80" s="448">
        <f t="shared" si="51"/>
        <v>0</v>
      </c>
      <c r="AH80" s="448">
        <f>AH40+AH47+AH63+AH68+AH79</f>
        <v>37699420</v>
      </c>
    </row>
    <row r="81" spans="1:34" ht="30.75" thickBot="1" x14ac:dyDescent="0.3">
      <c r="A81" s="449" t="s">
        <v>553</v>
      </c>
      <c r="B81" s="450"/>
      <c r="C81" s="451"/>
      <c r="D81" s="451"/>
      <c r="E81" s="451"/>
      <c r="F81" s="451"/>
      <c r="G81" s="451"/>
      <c r="H81" s="451"/>
      <c r="I81" s="451"/>
      <c r="J81" s="451"/>
      <c r="K81" s="451"/>
      <c r="L81" s="451"/>
      <c r="M81" s="451"/>
      <c r="N81" s="452">
        <f>SUM(B81:M81)</f>
        <v>0</v>
      </c>
      <c r="O81" s="453"/>
      <c r="P81" s="454"/>
      <c r="Q81" s="454"/>
      <c r="R81" s="454"/>
      <c r="S81" s="454"/>
      <c r="T81" s="455"/>
      <c r="U81" s="456"/>
      <c r="V81" s="457"/>
      <c r="W81" s="458"/>
      <c r="X81" s="459"/>
      <c r="Y81" s="460"/>
      <c r="Z81" s="460"/>
      <c r="AA81" s="460"/>
      <c r="AB81" s="460"/>
      <c r="AC81" s="460"/>
      <c r="AD81" s="461"/>
      <c r="AE81" s="462"/>
      <c r="AF81" s="463"/>
      <c r="AG81" s="464"/>
      <c r="AH81" s="465">
        <f t="shared" ref="AH81:AH94" si="52">N81+T81+W81+AE81+AF81+AG81</f>
        <v>0</v>
      </c>
    </row>
    <row r="82" spans="1:34" ht="15.75" thickBot="1" x14ac:dyDescent="0.3">
      <c r="A82" s="339" t="s">
        <v>336</v>
      </c>
      <c r="B82" s="340">
        <f t="shared" ref="B82:N82" si="53">B81</f>
        <v>0</v>
      </c>
      <c r="C82" s="341">
        <f t="shared" si="53"/>
        <v>0</v>
      </c>
      <c r="D82" s="341">
        <f t="shared" si="53"/>
        <v>0</v>
      </c>
      <c r="E82" s="341">
        <f t="shared" si="53"/>
        <v>0</v>
      </c>
      <c r="F82" s="341">
        <f t="shared" si="53"/>
        <v>0</v>
      </c>
      <c r="G82" s="341">
        <f t="shared" si="53"/>
        <v>0</v>
      </c>
      <c r="H82" s="341">
        <f t="shared" si="53"/>
        <v>0</v>
      </c>
      <c r="I82" s="341">
        <f t="shared" si="53"/>
        <v>0</v>
      </c>
      <c r="J82" s="341">
        <f t="shared" si="53"/>
        <v>0</v>
      </c>
      <c r="K82" s="341">
        <f t="shared" si="53"/>
        <v>0</v>
      </c>
      <c r="L82" s="341">
        <f t="shared" si="53"/>
        <v>0</v>
      </c>
      <c r="M82" s="341">
        <f t="shared" si="53"/>
        <v>0</v>
      </c>
      <c r="N82" s="342">
        <f t="shared" si="53"/>
        <v>0</v>
      </c>
      <c r="O82" s="410"/>
      <c r="P82" s="343"/>
      <c r="Q82" s="343"/>
      <c r="R82" s="343"/>
      <c r="S82" s="343"/>
      <c r="T82" s="249">
        <f>T81</f>
        <v>0</v>
      </c>
      <c r="U82" s="377"/>
      <c r="V82" s="251">
        <f>V81</f>
        <v>0</v>
      </c>
      <c r="W82" s="345">
        <f>W81</f>
        <v>0</v>
      </c>
      <c r="X82" s="346"/>
      <c r="Y82" s="347"/>
      <c r="Z82" s="347"/>
      <c r="AA82" s="347"/>
      <c r="AB82" s="347"/>
      <c r="AC82" s="347"/>
      <c r="AD82" s="255">
        <f>AD81</f>
        <v>0</v>
      </c>
      <c r="AE82" s="348">
        <f>AE81</f>
        <v>0</v>
      </c>
      <c r="AF82" s="349"/>
      <c r="AG82" s="351"/>
      <c r="AH82" s="258">
        <f t="shared" si="52"/>
        <v>0</v>
      </c>
    </row>
    <row r="83" spans="1:34" x14ac:dyDescent="0.25">
      <c r="A83" s="411" t="s">
        <v>337</v>
      </c>
      <c r="B83" s="412"/>
      <c r="C83" s="413"/>
      <c r="D83" s="413"/>
      <c r="E83" s="413"/>
      <c r="F83" s="413"/>
      <c r="G83" s="413"/>
      <c r="H83" s="413"/>
      <c r="I83" s="413"/>
      <c r="J83" s="413"/>
      <c r="K83" s="413"/>
      <c r="L83" s="413"/>
      <c r="M83" s="413"/>
      <c r="N83" s="466">
        <f>SUM(B83:M83)</f>
        <v>0</v>
      </c>
      <c r="O83" s="467"/>
      <c r="P83" s="468"/>
      <c r="Q83" s="468"/>
      <c r="R83" s="468"/>
      <c r="S83" s="468"/>
      <c r="T83" s="469"/>
      <c r="U83" s="470"/>
      <c r="V83" s="471"/>
      <c r="W83" s="472"/>
      <c r="X83" s="473"/>
      <c r="Y83" s="474"/>
      <c r="Z83" s="474"/>
      <c r="AA83" s="474"/>
      <c r="AB83" s="474"/>
      <c r="AC83" s="474"/>
      <c r="AD83" s="475"/>
      <c r="AE83" s="476"/>
      <c r="AF83" s="477"/>
      <c r="AG83" s="424"/>
      <c r="AH83" s="201">
        <f t="shared" si="52"/>
        <v>0</v>
      </c>
    </row>
    <row r="84" spans="1:34" x14ac:dyDescent="0.25">
      <c r="A84" s="478" t="s">
        <v>338</v>
      </c>
      <c r="B84" s="479">
        <f t="shared" ref="B84:N84" si="54">B83</f>
        <v>0</v>
      </c>
      <c r="C84" s="480">
        <f t="shared" si="54"/>
        <v>0</v>
      </c>
      <c r="D84" s="480">
        <f t="shared" si="54"/>
        <v>0</v>
      </c>
      <c r="E84" s="480">
        <f t="shared" si="54"/>
        <v>0</v>
      </c>
      <c r="F84" s="480">
        <f t="shared" si="54"/>
        <v>0</v>
      </c>
      <c r="G84" s="480">
        <f t="shared" si="54"/>
        <v>0</v>
      </c>
      <c r="H84" s="480">
        <f t="shared" si="54"/>
        <v>0</v>
      </c>
      <c r="I84" s="480">
        <f t="shared" si="54"/>
        <v>0</v>
      </c>
      <c r="J84" s="480">
        <f t="shared" si="54"/>
        <v>0</v>
      </c>
      <c r="K84" s="480">
        <f t="shared" si="54"/>
        <v>0</v>
      </c>
      <c r="L84" s="480">
        <f t="shared" si="54"/>
        <v>0</v>
      </c>
      <c r="M84" s="480">
        <f t="shared" si="54"/>
        <v>0</v>
      </c>
      <c r="N84" s="481">
        <f t="shared" si="54"/>
        <v>0</v>
      </c>
      <c r="O84" s="482"/>
      <c r="P84" s="483"/>
      <c r="Q84" s="483"/>
      <c r="R84" s="483"/>
      <c r="S84" s="483"/>
      <c r="T84" s="484">
        <f>T83</f>
        <v>0</v>
      </c>
      <c r="U84" s="485"/>
      <c r="V84" s="486">
        <f>V83</f>
        <v>0</v>
      </c>
      <c r="W84" s="487">
        <f>W83</f>
        <v>0</v>
      </c>
      <c r="X84" s="488"/>
      <c r="Y84" s="489"/>
      <c r="Z84" s="489"/>
      <c r="AA84" s="489"/>
      <c r="AB84" s="489"/>
      <c r="AC84" s="489"/>
      <c r="AD84" s="490">
        <f>AD83</f>
        <v>0</v>
      </c>
      <c r="AE84" s="491"/>
      <c r="AF84" s="492"/>
      <c r="AG84" s="493"/>
      <c r="AH84" s="215">
        <f t="shared" si="52"/>
        <v>0</v>
      </c>
    </row>
    <row r="85" spans="1:34" x14ac:dyDescent="0.25">
      <c r="A85" s="310" t="s">
        <v>339</v>
      </c>
      <c r="B85" s="311"/>
      <c r="C85" s="312"/>
      <c r="D85" s="312"/>
      <c r="E85" s="312"/>
      <c r="F85" s="312"/>
      <c r="G85" s="312"/>
      <c r="H85" s="312"/>
      <c r="I85" s="312"/>
      <c r="J85" s="312"/>
      <c r="K85" s="312"/>
      <c r="L85" s="312"/>
      <c r="M85" s="312"/>
      <c r="N85" s="494">
        <f>SUM(B85:M85)</f>
        <v>0</v>
      </c>
      <c r="O85" s="495"/>
      <c r="P85" s="496"/>
      <c r="Q85" s="496"/>
      <c r="R85" s="496"/>
      <c r="S85" s="496"/>
      <c r="T85" s="380"/>
      <c r="U85" s="497"/>
      <c r="V85" s="381"/>
      <c r="W85" s="498"/>
      <c r="X85" s="499"/>
      <c r="Y85" s="500"/>
      <c r="Z85" s="500"/>
      <c r="AA85" s="500"/>
      <c r="AB85" s="500"/>
      <c r="AC85" s="500"/>
      <c r="AD85" s="383"/>
      <c r="AE85" s="501"/>
      <c r="AF85" s="502"/>
      <c r="AG85" s="388"/>
      <c r="AH85" s="215">
        <f t="shared" si="52"/>
        <v>0</v>
      </c>
    </row>
    <row r="86" spans="1:34" ht="30" x14ac:dyDescent="0.25">
      <c r="A86" s="478" t="s">
        <v>340</v>
      </c>
      <c r="B86" s="479">
        <f t="shared" ref="B86:N86" si="55">B85</f>
        <v>0</v>
      </c>
      <c r="C86" s="480">
        <f t="shared" si="55"/>
        <v>0</v>
      </c>
      <c r="D86" s="480">
        <f t="shared" si="55"/>
        <v>0</v>
      </c>
      <c r="E86" s="480">
        <f t="shared" si="55"/>
        <v>0</v>
      </c>
      <c r="F86" s="480">
        <f t="shared" si="55"/>
        <v>0</v>
      </c>
      <c r="G86" s="480">
        <f t="shared" si="55"/>
        <v>0</v>
      </c>
      <c r="H86" s="480">
        <f t="shared" si="55"/>
        <v>0</v>
      </c>
      <c r="I86" s="480">
        <f t="shared" si="55"/>
        <v>0</v>
      </c>
      <c r="J86" s="480">
        <f t="shared" si="55"/>
        <v>0</v>
      </c>
      <c r="K86" s="480">
        <f t="shared" si="55"/>
        <v>0</v>
      </c>
      <c r="L86" s="480">
        <f t="shared" si="55"/>
        <v>0</v>
      </c>
      <c r="M86" s="480">
        <f t="shared" si="55"/>
        <v>0</v>
      </c>
      <c r="N86" s="481">
        <f t="shared" si="55"/>
        <v>0</v>
      </c>
      <c r="O86" s="482"/>
      <c r="P86" s="483"/>
      <c r="Q86" s="483"/>
      <c r="R86" s="483"/>
      <c r="S86" s="483"/>
      <c r="T86" s="484">
        <f>T85</f>
        <v>0</v>
      </c>
      <c r="U86" s="485"/>
      <c r="V86" s="486">
        <f>V85</f>
        <v>0</v>
      </c>
      <c r="W86" s="487">
        <f>W85</f>
        <v>0</v>
      </c>
      <c r="X86" s="488"/>
      <c r="Y86" s="489"/>
      <c r="Z86" s="489"/>
      <c r="AA86" s="489"/>
      <c r="AB86" s="489"/>
      <c r="AC86" s="489"/>
      <c r="AD86" s="490">
        <f>AD85</f>
        <v>0</v>
      </c>
      <c r="AE86" s="491"/>
      <c r="AF86" s="492"/>
      <c r="AG86" s="493"/>
      <c r="AH86" s="215">
        <f t="shared" si="52"/>
        <v>0</v>
      </c>
    </row>
    <row r="87" spans="1:34" x14ac:dyDescent="0.25">
      <c r="A87" s="310" t="s">
        <v>341</v>
      </c>
      <c r="B87" s="311"/>
      <c r="C87" s="312"/>
      <c r="D87" s="312"/>
      <c r="E87" s="312"/>
      <c r="F87" s="312"/>
      <c r="G87" s="312"/>
      <c r="H87" s="312"/>
      <c r="I87" s="312"/>
      <c r="J87" s="312"/>
      <c r="K87" s="312"/>
      <c r="L87" s="312"/>
      <c r="M87" s="312"/>
      <c r="N87" s="494">
        <f>SUM(B87:M87)</f>
        <v>0</v>
      </c>
      <c r="O87" s="495"/>
      <c r="P87" s="496"/>
      <c r="Q87" s="496"/>
      <c r="R87" s="496"/>
      <c r="S87" s="496"/>
      <c r="T87" s="380"/>
      <c r="U87" s="497"/>
      <c r="V87" s="381"/>
      <c r="W87" s="498"/>
      <c r="X87" s="499"/>
      <c r="Y87" s="500"/>
      <c r="Z87" s="500"/>
      <c r="AA87" s="500"/>
      <c r="AB87" s="500"/>
      <c r="AC87" s="500"/>
      <c r="AD87" s="383"/>
      <c r="AE87" s="501"/>
      <c r="AF87" s="502"/>
      <c r="AG87" s="388"/>
      <c r="AH87" s="215">
        <f t="shared" si="52"/>
        <v>0</v>
      </c>
    </row>
    <row r="88" spans="1:34" x14ac:dyDescent="0.25">
      <c r="A88" s="478" t="s">
        <v>342</v>
      </c>
      <c r="B88" s="479">
        <f t="shared" ref="B88:N88" si="56">B87</f>
        <v>0</v>
      </c>
      <c r="C88" s="480">
        <f t="shared" si="56"/>
        <v>0</v>
      </c>
      <c r="D88" s="480">
        <f t="shared" si="56"/>
        <v>0</v>
      </c>
      <c r="E88" s="480">
        <f t="shared" si="56"/>
        <v>0</v>
      </c>
      <c r="F88" s="480">
        <f t="shared" si="56"/>
        <v>0</v>
      </c>
      <c r="G88" s="480">
        <f t="shared" si="56"/>
        <v>0</v>
      </c>
      <c r="H88" s="480">
        <f t="shared" si="56"/>
        <v>0</v>
      </c>
      <c r="I88" s="480">
        <f t="shared" si="56"/>
        <v>0</v>
      </c>
      <c r="J88" s="480">
        <f t="shared" si="56"/>
        <v>0</v>
      </c>
      <c r="K88" s="480">
        <f t="shared" si="56"/>
        <v>0</v>
      </c>
      <c r="L88" s="480">
        <f t="shared" si="56"/>
        <v>0</v>
      </c>
      <c r="M88" s="480">
        <f t="shared" si="56"/>
        <v>0</v>
      </c>
      <c r="N88" s="481">
        <f t="shared" si="56"/>
        <v>0</v>
      </c>
      <c r="O88" s="482"/>
      <c r="P88" s="483"/>
      <c r="Q88" s="483"/>
      <c r="R88" s="483"/>
      <c r="S88" s="483"/>
      <c r="T88" s="484">
        <f>T87</f>
        <v>0</v>
      </c>
      <c r="U88" s="485"/>
      <c r="V88" s="486">
        <f>V87</f>
        <v>0</v>
      </c>
      <c r="W88" s="487">
        <f>W87</f>
        <v>0</v>
      </c>
      <c r="X88" s="488"/>
      <c r="Y88" s="489"/>
      <c r="Z88" s="489"/>
      <c r="AA88" s="489"/>
      <c r="AB88" s="489"/>
      <c r="AC88" s="489"/>
      <c r="AD88" s="490">
        <f>AD87</f>
        <v>0</v>
      </c>
      <c r="AE88" s="491"/>
      <c r="AF88" s="492"/>
      <c r="AG88" s="493"/>
      <c r="AH88" s="215">
        <f t="shared" si="52"/>
        <v>0</v>
      </c>
    </row>
    <row r="89" spans="1:34" ht="30" x14ac:dyDescent="0.25">
      <c r="A89" s="310" t="s">
        <v>343</v>
      </c>
      <c r="B89" s="311"/>
      <c r="C89" s="312"/>
      <c r="D89" s="312"/>
      <c r="E89" s="312"/>
      <c r="F89" s="312"/>
      <c r="G89" s="312"/>
      <c r="H89" s="312"/>
      <c r="I89" s="312"/>
      <c r="J89" s="312"/>
      <c r="K89" s="312"/>
      <c r="L89" s="312"/>
      <c r="M89" s="312"/>
      <c r="N89" s="494">
        <f>SUM(B89:M89)</f>
        <v>0</v>
      </c>
      <c r="O89" s="495"/>
      <c r="P89" s="496"/>
      <c r="Q89" s="496"/>
      <c r="R89" s="496"/>
      <c r="S89" s="496"/>
      <c r="T89" s="380"/>
      <c r="U89" s="497"/>
      <c r="V89" s="381"/>
      <c r="W89" s="430"/>
      <c r="X89" s="499"/>
      <c r="Y89" s="500"/>
      <c r="Z89" s="500"/>
      <c r="AA89" s="500"/>
      <c r="AB89" s="500"/>
      <c r="AC89" s="500"/>
      <c r="AD89" s="383"/>
      <c r="AE89" s="386"/>
      <c r="AF89" s="387"/>
      <c r="AG89" s="503"/>
      <c r="AH89" s="215">
        <f t="shared" si="52"/>
        <v>0</v>
      </c>
    </row>
    <row r="90" spans="1:34" x14ac:dyDescent="0.25">
      <c r="A90" s="478" t="s">
        <v>344</v>
      </c>
      <c r="B90" s="479">
        <f t="shared" ref="B90:N90" si="57">B89</f>
        <v>0</v>
      </c>
      <c r="C90" s="480">
        <f t="shared" si="57"/>
        <v>0</v>
      </c>
      <c r="D90" s="480">
        <f t="shared" si="57"/>
        <v>0</v>
      </c>
      <c r="E90" s="480">
        <f t="shared" si="57"/>
        <v>0</v>
      </c>
      <c r="F90" s="480">
        <f t="shared" si="57"/>
        <v>0</v>
      </c>
      <c r="G90" s="480">
        <f t="shared" si="57"/>
        <v>0</v>
      </c>
      <c r="H90" s="480">
        <f t="shared" si="57"/>
        <v>0</v>
      </c>
      <c r="I90" s="480">
        <f t="shared" si="57"/>
        <v>0</v>
      </c>
      <c r="J90" s="480">
        <f t="shared" si="57"/>
        <v>0</v>
      </c>
      <c r="K90" s="480">
        <f t="shared" si="57"/>
        <v>0</v>
      </c>
      <c r="L90" s="480">
        <f t="shared" si="57"/>
        <v>0</v>
      </c>
      <c r="M90" s="480">
        <f t="shared" si="57"/>
        <v>0</v>
      </c>
      <c r="N90" s="481">
        <f t="shared" si="57"/>
        <v>0</v>
      </c>
      <c r="O90" s="482"/>
      <c r="P90" s="483"/>
      <c r="Q90" s="483"/>
      <c r="R90" s="483"/>
      <c r="S90" s="483"/>
      <c r="T90" s="484">
        <f>T89</f>
        <v>0</v>
      </c>
      <c r="U90" s="485"/>
      <c r="V90" s="486">
        <f>V89</f>
        <v>0</v>
      </c>
      <c r="W90" s="487">
        <f>W89</f>
        <v>0</v>
      </c>
      <c r="X90" s="488"/>
      <c r="Y90" s="489"/>
      <c r="Z90" s="489"/>
      <c r="AA90" s="489"/>
      <c r="AB90" s="489"/>
      <c r="AC90" s="489"/>
      <c r="AD90" s="490">
        <f>AD89</f>
        <v>0</v>
      </c>
      <c r="AE90" s="491">
        <f>AE89</f>
        <v>0</v>
      </c>
      <c r="AF90" s="492">
        <f>AF89</f>
        <v>0</v>
      </c>
      <c r="AG90" s="493">
        <f>AG89</f>
        <v>0</v>
      </c>
      <c r="AH90" s="215">
        <f t="shared" si="52"/>
        <v>0</v>
      </c>
    </row>
    <row r="91" spans="1:34" x14ac:dyDescent="0.25">
      <c r="A91" s="310" t="s">
        <v>345</v>
      </c>
      <c r="B91" s="311"/>
      <c r="C91" s="312"/>
      <c r="D91" s="312"/>
      <c r="E91" s="312"/>
      <c r="F91" s="312"/>
      <c r="G91" s="312"/>
      <c r="H91" s="312"/>
      <c r="I91" s="312"/>
      <c r="J91" s="312"/>
      <c r="K91" s="312"/>
      <c r="L91" s="312"/>
      <c r="M91" s="312"/>
      <c r="N91" s="494">
        <f>SUM(B91:M91)</f>
        <v>0</v>
      </c>
      <c r="O91" s="495"/>
      <c r="P91" s="496"/>
      <c r="Q91" s="496"/>
      <c r="R91" s="496"/>
      <c r="S91" s="496"/>
      <c r="T91" s="380"/>
      <c r="U91" s="497"/>
      <c r="V91" s="381"/>
      <c r="W91" s="498"/>
      <c r="X91" s="499"/>
      <c r="Y91" s="500"/>
      <c r="Z91" s="500"/>
      <c r="AA91" s="500"/>
      <c r="AB91" s="500"/>
      <c r="AC91" s="500"/>
      <c r="AD91" s="383"/>
      <c r="AE91" s="501"/>
      <c r="AF91" s="502"/>
      <c r="AG91" s="388"/>
      <c r="AH91" s="215">
        <f t="shared" si="52"/>
        <v>0</v>
      </c>
    </row>
    <row r="92" spans="1:34" ht="60" x14ac:dyDescent="0.25">
      <c r="A92" s="310" t="s">
        <v>346</v>
      </c>
      <c r="B92" s="311"/>
      <c r="C92" s="312"/>
      <c r="D92" s="312"/>
      <c r="E92" s="312"/>
      <c r="F92" s="312"/>
      <c r="G92" s="312"/>
      <c r="H92" s="312"/>
      <c r="I92" s="312"/>
      <c r="J92" s="312"/>
      <c r="K92" s="312"/>
      <c r="L92" s="312"/>
      <c r="M92" s="312"/>
      <c r="N92" s="494">
        <f>SUM(B92:M92)</f>
        <v>0</v>
      </c>
      <c r="O92" s="495"/>
      <c r="P92" s="496"/>
      <c r="Q92" s="496"/>
      <c r="R92" s="496"/>
      <c r="S92" s="496"/>
      <c r="T92" s="380"/>
      <c r="U92" s="497"/>
      <c r="V92" s="381"/>
      <c r="W92" s="498"/>
      <c r="X92" s="499"/>
      <c r="Y92" s="500"/>
      <c r="Z92" s="500"/>
      <c r="AA92" s="500"/>
      <c r="AB92" s="500"/>
      <c r="AC92" s="500"/>
      <c r="AD92" s="383"/>
      <c r="AE92" s="501"/>
      <c r="AF92" s="502"/>
      <c r="AG92" s="388"/>
      <c r="AH92" s="215">
        <f t="shared" si="52"/>
        <v>0</v>
      </c>
    </row>
    <row r="93" spans="1:34" ht="45" x14ac:dyDescent="0.25">
      <c r="A93" s="310" t="s">
        <v>347</v>
      </c>
      <c r="B93" s="311"/>
      <c r="C93" s="312"/>
      <c r="D93" s="312"/>
      <c r="E93" s="312"/>
      <c r="F93" s="312"/>
      <c r="G93" s="312"/>
      <c r="H93" s="312"/>
      <c r="I93" s="312"/>
      <c r="J93" s="312"/>
      <c r="K93" s="312"/>
      <c r="L93" s="312"/>
      <c r="M93" s="312"/>
      <c r="N93" s="494">
        <f>SUM(B93:M93)</f>
        <v>0</v>
      </c>
      <c r="O93" s="495"/>
      <c r="P93" s="496"/>
      <c r="Q93" s="496"/>
      <c r="R93" s="496"/>
      <c r="S93" s="496"/>
      <c r="T93" s="380"/>
      <c r="U93" s="497"/>
      <c r="V93" s="381"/>
      <c r="W93" s="498"/>
      <c r="X93" s="499"/>
      <c r="Y93" s="500"/>
      <c r="Z93" s="500"/>
      <c r="AA93" s="500"/>
      <c r="AB93" s="500"/>
      <c r="AC93" s="500"/>
      <c r="AD93" s="383"/>
      <c r="AE93" s="501"/>
      <c r="AF93" s="502"/>
      <c r="AG93" s="388"/>
      <c r="AH93" s="215">
        <f t="shared" si="52"/>
        <v>0</v>
      </c>
    </row>
    <row r="94" spans="1:34" x14ac:dyDescent="0.25">
      <c r="A94" s="478" t="s">
        <v>348</v>
      </c>
      <c r="B94" s="479">
        <f t="shared" ref="B94:N94" si="58">SUM(B91:B93)</f>
        <v>0</v>
      </c>
      <c r="C94" s="480">
        <f t="shared" si="58"/>
        <v>0</v>
      </c>
      <c r="D94" s="480">
        <f t="shared" si="58"/>
        <v>0</v>
      </c>
      <c r="E94" s="480">
        <f t="shared" si="58"/>
        <v>0</v>
      </c>
      <c r="F94" s="480">
        <f t="shared" si="58"/>
        <v>0</v>
      </c>
      <c r="G94" s="480">
        <f t="shared" si="58"/>
        <v>0</v>
      </c>
      <c r="H94" s="480">
        <f t="shared" si="58"/>
        <v>0</v>
      </c>
      <c r="I94" s="480">
        <f t="shared" si="58"/>
        <v>0</v>
      </c>
      <c r="J94" s="480">
        <f t="shared" si="58"/>
        <v>0</v>
      </c>
      <c r="K94" s="480">
        <f t="shared" si="58"/>
        <v>0</v>
      </c>
      <c r="L94" s="480">
        <f t="shared" si="58"/>
        <v>0</v>
      </c>
      <c r="M94" s="480">
        <f t="shared" si="58"/>
        <v>0</v>
      </c>
      <c r="N94" s="481">
        <f t="shared" si="58"/>
        <v>0</v>
      </c>
      <c r="O94" s="482"/>
      <c r="P94" s="483"/>
      <c r="Q94" s="483"/>
      <c r="R94" s="483"/>
      <c r="S94" s="483"/>
      <c r="T94" s="484">
        <f>SUM(T91:T93)</f>
        <v>0</v>
      </c>
      <c r="U94" s="485"/>
      <c r="V94" s="486">
        <f>SUM(V91:V93)</f>
        <v>0</v>
      </c>
      <c r="W94" s="487">
        <f>SUM(W91:W93)</f>
        <v>0</v>
      </c>
      <c r="X94" s="488"/>
      <c r="Y94" s="489"/>
      <c r="Z94" s="489"/>
      <c r="AA94" s="489"/>
      <c r="AB94" s="489"/>
      <c r="AC94" s="489"/>
      <c r="AD94" s="490">
        <f>SUM(AD91:AD93)</f>
        <v>0</v>
      </c>
      <c r="AE94" s="491">
        <f>SUM(AE91:AE93)</f>
        <v>0</v>
      </c>
      <c r="AF94" s="492">
        <f>SUM(AF91:AF93)</f>
        <v>0</v>
      </c>
      <c r="AG94" s="493">
        <f>SUM(AG91:AG93)</f>
        <v>0</v>
      </c>
      <c r="AH94" s="215">
        <f t="shared" si="52"/>
        <v>0</v>
      </c>
    </row>
    <row r="95" spans="1:34" ht="16.5" thickBot="1" x14ac:dyDescent="0.3">
      <c r="A95" s="504" t="s">
        <v>349</v>
      </c>
      <c r="B95" s="505">
        <f t="shared" ref="B95:N95" si="59">B82+B84+B86+B88+B90+B94</f>
        <v>0</v>
      </c>
      <c r="C95" s="506">
        <f t="shared" si="59"/>
        <v>0</v>
      </c>
      <c r="D95" s="506">
        <f t="shared" si="59"/>
        <v>0</v>
      </c>
      <c r="E95" s="506">
        <f t="shared" si="59"/>
        <v>0</v>
      </c>
      <c r="F95" s="506">
        <f t="shared" si="59"/>
        <v>0</v>
      </c>
      <c r="G95" s="506">
        <f t="shared" si="59"/>
        <v>0</v>
      </c>
      <c r="H95" s="506">
        <f t="shared" si="59"/>
        <v>0</v>
      </c>
      <c r="I95" s="506">
        <f t="shared" si="59"/>
        <v>0</v>
      </c>
      <c r="J95" s="506">
        <f t="shared" si="59"/>
        <v>0</v>
      </c>
      <c r="K95" s="506">
        <f t="shared" si="59"/>
        <v>0</v>
      </c>
      <c r="L95" s="506">
        <f t="shared" si="59"/>
        <v>0</v>
      </c>
      <c r="M95" s="506">
        <f t="shared" si="59"/>
        <v>0</v>
      </c>
      <c r="N95" s="507">
        <f t="shared" si="59"/>
        <v>0</v>
      </c>
      <c r="O95" s="508"/>
      <c r="P95" s="509"/>
      <c r="Q95" s="509"/>
      <c r="R95" s="509"/>
      <c r="S95" s="509"/>
      <c r="T95" s="510">
        <f>T82+T84+T86+T88+T90+T94</f>
        <v>0</v>
      </c>
      <c r="U95" s="511"/>
      <c r="V95" s="512">
        <f>V82+V84+V86+V88+V90+V94</f>
        <v>0</v>
      </c>
      <c r="W95" s="513">
        <f>W82+W84+W86+W88+W90+W94</f>
        <v>0</v>
      </c>
      <c r="X95" s="514"/>
      <c r="Y95" s="515"/>
      <c r="Z95" s="515"/>
      <c r="AA95" s="515"/>
      <c r="AB95" s="515"/>
      <c r="AC95" s="515"/>
      <c r="AD95" s="516">
        <f>AD82+AD84+AD86+AD88+AD90+AD94</f>
        <v>0</v>
      </c>
      <c r="AE95" s="517">
        <f>AE82+AE84+AE86+AE88+AE90+AE94</f>
        <v>0</v>
      </c>
      <c r="AF95" s="518">
        <f>AF82+AF84+AF86+AF88+AF90+AF94</f>
        <v>0</v>
      </c>
      <c r="AG95" s="519">
        <f>AG82+AG84+AG86+AG88+AG90+AG94</f>
        <v>0</v>
      </c>
      <c r="AH95" s="520">
        <f>AH82+AH83+AH84+AH85+AH86+AH87+AH88+AH89+AH90+AH91+AH92+AH93+AH94</f>
        <v>0</v>
      </c>
    </row>
    <row r="96" spans="1:34" x14ac:dyDescent="0.25">
      <c r="A96" s="521" t="s">
        <v>350</v>
      </c>
      <c r="B96" s="522"/>
      <c r="C96" s="523"/>
      <c r="D96" s="523"/>
      <c r="E96" s="523"/>
      <c r="F96" s="523"/>
      <c r="G96" s="523"/>
      <c r="H96" s="523"/>
      <c r="I96" s="523"/>
      <c r="J96" s="523"/>
      <c r="K96" s="523"/>
      <c r="L96" s="523"/>
      <c r="M96" s="523"/>
      <c r="N96" s="524">
        <f>SUM(B96:M96)</f>
        <v>0</v>
      </c>
      <c r="O96" s="525"/>
      <c r="P96" s="526"/>
      <c r="Q96" s="526"/>
      <c r="R96" s="526"/>
      <c r="S96" s="526"/>
      <c r="T96" s="527"/>
      <c r="U96" s="528"/>
      <c r="V96" s="529"/>
      <c r="W96" s="530"/>
      <c r="X96" s="531"/>
      <c r="Y96" s="532"/>
      <c r="Z96" s="532"/>
      <c r="AA96" s="532"/>
      <c r="AB96" s="532"/>
      <c r="AC96" s="532"/>
      <c r="AD96" s="533"/>
      <c r="AE96" s="534"/>
      <c r="AF96" s="535"/>
      <c r="AG96" s="536"/>
      <c r="AH96" s="202">
        <f t="shared" ref="AH96:AH104" si="60">N96+T96+W96+AE96+AF96+AG96</f>
        <v>0</v>
      </c>
    </row>
    <row r="97" spans="1:34" ht="30" x14ac:dyDescent="0.25">
      <c r="A97" s="310" t="s">
        <v>351</v>
      </c>
      <c r="B97" s="311"/>
      <c r="C97" s="312"/>
      <c r="D97" s="312"/>
      <c r="E97" s="312"/>
      <c r="F97" s="312"/>
      <c r="G97" s="312"/>
      <c r="H97" s="312"/>
      <c r="I97" s="312"/>
      <c r="J97" s="312"/>
      <c r="K97" s="312"/>
      <c r="L97" s="312"/>
      <c r="M97" s="312"/>
      <c r="N97" s="494"/>
      <c r="O97" s="495"/>
      <c r="P97" s="496"/>
      <c r="Q97" s="496"/>
      <c r="R97" s="496"/>
      <c r="S97" s="496"/>
      <c r="T97" s="380"/>
      <c r="U97" s="497"/>
      <c r="V97" s="381"/>
      <c r="W97" s="498"/>
      <c r="X97" s="499"/>
      <c r="Y97" s="500"/>
      <c r="Z97" s="500"/>
      <c r="AA97" s="500"/>
      <c r="AB97" s="500"/>
      <c r="AC97" s="500"/>
      <c r="AD97" s="383"/>
      <c r="AE97" s="501"/>
      <c r="AF97" s="502"/>
      <c r="AG97" s="388"/>
      <c r="AH97" s="215">
        <f t="shared" si="60"/>
        <v>0</v>
      </c>
    </row>
    <row r="98" spans="1:34" ht="30" x14ac:dyDescent="0.25">
      <c r="A98" s="310" t="s">
        <v>352</v>
      </c>
      <c r="B98" s="311"/>
      <c r="C98" s="312"/>
      <c r="D98" s="312"/>
      <c r="E98" s="312"/>
      <c r="F98" s="312"/>
      <c r="G98" s="312"/>
      <c r="H98" s="312"/>
      <c r="I98" s="312"/>
      <c r="J98" s="312"/>
      <c r="K98" s="312"/>
      <c r="L98" s="312"/>
      <c r="M98" s="312"/>
      <c r="N98" s="494">
        <f>SUM(B98:M98)</f>
        <v>0</v>
      </c>
      <c r="O98" s="495"/>
      <c r="P98" s="496"/>
      <c r="Q98" s="496"/>
      <c r="R98" s="496"/>
      <c r="S98" s="496"/>
      <c r="T98" s="380"/>
      <c r="U98" s="497"/>
      <c r="V98" s="381"/>
      <c r="W98" s="498"/>
      <c r="X98" s="499"/>
      <c r="Y98" s="500"/>
      <c r="Z98" s="500"/>
      <c r="AA98" s="500"/>
      <c r="AB98" s="500"/>
      <c r="AC98" s="500"/>
      <c r="AD98" s="383"/>
      <c r="AE98" s="501"/>
      <c r="AF98" s="502"/>
      <c r="AG98" s="388"/>
      <c r="AH98" s="215">
        <f t="shared" si="60"/>
        <v>0</v>
      </c>
    </row>
    <row r="99" spans="1:34" ht="30" x14ac:dyDescent="0.25">
      <c r="A99" s="478" t="s">
        <v>353</v>
      </c>
      <c r="B99" s="479">
        <f t="shared" ref="B99:N99" si="61">SUM(B96:B98)</f>
        <v>0</v>
      </c>
      <c r="C99" s="480">
        <f t="shared" si="61"/>
        <v>0</v>
      </c>
      <c r="D99" s="480">
        <f t="shared" si="61"/>
        <v>0</v>
      </c>
      <c r="E99" s="480">
        <f t="shared" si="61"/>
        <v>0</v>
      </c>
      <c r="F99" s="480">
        <f t="shared" si="61"/>
        <v>0</v>
      </c>
      <c r="G99" s="480">
        <f t="shared" si="61"/>
        <v>0</v>
      </c>
      <c r="H99" s="480">
        <f t="shared" si="61"/>
        <v>0</v>
      </c>
      <c r="I99" s="480">
        <f t="shared" si="61"/>
        <v>0</v>
      </c>
      <c r="J99" s="480">
        <f t="shared" si="61"/>
        <v>0</v>
      </c>
      <c r="K99" s="480">
        <f t="shared" si="61"/>
        <v>0</v>
      </c>
      <c r="L99" s="480">
        <f t="shared" si="61"/>
        <v>0</v>
      </c>
      <c r="M99" s="480">
        <f t="shared" si="61"/>
        <v>0</v>
      </c>
      <c r="N99" s="481">
        <f t="shared" si="61"/>
        <v>0</v>
      </c>
      <c r="O99" s="482"/>
      <c r="P99" s="483"/>
      <c r="Q99" s="483"/>
      <c r="R99" s="483"/>
      <c r="S99" s="483"/>
      <c r="T99" s="484">
        <f>SUM(T96:T98)</f>
        <v>0</v>
      </c>
      <c r="U99" s="485"/>
      <c r="V99" s="486">
        <f>SUM(V96:V98)</f>
        <v>0</v>
      </c>
      <c r="W99" s="487">
        <f>SUM(W96:W98)</f>
        <v>0</v>
      </c>
      <c r="X99" s="488"/>
      <c r="Y99" s="489"/>
      <c r="Z99" s="489"/>
      <c r="AA99" s="489"/>
      <c r="AB99" s="489"/>
      <c r="AC99" s="489"/>
      <c r="AD99" s="490">
        <f>SUM(AD96:AD98)</f>
        <v>0</v>
      </c>
      <c r="AE99" s="491">
        <f>SUM(AE96:AE98)</f>
        <v>0</v>
      </c>
      <c r="AF99" s="492">
        <f>SUM(AF96:AF98)</f>
        <v>0</v>
      </c>
      <c r="AG99" s="493">
        <f>SUM(AG96:AG98)</f>
        <v>0</v>
      </c>
      <c r="AH99" s="215">
        <f t="shared" si="60"/>
        <v>0</v>
      </c>
    </row>
    <row r="100" spans="1:34" ht="30" x14ac:dyDescent="0.25">
      <c r="A100" s="478" t="s">
        <v>354</v>
      </c>
      <c r="B100" s="479"/>
      <c r="C100" s="480"/>
      <c r="D100" s="480"/>
      <c r="E100" s="480"/>
      <c r="F100" s="480"/>
      <c r="G100" s="480"/>
      <c r="H100" s="480"/>
      <c r="I100" s="480"/>
      <c r="J100" s="480"/>
      <c r="K100" s="480"/>
      <c r="L100" s="480"/>
      <c r="M100" s="480"/>
      <c r="N100" s="494">
        <f>SUM(B100:M100)</f>
        <v>0</v>
      </c>
      <c r="O100" s="495"/>
      <c r="P100" s="496"/>
      <c r="Q100" s="496"/>
      <c r="R100" s="496"/>
      <c r="S100" s="496"/>
      <c r="T100" s="484"/>
      <c r="U100" s="497"/>
      <c r="V100" s="486"/>
      <c r="W100" s="537"/>
      <c r="X100" s="499"/>
      <c r="Y100" s="500"/>
      <c r="Z100" s="500"/>
      <c r="AA100" s="500"/>
      <c r="AB100" s="500"/>
      <c r="AC100" s="500"/>
      <c r="AD100" s="490"/>
      <c r="AE100" s="538"/>
      <c r="AF100" s="539"/>
      <c r="AG100" s="308"/>
      <c r="AH100" s="215">
        <f t="shared" si="60"/>
        <v>0</v>
      </c>
    </row>
    <row r="101" spans="1:34" ht="30" x14ac:dyDescent="0.25">
      <c r="A101" s="478" t="s">
        <v>355</v>
      </c>
      <c r="B101" s="479"/>
      <c r="C101" s="480"/>
      <c r="D101" s="480"/>
      <c r="E101" s="480"/>
      <c r="F101" s="480"/>
      <c r="G101" s="480"/>
      <c r="H101" s="480"/>
      <c r="I101" s="480"/>
      <c r="J101" s="480"/>
      <c r="K101" s="480"/>
      <c r="L101" s="480"/>
      <c r="M101" s="480"/>
      <c r="N101" s="494">
        <f>SUM(B101:M101)</f>
        <v>0</v>
      </c>
      <c r="O101" s="495"/>
      <c r="P101" s="496"/>
      <c r="Q101" s="496"/>
      <c r="R101" s="496"/>
      <c r="S101" s="496"/>
      <c r="T101" s="484"/>
      <c r="U101" s="497"/>
      <c r="V101" s="486"/>
      <c r="W101" s="537"/>
      <c r="X101" s="499"/>
      <c r="Y101" s="500"/>
      <c r="Z101" s="500"/>
      <c r="AA101" s="500"/>
      <c r="AB101" s="500"/>
      <c r="AC101" s="500"/>
      <c r="AD101" s="490"/>
      <c r="AE101" s="538"/>
      <c r="AF101" s="539"/>
      <c r="AG101" s="308"/>
      <c r="AH101" s="215">
        <f t="shared" si="60"/>
        <v>0</v>
      </c>
    </row>
    <row r="102" spans="1:34" ht="15.75" thickBot="1" x14ac:dyDescent="0.3">
      <c r="A102" s="540" t="s">
        <v>356</v>
      </c>
      <c r="B102" s="541"/>
      <c r="C102" s="542"/>
      <c r="D102" s="542"/>
      <c r="E102" s="542"/>
      <c r="F102" s="542"/>
      <c r="G102" s="542"/>
      <c r="H102" s="542"/>
      <c r="I102" s="542"/>
      <c r="J102" s="542"/>
      <c r="K102" s="542"/>
      <c r="L102" s="542"/>
      <c r="M102" s="542"/>
      <c r="N102" s="543">
        <f>SUM(B102:M102)</f>
        <v>0</v>
      </c>
      <c r="O102" s="544"/>
      <c r="P102" s="545"/>
      <c r="Q102" s="545"/>
      <c r="R102" s="545"/>
      <c r="S102" s="545"/>
      <c r="T102" s="546"/>
      <c r="U102" s="547"/>
      <c r="V102" s="548"/>
      <c r="W102" s="549"/>
      <c r="X102" s="550"/>
      <c r="Y102" s="551"/>
      <c r="Z102" s="551"/>
      <c r="AA102" s="551"/>
      <c r="AB102" s="551"/>
      <c r="AC102" s="551"/>
      <c r="AD102" s="552"/>
      <c r="AE102" s="553"/>
      <c r="AF102" s="554"/>
      <c r="AG102" s="555"/>
      <c r="AH102" s="241">
        <f t="shared" si="60"/>
        <v>0</v>
      </c>
    </row>
    <row r="103" spans="1:34" ht="16.5" thickBot="1" x14ac:dyDescent="0.3">
      <c r="A103" s="433" t="s">
        <v>357</v>
      </c>
      <c r="B103" s="434">
        <f t="shared" ref="B103:N103" si="62">B99+B100+B101+B102</f>
        <v>0</v>
      </c>
      <c r="C103" s="435">
        <f t="shared" si="62"/>
        <v>0</v>
      </c>
      <c r="D103" s="435">
        <f t="shared" si="62"/>
        <v>0</v>
      </c>
      <c r="E103" s="435">
        <f t="shared" si="62"/>
        <v>0</v>
      </c>
      <c r="F103" s="435">
        <f t="shared" si="62"/>
        <v>0</v>
      </c>
      <c r="G103" s="435">
        <f t="shared" si="62"/>
        <v>0</v>
      </c>
      <c r="H103" s="435">
        <f t="shared" si="62"/>
        <v>0</v>
      </c>
      <c r="I103" s="435">
        <f t="shared" si="62"/>
        <v>0</v>
      </c>
      <c r="J103" s="435">
        <f t="shared" si="62"/>
        <v>0</v>
      </c>
      <c r="K103" s="435">
        <f t="shared" si="62"/>
        <v>0</v>
      </c>
      <c r="L103" s="435">
        <f t="shared" si="62"/>
        <v>0</v>
      </c>
      <c r="M103" s="435">
        <f t="shared" si="62"/>
        <v>0</v>
      </c>
      <c r="N103" s="436">
        <f t="shared" si="62"/>
        <v>0</v>
      </c>
      <c r="O103" s="437"/>
      <c r="P103" s="438"/>
      <c r="Q103" s="438"/>
      <c r="R103" s="438"/>
      <c r="S103" s="438"/>
      <c r="T103" s="439">
        <f>T99+T100+T101+T102</f>
        <v>0</v>
      </c>
      <c r="U103" s="440"/>
      <c r="V103" s="441">
        <f>V99+V100+V101+V102</f>
        <v>0</v>
      </c>
      <c r="W103" s="442">
        <f>W99+W100+W101+W102</f>
        <v>0</v>
      </c>
      <c r="X103" s="443"/>
      <c r="Y103" s="444"/>
      <c r="Z103" s="444"/>
      <c r="AA103" s="444"/>
      <c r="AB103" s="444"/>
      <c r="AC103" s="444"/>
      <c r="AD103" s="445">
        <f>AD99+AD100+AD101+AD102</f>
        <v>0</v>
      </c>
      <c r="AE103" s="446">
        <f>AE99+AE100+AE101+AE102</f>
        <v>0</v>
      </c>
      <c r="AF103" s="447">
        <f>AF99+AF100+AF101+AF102</f>
        <v>0</v>
      </c>
      <c r="AG103" s="448">
        <f>AG99+AG100+AG101+AG102</f>
        <v>0</v>
      </c>
      <c r="AH103" s="305">
        <f t="shared" si="60"/>
        <v>0</v>
      </c>
    </row>
    <row r="104" spans="1:34" x14ac:dyDescent="0.25">
      <c r="A104" s="556" t="s">
        <v>358</v>
      </c>
      <c r="B104" s="557"/>
      <c r="C104" s="558"/>
      <c r="D104" s="558"/>
      <c r="E104" s="558"/>
      <c r="F104" s="558"/>
      <c r="G104" s="558"/>
      <c r="H104" s="558"/>
      <c r="I104" s="558"/>
      <c r="J104" s="558"/>
      <c r="K104" s="558"/>
      <c r="L104" s="558"/>
      <c r="M104" s="558"/>
      <c r="N104" s="466">
        <f>SUM(B104:M104)</f>
        <v>0</v>
      </c>
      <c r="O104" s="467"/>
      <c r="P104" s="468"/>
      <c r="Q104" s="468"/>
      <c r="R104" s="468"/>
      <c r="S104" s="468"/>
      <c r="T104" s="559"/>
      <c r="U104" s="470"/>
      <c r="V104" s="560"/>
      <c r="W104" s="561"/>
      <c r="X104" s="473"/>
      <c r="Y104" s="474"/>
      <c r="Z104" s="474"/>
      <c r="AA104" s="474"/>
      <c r="AB104" s="474"/>
      <c r="AC104" s="474"/>
      <c r="AD104" s="562"/>
      <c r="AE104" s="563"/>
      <c r="AF104" s="564"/>
      <c r="AG104" s="358"/>
      <c r="AH104" s="201">
        <f t="shared" si="60"/>
        <v>0</v>
      </c>
    </row>
    <row r="105" spans="1:34" x14ac:dyDescent="0.25">
      <c r="A105" s="478" t="s">
        <v>359</v>
      </c>
      <c r="B105" s="479"/>
      <c r="C105" s="480"/>
      <c r="D105" s="480"/>
      <c r="E105" s="480"/>
      <c r="F105" s="480"/>
      <c r="G105" s="480"/>
      <c r="H105" s="480"/>
      <c r="I105" s="480"/>
      <c r="J105" s="480"/>
      <c r="K105" s="480"/>
      <c r="L105" s="480"/>
      <c r="M105" s="480">
        <v>300000</v>
      </c>
      <c r="N105" s="494">
        <f>SUM(B105:M105)</f>
        <v>300000</v>
      </c>
      <c r="O105" s="495"/>
      <c r="P105" s="496"/>
      <c r="Q105" s="496"/>
      <c r="R105" s="496"/>
      <c r="S105" s="496"/>
      <c r="T105" s="484"/>
      <c r="U105" s="497"/>
      <c r="V105" s="486"/>
      <c r="W105" s="537"/>
      <c r="X105" s="499"/>
      <c r="Y105" s="500"/>
      <c r="Z105" s="500"/>
      <c r="AA105" s="500"/>
      <c r="AB105" s="500"/>
      <c r="AC105" s="500">
        <v>192560</v>
      </c>
      <c r="AD105" s="490">
        <f>AC105</f>
        <v>192560</v>
      </c>
      <c r="AE105" s="538"/>
      <c r="AF105" s="539"/>
      <c r="AG105" s="308"/>
      <c r="AH105" s="1240">
        <f>N105+T105+W105+AE105+AF105+AG105+AD105</f>
        <v>492560</v>
      </c>
    </row>
    <row r="106" spans="1:34" x14ac:dyDescent="0.25">
      <c r="A106" s="478" t="s">
        <v>554</v>
      </c>
      <c r="B106" s="479"/>
      <c r="C106" s="480"/>
      <c r="D106" s="480"/>
      <c r="E106" s="480"/>
      <c r="F106" s="480"/>
      <c r="G106" s="480"/>
      <c r="H106" s="480"/>
      <c r="I106" s="480"/>
      <c r="J106" s="480"/>
      <c r="K106" s="480"/>
      <c r="L106" s="480"/>
      <c r="M106" s="480">
        <f>300000+185040</f>
        <v>485040</v>
      </c>
      <c r="N106" s="494">
        <f>SUM(B106:M106)</f>
        <v>485040</v>
      </c>
      <c r="O106" s="495"/>
      <c r="P106" s="496"/>
      <c r="Q106" s="496"/>
      <c r="R106" s="496"/>
      <c r="S106" s="496"/>
      <c r="T106" s="484"/>
      <c r="U106" s="497"/>
      <c r="V106" s="486"/>
      <c r="W106" s="537"/>
      <c r="X106" s="499"/>
      <c r="Y106" s="500"/>
      <c r="Z106" s="500"/>
      <c r="AA106" s="500"/>
      <c r="AB106" s="500"/>
      <c r="AC106" s="500">
        <v>300000</v>
      </c>
      <c r="AD106" s="490">
        <f t="shared" ref="AD106:AD107" si="63">AC106</f>
        <v>300000</v>
      </c>
      <c r="AE106" s="538"/>
      <c r="AF106" s="539"/>
      <c r="AG106" s="308"/>
      <c r="AH106" s="1240">
        <f>N106+T106+W106+AE106+AF106+AG106+AD106</f>
        <v>785040</v>
      </c>
    </row>
    <row r="107" spans="1:34" ht="15.75" thickBot="1" x14ac:dyDescent="0.3">
      <c r="A107" s="540" t="s">
        <v>360</v>
      </c>
      <c r="B107" s="541"/>
      <c r="C107" s="542"/>
      <c r="D107" s="542"/>
      <c r="E107" s="542"/>
      <c r="F107" s="542"/>
      <c r="G107" s="542"/>
      <c r="H107" s="542"/>
      <c r="I107" s="542"/>
      <c r="J107" s="542"/>
      <c r="K107" s="542"/>
      <c r="L107" s="542"/>
      <c r="M107" s="542">
        <f>(M104+M105+M106)*27%</f>
        <v>211960.80000000002</v>
      </c>
      <c r="N107" s="543">
        <f>SUM(B107:M107)</f>
        <v>211960.80000000002</v>
      </c>
      <c r="O107" s="544"/>
      <c r="P107" s="545"/>
      <c r="Q107" s="545"/>
      <c r="R107" s="545"/>
      <c r="S107" s="545"/>
      <c r="T107" s="546"/>
      <c r="U107" s="547"/>
      <c r="V107" s="548"/>
      <c r="W107" s="549"/>
      <c r="X107" s="550"/>
      <c r="Y107" s="551"/>
      <c r="Z107" s="551"/>
      <c r="AA107" s="551"/>
      <c r="AB107" s="551"/>
      <c r="AC107" s="551">
        <f>SUM(AC104:AC106)*27%</f>
        <v>132991.20000000001</v>
      </c>
      <c r="AD107" s="490">
        <f t="shared" si="63"/>
        <v>132991.20000000001</v>
      </c>
      <c r="AE107" s="553"/>
      <c r="AF107" s="554"/>
      <c r="AG107" s="555"/>
      <c r="AH107" s="1240">
        <f>N107+T107+W107+AE107+AF107+AG107+AD107</f>
        <v>344952</v>
      </c>
    </row>
    <row r="108" spans="1:34" ht="16.5" thickBot="1" x14ac:dyDescent="0.3">
      <c r="A108" s="433" t="s">
        <v>361</v>
      </c>
      <c r="B108" s="434">
        <f t="shared" ref="B108:N108" si="64">SUM(B104:B107)</f>
        <v>0</v>
      </c>
      <c r="C108" s="435">
        <f t="shared" si="64"/>
        <v>0</v>
      </c>
      <c r="D108" s="435">
        <f t="shared" si="64"/>
        <v>0</v>
      </c>
      <c r="E108" s="435">
        <f t="shared" si="64"/>
        <v>0</v>
      </c>
      <c r="F108" s="435">
        <f t="shared" si="64"/>
        <v>0</v>
      </c>
      <c r="G108" s="435">
        <f t="shared" si="64"/>
        <v>0</v>
      </c>
      <c r="H108" s="435">
        <f t="shared" si="64"/>
        <v>0</v>
      </c>
      <c r="I108" s="435">
        <f t="shared" si="64"/>
        <v>0</v>
      </c>
      <c r="J108" s="435">
        <f t="shared" ref="J108:L108" si="65">SUM(J104:J107)</f>
        <v>0</v>
      </c>
      <c r="K108" s="435">
        <f t="shared" si="65"/>
        <v>0</v>
      </c>
      <c r="L108" s="435">
        <f t="shared" si="65"/>
        <v>0</v>
      </c>
      <c r="M108" s="435">
        <f t="shared" si="64"/>
        <v>997000.8</v>
      </c>
      <c r="N108" s="436">
        <f t="shared" si="64"/>
        <v>997000.8</v>
      </c>
      <c r="O108" s="437"/>
      <c r="P108" s="438"/>
      <c r="Q108" s="438"/>
      <c r="R108" s="438"/>
      <c r="S108" s="438"/>
      <c r="T108" s="439">
        <f>SUM(T104:T107)</f>
        <v>0</v>
      </c>
      <c r="U108" s="440"/>
      <c r="V108" s="441">
        <f>SUM(V104:V107)</f>
        <v>0</v>
      </c>
      <c r="W108" s="442">
        <f>SUM(W104:W107)</f>
        <v>0</v>
      </c>
      <c r="X108" s="443"/>
      <c r="Y108" s="444"/>
      <c r="Z108" s="444"/>
      <c r="AA108" s="444"/>
      <c r="AB108" s="444"/>
      <c r="AC108" s="444"/>
      <c r="AD108" s="445">
        <f>SUM(AD104:AD107)</f>
        <v>625551.19999999995</v>
      </c>
      <c r="AE108" s="446">
        <f>SUM(AE104:AE107)</f>
        <v>0</v>
      </c>
      <c r="AF108" s="447">
        <f>SUM(AF104:AF107)</f>
        <v>0</v>
      </c>
      <c r="AG108" s="448">
        <f>SUM(AG104:AG107)</f>
        <v>0</v>
      </c>
      <c r="AH108" s="305">
        <f>N108+T108+W108+AE108+AF108+AG108+AD108</f>
        <v>1622552</v>
      </c>
    </row>
    <row r="109" spans="1:34" x14ac:dyDescent="0.25">
      <c r="A109" s="556" t="s">
        <v>362</v>
      </c>
      <c r="B109" s="557"/>
      <c r="C109" s="558"/>
      <c r="D109" s="558"/>
      <c r="E109" s="558"/>
      <c r="F109" s="558"/>
      <c r="G109" s="558"/>
      <c r="H109" s="558"/>
      <c r="I109" s="558"/>
      <c r="J109" s="558"/>
      <c r="K109" s="558"/>
      <c r="L109" s="558"/>
      <c r="M109" s="558"/>
      <c r="N109" s="466">
        <f>SUM(B109:M109)</f>
        <v>0</v>
      </c>
      <c r="O109" s="467"/>
      <c r="P109" s="468"/>
      <c r="Q109" s="468"/>
      <c r="R109" s="468"/>
      <c r="S109" s="468"/>
      <c r="T109" s="559"/>
      <c r="U109" s="470"/>
      <c r="V109" s="560"/>
      <c r="W109" s="561"/>
      <c r="X109" s="473"/>
      <c r="Y109" s="474"/>
      <c r="Z109" s="474"/>
      <c r="AA109" s="474"/>
      <c r="AB109" s="474"/>
      <c r="AC109" s="474"/>
      <c r="AD109" s="562"/>
      <c r="AE109" s="563"/>
      <c r="AF109" s="564"/>
      <c r="AG109" s="358"/>
      <c r="AH109" s="201">
        <f t="shared" ref="AH109:AH122" si="66">N109+T109+W109+AE109+AF109+AG109</f>
        <v>0</v>
      </c>
    </row>
    <row r="110" spans="1:34" x14ac:dyDescent="0.25">
      <c r="A110" s="478" t="s">
        <v>363</v>
      </c>
      <c r="B110" s="479"/>
      <c r="C110" s="480"/>
      <c r="D110" s="480"/>
      <c r="E110" s="480"/>
      <c r="F110" s="480"/>
      <c r="G110" s="480"/>
      <c r="H110" s="480"/>
      <c r="I110" s="480"/>
      <c r="J110" s="480"/>
      <c r="K110" s="480"/>
      <c r="L110" s="480"/>
      <c r="M110" s="480"/>
      <c r="N110" s="494">
        <f>SUM(B110:M110)</f>
        <v>0</v>
      </c>
      <c r="O110" s="495"/>
      <c r="P110" s="496"/>
      <c r="Q110" s="496"/>
      <c r="R110" s="496"/>
      <c r="S110" s="496"/>
      <c r="T110" s="484"/>
      <c r="U110" s="497"/>
      <c r="V110" s="486"/>
      <c r="W110" s="537"/>
      <c r="X110" s="499"/>
      <c r="Y110" s="500"/>
      <c r="Z110" s="500"/>
      <c r="AA110" s="500"/>
      <c r="AB110" s="500"/>
      <c r="AC110" s="500"/>
      <c r="AD110" s="490"/>
      <c r="AE110" s="538"/>
      <c r="AF110" s="539"/>
      <c r="AG110" s="308"/>
      <c r="AH110" s="215">
        <f t="shared" si="66"/>
        <v>0</v>
      </c>
    </row>
    <row r="111" spans="1:34" x14ac:dyDescent="0.25">
      <c r="A111" s="478" t="s">
        <v>364</v>
      </c>
      <c r="B111" s="479"/>
      <c r="C111" s="480"/>
      <c r="D111" s="480"/>
      <c r="E111" s="480"/>
      <c r="F111" s="480"/>
      <c r="G111" s="480"/>
      <c r="H111" s="480"/>
      <c r="I111" s="480"/>
      <c r="J111" s="480"/>
      <c r="K111" s="480"/>
      <c r="L111" s="480"/>
      <c r="M111" s="480"/>
      <c r="N111" s="494">
        <f>SUM(B111:M111)</f>
        <v>0</v>
      </c>
      <c r="O111" s="495"/>
      <c r="P111" s="496"/>
      <c r="Q111" s="496"/>
      <c r="R111" s="496"/>
      <c r="S111" s="496"/>
      <c r="T111" s="484"/>
      <c r="U111" s="497"/>
      <c r="V111" s="486"/>
      <c r="W111" s="537"/>
      <c r="X111" s="499"/>
      <c r="Y111" s="500"/>
      <c r="Z111" s="500"/>
      <c r="AA111" s="500"/>
      <c r="AB111" s="500"/>
      <c r="AC111" s="500"/>
      <c r="AD111" s="490"/>
      <c r="AE111" s="538"/>
      <c r="AF111" s="539"/>
      <c r="AG111" s="308"/>
      <c r="AH111" s="215">
        <f t="shared" si="66"/>
        <v>0</v>
      </c>
    </row>
    <row r="112" spans="1:34" ht="15.75" thickBot="1" x14ac:dyDescent="0.3">
      <c r="A112" s="540" t="s">
        <v>365</v>
      </c>
      <c r="B112" s="541"/>
      <c r="C112" s="542"/>
      <c r="D112" s="542"/>
      <c r="E112" s="542"/>
      <c r="F112" s="542"/>
      <c r="G112" s="542"/>
      <c r="H112" s="542"/>
      <c r="I112" s="542"/>
      <c r="J112" s="542"/>
      <c r="K112" s="542"/>
      <c r="L112" s="542"/>
      <c r="M112" s="542"/>
      <c r="N112" s="543">
        <f>SUM(B112:M112)</f>
        <v>0</v>
      </c>
      <c r="O112" s="544"/>
      <c r="P112" s="545"/>
      <c r="Q112" s="545"/>
      <c r="R112" s="545"/>
      <c r="S112" s="545"/>
      <c r="T112" s="546"/>
      <c r="U112" s="547"/>
      <c r="V112" s="548"/>
      <c r="W112" s="549"/>
      <c r="X112" s="550"/>
      <c r="Y112" s="551"/>
      <c r="Z112" s="551"/>
      <c r="AA112" s="551"/>
      <c r="AB112" s="551"/>
      <c r="AC112" s="551"/>
      <c r="AD112" s="552"/>
      <c r="AE112" s="553"/>
      <c r="AF112" s="554"/>
      <c r="AG112" s="555"/>
      <c r="AH112" s="241">
        <f t="shared" si="66"/>
        <v>0</v>
      </c>
    </row>
    <row r="113" spans="1:35" ht="16.5" thickBot="1" x14ac:dyDescent="0.3">
      <c r="A113" s="433" t="s">
        <v>366</v>
      </c>
      <c r="B113" s="434">
        <f t="shared" ref="B113:N113" si="67">SUM(B109:B112)</f>
        <v>0</v>
      </c>
      <c r="C113" s="435">
        <f t="shared" si="67"/>
        <v>0</v>
      </c>
      <c r="D113" s="435">
        <f t="shared" si="67"/>
        <v>0</v>
      </c>
      <c r="E113" s="435">
        <f t="shared" si="67"/>
        <v>0</v>
      </c>
      <c r="F113" s="435">
        <f t="shared" si="67"/>
        <v>0</v>
      </c>
      <c r="G113" s="435">
        <f t="shared" si="67"/>
        <v>0</v>
      </c>
      <c r="H113" s="435">
        <f t="shared" si="67"/>
        <v>0</v>
      </c>
      <c r="I113" s="435">
        <f t="shared" si="67"/>
        <v>0</v>
      </c>
      <c r="J113" s="435">
        <f t="shared" si="67"/>
        <v>0</v>
      </c>
      <c r="K113" s="435">
        <f t="shared" si="67"/>
        <v>0</v>
      </c>
      <c r="L113" s="435">
        <f t="shared" si="67"/>
        <v>0</v>
      </c>
      <c r="M113" s="435">
        <f t="shared" si="67"/>
        <v>0</v>
      </c>
      <c r="N113" s="436">
        <f t="shared" si="67"/>
        <v>0</v>
      </c>
      <c r="O113" s="437"/>
      <c r="P113" s="438"/>
      <c r="Q113" s="438"/>
      <c r="R113" s="438"/>
      <c r="S113" s="438"/>
      <c r="T113" s="439">
        <f>SUM(T109:T112)</f>
        <v>0</v>
      </c>
      <c r="U113" s="440"/>
      <c r="V113" s="441">
        <f>SUM(V109:V112)</f>
        <v>0</v>
      </c>
      <c r="W113" s="442">
        <f>SUM(W109:W112)</f>
        <v>0</v>
      </c>
      <c r="X113" s="443"/>
      <c r="Y113" s="444"/>
      <c r="Z113" s="444"/>
      <c r="AA113" s="444"/>
      <c r="AB113" s="444"/>
      <c r="AC113" s="444"/>
      <c r="AD113" s="445">
        <f>SUM(AD109:AD112)</f>
        <v>0</v>
      </c>
      <c r="AE113" s="446">
        <f>SUM(AE109:AE112)</f>
        <v>0</v>
      </c>
      <c r="AF113" s="447">
        <f>SUM(AF109:AF112)</f>
        <v>0</v>
      </c>
      <c r="AG113" s="448">
        <f>SUM(AG109:AG112)</f>
        <v>0</v>
      </c>
      <c r="AH113" s="305">
        <f t="shared" si="66"/>
        <v>0</v>
      </c>
    </row>
    <row r="114" spans="1:35" ht="30.75" thickBot="1" x14ac:dyDescent="0.3">
      <c r="A114" s="339" t="s">
        <v>367</v>
      </c>
      <c r="B114" s="340"/>
      <c r="C114" s="341"/>
      <c r="D114" s="341"/>
      <c r="E114" s="341"/>
      <c r="F114" s="341"/>
      <c r="G114" s="341"/>
      <c r="H114" s="341"/>
      <c r="I114" s="341"/>
      <c r="J114" s="341"/>
      <c r="K114" s="341"/>
      <c r="L114" s="341"/>
      <c r="M114" s="341"/>
      <c r="N114" s="246">
        <f>SUM(B114:M114)</f>
        <v>0</v>
      </c>
      <c r="O114" s="247"/>
      <c r="P114" s="248"/>
      <c r="Q114" s="248"/>
      <c r="R114" s="248"/>
      <c r="S114" s="248"/>
      <c r="T114" s="249"/>
      <c r="U114" s="250"/>
      <c r="V114" s="251"/>
      <c r="W114" s="252"/>
      <c r="X114" s="253"/>
      <c r="Y114" s="254"/>
      <c r="Z114" s="254"/>
      <c r="AA114" s="254"/>
      <c r="AB114" s="254"/>
      <c r="AC114" s="254"/>
      <c r="AD114" s="255"/>
      <c r="AE114" s="256"/>
      <c r="AF114" s="257"/>
      <c r="AG114" s="258"/>
      <c r="AH114" s="258">
        <f t="shared" si="66"/>
        <v>0</v>
      </c>
    </row>
    <row r="115" spans="1:35" ht="30.75" thickBot="1" x14ac:dyDescent="0.3">
      <c r="A115" s="339" t="s">
        <v>368</v>
      </c>
      <c r="B115" s="340"/>
      <c r="C115" s="341"/>
      <c r="D115" s="341"/>
      <c r="E115" s="341"/>
      <c r="F115" s="341"/>
      <c r="G115" s="341"/>
      <c r="H115" s="341"/>
      <c r="I115" s="341"/>
      <c r="J115" s="341"/>
      <c r="K115" s="341"/>
      <c r="L115" s="341"/>
      <c r="M115" s="341"/>
      <c r="N115" s="246">
        <f>SUM(B115:M115)</f>
        <v>0</v>
      </c>
      <c r="O115" s="247"/>
      <c r="P115" s="248"/>
      <c r="Q115" s="248"/>
      <c r="R115" s="248"/>
      <c r="S115" s="248"/>
      <c r="T115" s="249"/>
      <c r="U115" s="250"/>
      <c r="V115" s="251"/>
      <c r="W115" s="252"/>
      <c r="X115" s="253"/>
      <c r="Y115" s="254"/>
      <c r="Z115" s="254"/>
      <c r="AA115" s="254"/>
      <c r="AB115" s="254"/>
      <c r="AC115" s="254"/>
      <c r="AD115" s="255"/>
      <c r="AE115" s="256"/>
      <c r="AF115" s="257"/>
      <c r="AG115" s="258"/>
      <c r="AH115" s="258">
        <f t="shared" si="66"/>
        <v>0</v>
      </c>
    </row>
    <row r="116" spans="1:35" ht="16.5" thickBot="1" x14ac:dyDescent="0.3">
      <c r="A116" s="433" t="s">
        <v>369</v>
      </c>
      <c r="B116" s="434">
        <f t="shared" ref="B116:N116" si="68">SUM(B114:B115)</f>
        <v>0</v>
      </c>
      <c r="C116" s="435">
        <f t="shared" si="68"/>
        <v>0</v>
      </c>
      <c r="D116" s="435">
        <f t="shared" si="68"/>
        <v>0</v>
      </c>
      <c r="E116" s="435">
        <f t="shared" si="68"/>
        <v>0</v>
      </c>
      <c r="F116" s="435">
        <f t="shared" si="68"/>
        <v>0</v>
      </c>
      <c r="G116" s="435">
        <f t="shared" si="68"/>
        <v>0</v>
      </c>
      <c r="H116" s="435">
        <f t="shared" si="68"/>
        <v>0</v>
      </c>
      <c r="I116" s="435">
        <f t="shared" si="68"/>
        <v>0</v>
      </c>
      <c r="J116" s="435">
        <f t="shared" si="68"/>
        <v>0</v>
      </c>
      <c r="K116" s="435">
        <f t="shared" si="68"/>
        <v>0</v>
      </c>
      <c r="L116" s="435">
        <f t="shared" si="68"/>
        <v>0</v>
      </c>
      <c r="M116" s="435">
        <f t="shared" si="68"/>
        <v>0</v>
      </c>
      <c r="N116" s="436">
        <f t="shared" si="68"/>
        <v>0</v>
      </c>
      <c r="O116" s="437"/>
      <c r="P116" s="438"/>
      <c r="Q116" s="438"/>
      <c r="R116" s="438"/>
      <c r="S116" s="438"/>
      <c r="T116" s="439">
        <f>SUM(T114:T115)</f>
        <v>0</v>
      </c>
      <c r="U116" s="440"/>
      <c r="V116" s="441">
        <f>SUM(V114:V115)</f>
        <v>0</v>
      </c>
      <c r="W116" s="442">
        <f>SUM(W114:W115)</f>
        <v>0</v>
      </c>
      <c r="X116" s="443"/>
      <c r="Y116" s="444"/>
      <c r="Z116" s="444"/>
      <c r="AA116" s="444"/>
      <c r="AB116" s="444"/>
      <c r="AC116" s="444"/>
      <c r="AD116" s="445">
        <f>SUM(AD114:AD115)</f>
        <v>0</v>
      </c>
      <c r="AE116" s="446">
        <f>SUM(AE114:AE115)</f>
        <v>0</v>
      </c>
      <c r="AF116" s="447">
        <f>SUM(AF114:AF115)</f>
        <v>0</v>
      </c>
      <c r="AG116" s="448">
        <f>SUM(AG114:AG115)</f>
        <v>0</v>
      </c>
      <c r="AH116" s="305">
        <f t="shared" si="66"/>
        <v>0</v>
      </c>
    </row>
    <row r="117" spans="1:35" ht="30.75" thickBot="1" x14ac:dyDescent="0.3">
      <c r="A117" s="565" t="s">
        <v>370</v>
      </c>
      <c r="B117" s="566"/>
      <c r="C117" s="567"/>
      <c r="D117" s="567"/>
      <c r="E117" s="567"/>
      <c r="F117" s="567"/>
      <c r="G117" s="567"/>
      <c r="H117" s="567"/>
      <c r="I117" s="567"/>
      <c r="J117" s="567"/>
      <c r="K117" s="567"/>
      <c r="L117" s="567"/>
      <c r="M117" s="567"/>
      <c r="N117" s="246">
        <f>SUM(B117:M117)</f>
        <v>0</v>
      </c>
      <c r="O117" s="247"/>
      <c r="P117" s="248"/>
      <c r="Q117" s="248"/>
      <c r="R117" s="248"/>
      <c r="S117" s="248"/>
      <c r="T117" s="568"/>
      <c r="U117" s="250"/>
      <c r="V117" s="569"/>
      <c r="W117" s="252"/>
      <c r="X117" s="253"/>
      <c r="Y117" s="254"/>
      <c r="Z117" s="254"/>
      <c r="AA117" s="254"/>
      <c r="AB117" s="254"/>
      <c r="AC117" s="254"/>
      <c r="AD117" s="570"/>
      <c r="AE117" s="256"/>
      <c r="AF117" s="257"/>
      <c r="AG117" s="258"/>
      <c r="AH117" s="258">
        <f t="shared" si="66"/>
        <v>0</v>
      </c>
    </row>
    <row r="118" spans="1:35" ht="15.75" thickBot="1" x14ac:dyDescent="0.3">
      <c r="A118" s="571" t="s">
        <v>371</v>
      </c>
      <c r="B118" s="572">
        <f t="shared" ref="B118:N118" si="69">B117</f>
        <v>0</v>
      </c>
      <c r="C118" s="573">
        <f t="shared" si="69"/>
        <v>0</v>
      </c>
      <c r="D118" s="573">
        <f t="shared" si="69"/>
        <v>0</v>
      </c>
      <c r="E118" s="573">
        <f t="shared" si="69"/>
        <v>0</v>
      </c>
      <c r="F118" s="573">
        <f t="shared" si="69"/>
        <v>0</v>
      </c>
      <c r="G118" s="573">
        <f t="shared" si="69"/>
        <v>0</v>
      </c>
      <c r="H118" s="573">
        <f t="shared" si="69"/>
        <v>0</v>
      </c>
      <c r="I118" s="573">
        <f t="shared" si="69"/>
        <v>0</v>
      </c>
      <c r="J118" s="573">
        <f t="shared" si="69"/>
        <v>0</v>
      </c>
      <c r="K118" s="573">
        <f t="shared" si="69"/>
        <v>0</v>
      </c>
      <c r="L118" s="573">
        <f t="shared" si="69"/>
        <v>0</v>
      </c>
      <c r="M118" s="573">
        <f t="shared" si="69"/>
        <v>0</v>
      </c>
      <c r="N118" s="574">
        <f t="shared" si="69"/>
        <v>0</v>
      </c>
      <c r="O118" s="575"/>
      <c r="P118" s="576"/>
      <c r="Q118" s="576"/>
      <c r="R118" s="576"/>
      <c r="S118" s="576"/>
      <c r="T118" s="577">
        <f>T117</f>
        <v>0</v>
      </c>
      <c r="U118" s="578"/>
      <c r="V118" s="579">
        <f>V117</f>
        <v>0</v>
      </c>
      <c r="W118" s="580">
        <f>W117</f>
        <v>0</v>
      </c>
      <c r="X118" s="581"/>
      <c r="Y118" s="582"/>
      <c r="Z118" s="582"/>
      <c r="AA118" s="582"/>
      <c r="AB118" s="582"/>
      <c r="AC118" s="582"/>
      <c r="AD118" s="583">
        <f>AD117</f>
        <v>0</v>
      </c>
      <c r="AE118" s="584">
        <f>AE117</f>
        <v>0</v>
      </c>
      <c r="AF118" s="585">
        <f>AF117</f>
        <v>0</v>
      </c>
      <c r="AG118" s="586">
        <f>AG117</f>
        <v>0</v>
      </c>
      <c r="AH118" s="258">
        <f t="shared" si="66"/>
        <v>0</v>
      </c>
    </row>
    <row r="119" spans="1:35" ht="30.75" thickBot="1" x14ac:dyDescent="0.3">
      <c r="A119" s="571" t="s">
        <v>372</v>
      </c>
      <c r="B119" s="572"/>
      <c r="C119" s="573"/>
      <c r="D119" s="573"/>
      <c r="E119" s="573"/>
      <c r="F119" s="573"/>
      <c r="G119" s="573"/>
      <c r="H119" s="573"/>
      <c r="I119" s="573"/>
      <c r="J119" s="573"/>
      <c r="K119" s="573"/>
      <c r="L119" s="573"/>
      <c r="M119" s="573"/>
      <c r="N119" s="246">
        <f>SUM(B119:M119)</f>
        <v>0</v>
      </c>
      <c r="O119" s="247"/>
      <c r="P119" s="248"/>
      <c r="Q119" s="248"/>
      <c r="R119" s="248"/>
      <c r="S119" s="248"/>
      <c r="T119" s="577"/>
      <c r="U119" s="250"/>
      <c r="V119" s="579"/>
      <c r="W119" s="587"/>
      <c r="X119" s="253"/>
      <c r="Y119" s="254"/>
      <c r="Z119" s="254"/>
      <c r="AA119" s="254"/>
      <c r="AB119" s="254"/>
      <c r="AC119" s="254"/>
      <c r="AD119" s="583"/>
      <c r="AE119" s="588"/>
      <c r="AF119" s="589"/>
      <c r="AG119" s="590"/>
      <c r="AH119" s="258">
        <f t="shared" si="66"/>
        <v>0</v>
      </c>
    </row>
    <row r="120" spans="1:35" ht="15.75" thickBot="1" x14ac:dyDescent="0.3">
      <c r="A120" s="571" t="s">
        <v>373</v>
      </c>
      <c r="B120" s="572"/>
      <c r="C120" s="573"/>
      <c r="D120" s="573"/>
      <c r="E120" s="573"/>
      <c r="F120" s="573"/>
      <c r="G120" s="573"/>
      <c r="H120" s="573"/>
      <c r="I120" s="573"/>
      <c r="J120" s="573"/>
      <c r="K120" s="573"/>
      <c r="L120" s="573"/>
      <c r="M120" s="573"/>
      <c r="N120" s="246">
        <f>SUM(B120:M120)</f>
        <v>0</v>
      </c>
      <c r="O120" s="247"/>
      <c r="P120" s="248"/>
      <c r="Q120" s="248"/>
      <c r="R120" s="248"/>
      <c r="S120" s="248"/>
      <c r="T120" s="577"/>
      <c r="U120" s="250"/>
      <c r="V120" s="579"/>
      <c r="W120" s="591"/>
      <c r="X120" s="253"/>
      <c r="Y120" s="254"/>
      <c r="Z120" s="254"/>
      <c r="AA120" s="254"/>
      <c r="AB120" s="254"/>
      <c r="AC120" s="254"/>
      <c r="AD120" s="583"/>
      <c r="AE120" s="592"/>
      <c r="AF120" s="593"/>
      <c r="AG120" s="594"/>
      <c r="AH120" s="258">
        <f t="shared" si="66"/>
        <v>0</v>
      </c>
    </row>
    <row r="121" spans="1:35" ht="15.75" thickBot="1" x14ac:dyDescent="0.3">
      <c r="A121" s="339" t="s">
        <v>374</v>
      </c>
      <c r="B121" s="340">
        <f t="shared" ref="B121:N121" si="70">B118+B119+B120</f>
        <v>0</v>
      </c>
      <c r="C121" s="341">
        <f t="shared" si="70"/>
        <v>0</v>
      </c>
      <c r="D121" s="341">
        <f t="shared" si="70"/>
        <v>0</v>
      </c>
      <c r="E121" s="341">
        <f t="shared" si="70"/>
        <v>0</v>
      </c>
      <c r="F121" s="341">
        <f t="shared" si="70"/>
        <v>0</v>
      </c>
      <c r="G121" s="341">
        <f t="shared" si="70"/>
        <v>0</v>
      </c>
      <c r="H121" s="341">
        <f t="shared" si="70"/>
        <v>0</v>
      </c>
      <c r="I121" s="341">
        <f t="shared" si="70"/>
        <v>0</v>
      </c>
      <c r="J121" s="341">
        <f t="shared" si="70"/>
        <v>0</v>
      </c>
      <c r="K121" s="341">
        <f t="shared" si="70"/>
        <v>0</v>
      </c>
      <c r="L121" s="341">
        <f t="shared" si="70"/>
        <v>0</v>
      </c>
      <c r="M121" s="341">
        <f t="shared" si="70"/>
        <v>0</v>
      </c>
      <c r="N121" s="342">
        <f t="shared" si="70"/>
        <v>0</v>
      </c>
      <c r="O121" s="410"/>
      <c r="P121" s="343"/>
      <c r="Q121" s="343"/>
      <c r="R121" s="343"/>
      <c r="S121" s="343"/>
      <c r="T121" s="249">
        <f>T118+T119+T120</f>
        <v>0</v>
      </c>
      <c r="U121" s="377"/>
      <c r="V121" s="251">
        <f>V118+V119+V120</f>
        <v>0</v>
      </c>
      <c r="W121" s="345">
        <f>W118+W119+W120</f>
        <v>0</v>
      </c>
      <c r="X121" s="346"/>
      <c r="Y121" s="347"/>
      <c r="Z121" s="347"/>
      <c r="AA121" s="347"/>
      <c r="AB121" s="347"/>
      <c r="AC121" s="347"/>
      <c r="AD121" s="255">
        <f>AD118+AD119+AD120</f>
        <v>0</v>
      </c>
      <c r="AE121" s="348">
        <f>AE118+AE119+AE120</f>
        <v>0</v>
      </c>
      <c r="AF121" s="349">
        <f>AF118+AF119+AF120</f>
        <v>0</v>
      </c>
      <c r="AG121" s="351">
        <f>AG118+AG119+AG120</f>
        <v>0</v>
      </c>
      <c r="AH121" s="258">
        <f t="shared" si="66"/>
        <v>0</v>
      </c>
    </row>
    <row r="122" spans="1:35" ht="16.5" thickBot="1" x14ac:dyDescent="0.3">
      <c r="A122" s="433" t="s">
        <v>375</v>
      </c>
      <c r="B122" s="434">
        <f t="shared" ref="B122:N122" si="71">B121</f>
        <v>0</v>
      </c>
      <c r="C122" s="435">
        <f t="shared" si="71"/>
        <v>0</v>
      </c>
      <c r="D122" s="435">
        <f t="shared" si="71"/>
        <v>0</v>
      </c>
      <c r="E122" s="435">
        <f t="shared" si="71"/>
        <v>0</v>
      </c>
      <c r="F122" s="435">
        <f t="shared" si="71"/>
        <v>0</v>
      </c>
      <c r="G122" s="435">
        <f t="shared" si="71"/>
        <v>0</v>
      </c>
      <c r="H122" s="435">
        <f t="shared" si="71"/>
        <v>0</v>
      </c>
      <c r="I122" s="435">
        <f t="shared" si="71"/>
        <v>0</v>
      </c>
      <c r="J122" s="435">
        <f t="shared" si="71"/>
        <v>0</v>
      </c>
      <c r="K122" s="435">
        <f t="shared" si="71"/>
        <v>0</v>
      </c>
      <c r="L122" s="435">
        <f t="shared" si="71"/>
        <v>0</v>
      </c>
      <c r="M122" s="435">
        <f t="shared" si="71"/>
        <v>0</v>
      </c>
      <c r="N122" s="436">
        <f t="shared" si="71"/>
        <v>0</v>
      </c>
      <c r="O122" s="437"/>
      <c r="P122" s="438"/>
      <c r="Q122" s="438"/>
      <c r="R122" s="438"/>
      <c r="S122" s="438"/>
      <c r="T122" s="439">
        <f>T121</f>
        <v>0</v>
      </c>
      <c r="U122" s="440"/>
      <c r="V122" s="441">
        <f>V121</f>
        <v>0</v>
      </c>
      <c r="W122" s="442">
        <f>W121</f>
        <v>0</v>
      </c>
      <c r="X122" s="443"/>
      <c r="Y122" s="444"/>
      <c r="Z122" s="444"/>
      <c r="AA122" s="444"/>
      <c r="AB122" s="444"/>
      <c r="AC122" s="444"/>
      <c r="AD122" s="445">
        <f>AD121</f>
        <v>0</v>
      </c>
      <c r="AE122" s="446">
        <f>AE121</f>
        <v>0</v>
      </c>
      <c r="AF122" s="447">
        <f>AF121</f>
        <v>0</v>
      </c>
      <c r="AG122" s="448">
        <f>AG121</f>
        <v>0</v>
      </c>
      <c r="AH122" s="305">
        <f t="shared" si="66"/>
        <v>0</v>
      </c>
    </row>
    <row r="123" spans="1:35" ht="19.5" thickBot="1" x14ac:dyDescent="0.3">
      <c r="A123" s="945" t="s">
        <v>376</v>
      </c>
      <c r="B123" s="946">
        <f t="shared" ref="B123:AB123" si="72">B18+B26+B80+B95+B103+B108+B113+B116+B122</f>
        <v>2218699</v>
      </c>
      <c r="C123" s="947">
        <f t="shared" si="72"/>
        <v>1983699</v>
      </c>
      <c r="D123" s="947">
        <f t="shared" si="72"/>
        <v>8242307.5</v>
      </c>
      <c r="E123" s="947">
        <f t="shared" si="72"/>
        <v>0</v>
      </c>
      <c r="F123" s="947">
        <f t="shared" si="72"/>
        <v>5659140</v>
      </c>
      <c r="G123" s="947">
        <f t="shared" si="72"/>
        <v>4850975</v>
      </c>
      <c r="H123" s="947">
        <f t="shared" si="72"/>
        <v>4146196.5625</v>
      </c>
      <c r="I123" s="947">
        <f t="shared" si="72"/>
        <v>1304700</v>
      </c>
      <c r="J123" s="947">
        <f t="shared" si="72"/>
        <v>732040.625</v>
      </c>
      <c r="K123" s="947">
        <f t="shared" si="72"/>
        <v>1363000</v>
      </c>
      <c r="L123" s="947">
        <f t="shared" si="72"/>
        <v>1512930</v>
      </c>
      <c r="M123" s="947">
        <f t="shared" si="72"/>
        <v>14940456.256250001</v>
      </c>
      <c r="N123" s="948">
        <f t="shared" si="72"/>
        <v>46954143.943749994</v>
      </c>
      <c r="O123" s="946">
        <f t="shared" si="72"/>
        <v>2199002.7749999999</v>
      </c>
      <c r="P123" s="947">
        <f t="shared" si="72"/>
        <v>3982137.5</v>
      </c>
      <c r="Q123" s="947">
        <f t="shared" si="72"/>
        <v>0</v>
      </c>
      <c r="R123" s="947">
        <f t="shared" si="72"/>
        <v>0</v>
      </c>
      <c r="S123" s="947">
        <f t="shared" si="72"/>
        <v>1846021.9075</v>
      </c>
      <c r="T123" s="948">
        <f t="shared" si="72"/>
        <v>8027162.1825000001</v>
      </c>
      <c r="U123" s="946">
        <f t="shared" si="72"/>
        <v>0</v>
      </c>
      <c r="V123" s="948">
        <f>V18+V26+V80+V95+V103+V108+V113+V116+V122</f>
        <v>0</v>
      </c>
      <c r="W123" s="949">
        <f t="shared" si="72"/>
        <v>0</v>
      </c>
      <c r="X123" s="946">
        <f t="shared" si="72"/>
        <v>1160797.1875</v>
      </c>
      <c r="Y123" s="947">
        <f t="shared" si="72"/>
        <v>1304700</v>
      </c>
      <c r="Z123" s="947">
        <f t="shared" si="72"/>
        <v>3159750</v>
      </c>
      <c r="AA123" s="947">
        <f t="shared" si="72"/>
        <v>2326500</v>
      </c>
      <c r="AB123" s="947">
        <f t="shared" si="72"/>
        <v>6000000</v>
      </c>
      <c r="AC123" s="947">
        <f>AC18+AC26+AC80+AC95+AC103+AC108+AC113+AC116+AC122</f>
        <v>26858449.71875</v>
      </c>
      <c r="AD123" s="948">
        <f>AD18+AD26+AD80+AD95+AD103+AD108+AD113+AD116+AD122</f>
        <v>41435748.106250003</v>
      </c>
      <c r="AE123" s="950">
        <f>AE18+AE26+AE80+AE95+AE103+AE108+AE113+AE116+AE122</f>
        <v>0</v>
      </c>
      <c r="AF123" s="950">
        <f>AF18+AF26+AF80+AF95+AF103+AF108+AF113+AF116+AF122</f>
        <v>0</v>
      </c>
      <c r="AG123" s="949">
        <f>AG18+AG26+AG80+AG95+AG103+AG108+AG113+AG116+AG122</f>
        <v>0</v>
      </c>
      <c r="AH123" s="951">
        <f>N123+T123+W123+AE123+AF123+AG123+V123+AD123</f>
        <v>96417054.232499987</v>
      </c>
      <c r="AI123" s="943">
        <f>AH18+AH26+AH80+AH108</f>
        <v>96417054.232500002</v>
      </c>
    </row>
    <row r="124" spans="1:35" ht="30" x14ac:dyDescent="0.25">
      <c r="A124" s="411" t="s">
        <v>377</v>
      </c>
      <c r="B124" s="412"/>
      <c r="C124" s="413"/>
      <c r="D124" s="413"/>
      <c r="E124" s="413"/>
      <c r="F124" s="413"/>
      <c r="G124" s="413"/>
      <c r="H124" s="413"/>
      <c r="I124" s="413"/>
      <c r="J124" s="413"/>
      <c r="K124" s="413"/>
      <c r="L124" s="413"/>
      <c r="M124" s="413"/>
      <c r="N124" s="466">
        <f t="shared" ref="N124:N129" si="73">SUM(B124:M124)</f>
        <v>0</v>
      </c>
      <c r="O124" s="467"/>
      <c r="P124" s="468"/>
      <c r="Q124" s="468"/>
      <c r="R124" s="468"/>
      <c r="S124" s="468"/>
      <c r="T124" s="469"/>
      <c r="U124" s="470"/>
      <c r="V124" s="471"/>
      <c r="W124" s="472"/>
      <c r="X124" s="473"/>
      <c r="Y124" s="474"/>
      <c r="Z124" s="474"/>
      <c r="AA124" s="474"/>
      <c r="AB124" s="474"/>
      <c r="AC124" s="474"/>
      <c r="AD124" s="475"/>
      <c r="AE124" s="476"/>
      <c r="AF124" s="477"/>
      <c r="AG124" s="424"/>
      <c r="AH124" s="201">
        <f t="shared" ref="AH124:AH159" si="74">N124+T124+W124+AE124+AF124+AG124</f>
        <v>0</v>
      </c>
    </row>
    <row r="125" spans="1:35" ht="30" x14ac:dyDescent="0.25">
      <c r="A125" s="310" t="s">
        <v>378</v>
      </c>
      <c r="B125" s="311"/>
      <c r="C125" s="312"/>
      <c r="D125" s="312"/>
      <c r="E125" s="312"/>
      <c r="F125" s="312"/>
      <c r="G125" s="312"/>
      <c r="H125" s="312"/>
      <c r="I125" s="312"/>
      <c r="J125" s="312"/>
      <c r="K125" s="312"/>
      <c r="L125" s="312"/>
      <c r="M125" s="312"/>
      <c r="N125" s="494">
        <f t="shared" si="73"/>
        <v>0</v>
      </c>
      <c r="O125" s="495"/>
      <c r="P125" s="496"/>
      <c r="Q125" s="496"/>
      <c r="R125" s="496"/>
      <c r="S125" s="496"/>
      <c r="T125" s="380"/>
      <c r="U125" s="497"/>
      <c r="V125" s="381"/>
      <c r="W125" s="498"/>
      <c r="X125" s="499"/>
      <c r="Y125" s="500"/>
      <c r="Z125" s="500"/>
      <c r="AA125" s="500"/>
      <c r="AB125" s="500"/>
      <c r="AC125" s="500"/>
      <c r="AD125" s="383"/>
      <c r="AE125" s="501"/>
      <c r="AF125" s="502"/>
      <c r="AG125" s="388"/>
      <c r="AH125" s="215">
        <f t="shared" si="74"/>
        <v>0</v>
      </c>
    </row>
    <row r="126" spans="1:35" ht="45" x14ac:dyDescent="0.25">
      <c r="A126" s="310" t="s">
        <v>379</v>
      </c>
      <c r="B126" s="311"/>
      <c r="C126" s="312"/>
      <c r="D126" s="312"/>
      <c r="E126" s="312"/>
      <c r="F126" s="312"/>
      <c r="G126" s="312"/>
      <c r="H126" s="312"/>
      <c r="I126" s="312"/>
      <c r="J126" s="312"/>
      <c r="K126" s="312"/>
      <c r="L126" s="312"/>
      <c r="M126" s="312"/>
      <c r="N126" s="494">
        <f t="shared" si="73"/>
        <v>0</v>
      </c>
      <c r="O126" s="495"/>
      <c r="P126" s="496"/>
      <c r="Q126" s="496"/>
      <c r="R126" s="496"/>
      <c r="S126" s="496"/>
      <c r="T126" s="380"/>
      <c r="U126" s="497"/>
      <c r="V126" s="381"/>
      <c r="W126" s="498"/>
      <c r="X126" s="499"/>
      <c r="Y126" s="500"/>
      <c r="Z126" s="500"/>
      <c r="AA126" s="500"/>
      <c r="AB126" s="500"/>
      <c r="AC126" s="500"/>
      <c r="AD126" s="383"/>
      <c r="AE126" s="501"/>
      <c r="AF126" s="502"/>
      <c r="AG126" s="388"/>
      <c r="AH126" s="215">
        <f t="shared" si="74"/>
        <v>0</v>
      </c>
    </row>
    <row r="127" spans="1:35" ht="30" x14ac:dyDescent="0.25">
      <c r="A127" s="310" t="s">
        <v>380</v>
      </c>
      <c r="B127" s="311"/>
      <c r="C127" s="312"/>
      <c r="D127" s="312"/>
      <c r="E127" s="312"/>
      <c r="F127" s="312"/>
      <c r="G127" s="312"/>
      <c r="H127" s="312"/>
      <c r="I127" s="312"/>
      <c r="J127" s="312"/>
      <c r="K127" s="312"/>
      <c r="L127" s="312"/>
      <c r="M127" s="312"/>
      <c r="N127" s="494">
        <f t="shared" si="73"/>
        <v>0</v>
      </c>
      <c r="O127" s="495"/>
      <c r="P127" s="496"/>
      <c r="Q127" s="496"/>
      <c r="R127" s="496"/>
      <c r="S127" s="496"/>
      <c r="T127" s="380"/>
      <c r="U127" s="497"/>
      <c r="V127" s="381"/>
      <c r="W127" s="498"/>
      <c r="X127" s="499"/>
      <c r="Y127" s="500"/>
      <c r="Z127" s="500"/>
      <c r="AA127" s="500"/>
      <c r="AB127" s="500"/>
      <c r="AC127" s="500"/>
      <c r="AD127" s="383"/>
      <c r="AE127" s="501"/>
      <c r="AF127" s="502"/>
      <c r="AG127" s="388"/>
      <c r="AH127" s="215">
        <f t="shared" si="74"/>
        <v>0</v>
      </c>
    </row>
    <row r="128" spans="1:35" ht="30" x14ac:dyDescent="0.25">
      <c r="A128" s="310" t="s">
        <v>381</v>
      </c>
      <c r="B128" s="311"/>
      <c r="C128" s="312"/>
      <c r="D128" s="312"/>
      <c r="E128" s="312"/>
      <c r="F128" s="312"/>
      <c r="G128" s="312"/>
      <c r="H128" s="312"/>
      <c r="I128" s="312"/>
      <c r="J128" s="312"/>
      <c r="K128" s="312"/>
      <c r="L128" s="312"/>
      <c r="M128" s="312"/>
      <c r="N128" s="494">
        <f t="shared" si="73"/>
        <v>0</v>
      </c>
      <c r="O128" s="495"/>
      <c r="P128" s="496"/>
      <c r="Q128" s="496"/>
      <c r="R128" s="496"/>
      <c r="S128" s="496"/>
      <c r="T128" s="380"/>
      <c r="U128" s="497"/>
      <c r="V128" s="381"/>
      <c r="W128" s="498"/>
      <c r="X128" s="499"/>
      <c r="Y128" s="500"/>
      <c r="Z128" s="500"/>
      <c r="AA128" s="500"/>
      <c r="AB128" s="500"/>
      <c r="AC128" s="500"/>
      <c r="AD128" s="383"/>
      <c r="AE128" s="501"/>
      <c r="AF128" s="502"/>
      <c r="AG128" s="388"/>
      <c r="AH128" s="215">
        <f t="shared" si="74"/>
        <v>0</v>
      </c>
    </row>
    <row r="129" spans="1:34" ht="30" x14ac:dyDescent="0.25">
      <c r="A129" s="310" t="s">
        <v>382</v>
      </c>
      <c r="B129" s="311"/>
      <c r="C129" s="312"/>
      <c r="D129" s="312"/>
      <c r="E129" s="312"/>
      <c r="F129" s="312"/>
      <c r="G129" s="312"/>
      <c r="H129" s="312"/>
      <c r="I129" s="312"/>
      <c r="J129" s="312"/>
      <c r="K129" s="312"/>
      <c r="L129" s="312"/>
      <c r="M129" s="312"/>
      <c r="N129" s="494">
        <f t="shared" si="73"/>
        <v>0</v>
      </c>
      <c r="O129" s="495"/>
      <c r="P129" s="496"/>
      <c r="Q129" s="496"/>
      <c r="R129" s="496"/>
      <c r="S129" s="496"/>
      <c r="T129" s="380"/>
      <c r="U129" s="497"/>
      <c r="V129" s="381"/>
      <c r="W129" s="498"/>
      <c r="X129" s="499"/>
      <c r="Y129" s="500"/>
      <c r="Z129" s="500"/>
      <c r="AA129" s="500"/>
      <c r="AB129" s="500"/>
      <c r="AC129" s="500"/>
      <c r="AD129" s="383"/>
      <c r="AE129" s="501"/>
      <c r="AF129" s="502"/>
      <c r="AG129" s="388"/>
      <c r="AH129" s="215">
        <f t="shared" si="74"/>
        <v>0</v>
      </c>
    </row>
    <row r="130" spans="1:34" x14ac:dyDescent="0.25">
      <c r="A130" s="478" t="s">
        <v>383</v>
      </c>
      <c r="B130" s="479">
        <f t="shared" ref="B130:N130" si="75">SUM(B124:B129)</f>
        <v>0</v>
      </c>
      <c r="C130" s="480">
        <f t="shared" si="75"/>
        <v>0</v>
      </c>
      <c r="D130" s="480">
        <f t="shared" si="75"/>
        <v>0</v>
      </c>
      <c r="E130" s="480">
        <f t="shared" si="75"/>
        <v>0</v>
      </c>
      <c r="F130" s="480">
        <f t="shared" si="75"/>
        <v>0</v>
      </c>
      <c r="G130" s="480">
        <f t="shared" si="75"/>
        <v>0</v>
      </c>
      <c r="H130" s="480">
        <f t="shared" si="75"/>
        <v>0</v>
      </c>
      <c r="I130" s="480">
        <f t="shared" si="75"/>
        <v>0</v>
      </c>
      <c r="J130" s="480">
        <f t="shared" si="75"/>
        <v>0</v>
      </c>
      <c r="K130" s="480">
        <f t="shared" si="75"/>
        <v>0</v>
      </c>
      <c r="L130" s="480">
        <f t="shared" si="75"/>
        <v>0</v>
      </c>
      <c r="M130" s="480">
        <f t="shared" si="75"/>
        <v>0</v>
      </c>
      <c r="N130" s="481">
        <f t="shared" si="75"/>
        <v>0</v>
      </c>
      <c r="O130" s="482"/>
      <c r="P130" s="483"/>
      <c r="Q130" s="483"/>
      <c r="R130" s="483"/>
      <c r="S130" s="483"/>
      <c r="T130" s="484">
        <f>SUM(T124:T129)</f>
        <v>0</v>
      </c>
      <c r="U130" s="485"/>
      <c r="V130" s="486">
        <f>SUM(V124:V129)</f>
        <v>0</v>
      </c>
      <c r="W130" s="487">
        <f>SUM(W124:W129)</f>
        <v>0</v>
      </c>
      <c r="X130" s="488"/>
      <c r="Y130" s="489"/>
      <c r="Z130" s="489"/>
      <c r="AA130" s="489"/>
      <c r="AB130" s="489"/>
      <c r="AC130" s="489"/>
      <c r="AD130" s="490">
        <f>SUM(AD124:AD129)</f>
        <v>0</v>
      </c>
      <c r="AE130" s="491">
        <f>SUM(AE124:AE129)</f>
        <v>0</v>
      </c>
      <c r="AF130" s="492">
        <f>SUM(AF124:AF129)</f>
        <v>0</v>
      </c>
      <c r="AG130" s="493">
        <f>SUM(AG124:AG129)</f>
        <v>0</v>
      </c>
      <c r="AH130" s="215">
        <f t="shared" si="74"/>
        <v>0</v>
      </c>
    </row>
    <row r="131" spans="1:34" ht="45" x14ac:dyDescent="0.25">
      <c r="A131" s="310" t="s">
        <v>384</v>
      </c>
      <c r="B131" s="311"/>
      <c r="C131" s="312"/>
      <c r="D131" s="312"/>
      <c r="E131" s="312"/>
      <c r="F131" s="312"/>
      <c r="G131" s="312"/>
      <c r="H131" s="312"/>
      <c r="I131" s="312"/>
      <c r="J131" s="312"/>
      <c r="K131" s="312"/>
      <c r="L131" s="312"/>
      <c r="M131" s="312"/>
      <c r="N131" s="494">
        <f>SUM(B131:M131)</f>
        <v>0</v>
      </c>
      <c r="O131" s="495"/>
      <c r="P131" s="496"/>
      <c r="Q131" s="496"/>
      <c r="R131" s="496"/>
      <c r="S131" s="496"/>
      <c r="T131" s="380"/>
      <c r="U131" s="497"/>
      <c r="V131" s="381"/>
      <c r="W131" s="498"/>
      <c r="X131" s="499"/>
      <c r="Y131" s="500"/>
      <c r="Z131" s="500"/>
      <c r="AA131" s="500"/>
      <c r="AB131" s="500"/>
      <c r="AC131" s="500"/>
      <c r="AD131" s="383"/>
      <c r="AE131" s="501"/>
      <c r="AF131" s="502"/>
      <c r="AG131" s="388"/>
      <c r="AH131" s="215">
        <f t="shared" si="74"/>
        <v>0</v>
      </c>
    </row>
    <row r="132" spans="1:34" x14ac:dyDescent="0.25">
      <c r="A132" s="478" t="s">
        <v>385</v>
      </c>
      <c r="B132" s="479">
        <f t="shared" ref="B132:N132" si="76">B131</f>
        <v>0</v>
      </c>
      <c r="C132" s="480">
        <f t="shared" si="76"/>
        <v>0</v>
      </c>
      <c r="D132" s="480">
        <f t="shared" si="76"/>
        <v>0</v>
      </c>
      <c r="E132" s="480">
        <f t="shared" si="76"/>
        <v>0</v>
      </c>
      <c r="F132" s="480">
        <f t="shared" si="76"/>
        <v>0</v>
      </c>
      <c r="G132" s="480">
        <f t="shared" si="76"/>
        <v>0</v>
      </c>
      <c r="H132" s="480">
        <f t="shared" si="76"/>
        <v>0</v>
      </c>
      <c r="I132" s="480">
        <f t="shared" si="76"/>
        <v>0</v>
      </c>
      <c r="J132" s="480">
        <f t="shared" si="76"/>
        <v>0</v>
      </c>
      <c r="K132" s="480">
        <f t="shared" si="76"/>
        <v>0</v>
      </c>
      <c r="L132" s="480">
        <f t="shared" si="76"/>
        <v>0</v>
      </c>
      <c r="M132" s="480">
        <f t="shared" si="76"/>
        <v>0</v>
      </c>
      <c r="N132" s="481">
        <f t="shared" si="76"/>
        <v>0</v>
      </c>
      <c r="O132" s="482"/>
      <c r="P132" s="483"/>
      <c r="Q132" s="483"/>
      <c r="R132" s="483"/>
      <c r="S132" s="483"/>
      <c r="T132" s="484">
        <f>T131</f>
        <v>0</v>
      </c>
      <c r="U132" s="485"/>
      <c r="V132" s="486">
        <f>V131</f>
        <v>0</v>
      </c>
      <c r="W132" s="487">
        <f>W131</f>
        <v>0</v>
      </c>
      <c r="X132" s="488"/>
      <c r="Y132" s="489"/>
      <c r="Z132" s="489"/>
      <c r="AA132" s="489"/>
      <c r="AB132" s="489"/>
      <c r="AC132" s="489"/>
      <c r="AD132" s="490">
        <f>AD131</f>
        <v>0</v>
      </c>
      <c r="AE132" s="491">
        <f>AE131</f>
        <v>0</v>
      </c>
      <c r="AF132" s="492">
        <f>AF131</f>
        <v>0</v>
      </c>
      <c r="AG132" s="493">
        <f>AG131</f>
        <v>0</v>
      </c>
      <c r="AH132" s="215">
        <f t="shared" si="74"/>
        <v>0</v>
      </c>
    </row>
    <row r="133" spans="1:34" ht="30.75" thickBot="1" x14ac:dyDescent="0.3">
      <c r="A133" s="540" t="s">
        <v>386</v>
      </c>
      <c r="B133" s="541"/>
      <c r="C133" s="542"/>
      <c r="D133" s="542"/>
      <c r="E133" s="542"/>
      <c r="F133" s="542"/>
      <c r="G133" s="542"/>
      <c r="H133" s="542"/>
      <c r="I133" s="542"/>
      <c r="J133" s="542"/>
      <c r="K133" s="542"/>
      <c r="L133" s="542"/>
      <c r="M133" s="542"/>
      <c r="N133" s="543">
        <f>SUM(B133:M133)</f>
        <v>0</v>
      </c>
      <c r="O133" s="544"/>
      <c r="P133" s="545"/>
      <c r="Q133" s="545"/>
      <c r="R133" s="545"/>
      <c r="S133" s="545"/>
      <c r="T133" s="546"/>
      <c r="U133" s="547"/>
      <c r="V133" s="548"/>
      <c r="W133" s="549"/>
      <c r="X133" s="550"/>
      <c r="Y133" s="551"/>
      <c r="Z133" s="551"/>
      <c r="AA133" s="551"/>
      <c r="AB133" s="551"/>
      <c r="AC133" s="551"/>
      <c r="AD133" s="552"/>
      <c r="AE133" s="553"/>
      <c r="AF133" s="554"/>
      <c r="AG133" s="555"/>
      <c r="AH133" s="241">
        <f t="shared" si="74"/>
        <v>0</v>
      </c>
    </row>
    <row r="134" spans="1:34" ht="32.25" thickBot="1" x14ac:dyDescent="0.3">
      <c r="A134" s="433" t="s">
        <v>387</v>
      </c>
      <c r="B134" s="434">
        <f t="shared" ref="B134:N134" si="77">B130+B132+B133</f>
        <v>0</v>
      </c>
      <c r="C134" s="435">
        <f t="shared" si="77"/>
        <v>0</v>
      </c>
      <c r="D134" s="435">
        <f t="shared" si="77"/>
        <v>0</v>
      </c>
      <c r="E134" s="435">
        <f t="shared" si="77"/>
        <v>0</v>
      </c>
      <c r="F134" s="435">
        <f t="shared" si="77"/>
        <v>0</v>
      </c>
      <c r="G134" s="435">
        <f t="shared" si="77"/>
        <v>0</v>
      </c>
      <c r="H134" s="435">
        <f t="shared" si="77"/>
        <v>0</v>
      </c>
      <c r="I134" s="435">
        <f t="shared" si="77"/>
        <v>0</v>
      </c>
      <c r="J134" s="435">
        <f t="shared" si="77"/>
        <v>0</v>
      </c>
      <c r="K134" s="435">
        <f t="shared" si="77"/>
        <v>0</v>
      </c>
      <c r="L134" s="435">
        <f t="shared" si="77"/>
        <v>0</v>
      </c>
      <c r="M134" s="435">
        <f t="shared" si="77"/>
        <v>0</v>
      </c>
      <c r="N134" s="436">
        <f t="shared" si="77"/>
        <v>0</v>
      </c>
      <c r="O134" s="437"/>
      <c r="P134" s="438"/>
      <c r="Q134" s="438"/>
      <c r="R134" s="438"/>
      <c r="S134" s="438"/>
      <c r="T134" s="439">
        <f>T130+T132+T133</f>
        <v>0</v>
      </c>
      <c r="U134" s="440"/>
      <c r="V134" s="441">
        <f>V130+V132+V133</f>
        <v>0</v>
      </c>
      <c r="W134" s="442">
        <f>W130+W132+W133</f>
        <v>0</v>
      </c>
      <c r="X134" s="443"/>
      <c r="Y134" s="444"/>
      <c r="Z134" s="444"/>
      <c r="AA134" s="444"/>
      <c r="AB134" s="444"/>
      <c r="AC134" s="444"/>
      <c r="AD134" s="445">
        <f>AD130+AD132+AD133</f>
        <v>0</v>
      </c>
      <c r="AE134" s="446">
        <f>AE130+AE132+AE133</f>
        <v>0</v>
      </c>
      <c r="AF134" s="447">
        <f>AF130+AF132+AF133</f>
        <v>0</v>
      </c>
      <c r="AG134" s="448">
        <f>AG130+AG132+AG133</f>
        <v>0</v>
      </c>
      <c r="AH134" s="305">
        <f t="shared" si="74"/>
        <v>0</v>
      </c>
    </row>
    <row r="135" spans="1:34" ht="30.75" thickBot="1" x14ac:dyDescent="0.3">
      <c r="A135" s="571" t="s">
        <v>388</v>
      </c>
      <c r="B135" s="572"/>
      <c r="C135" s="573"/>
      <c r="D135" s="573"/>
      <c r="E135" s="573"/>
      <c r="F135" s="573"/>
      <c r="G135" s="573"/>
      <c r="H135" s="573"/>
      <c r="I135" s="573"/>
      <c r="J135" s="573"/>
      <c r="K135" s="573"/>
      <c r="L135" s="573"/>
      <c r="M135" s="573"/>
      <c r="N135" s="246">
        <f>SUM(B135:M135)</f>
        <v>0</v>
      </c>
      <c r="O135" s="247"/>
      <c r="P135" s="248"/>
      <c r="Q135" s="248"/>
      <c r="R135" s="248"/>
      <c r="S135" s="248"/>
      <c r="T135" s="577"/>
      <c r="U135" s="250"/>
      <c r="V135" s="579"/>
      <c r="W135" s="587"/>
      <c r="X135" s="253"/>
      <c r="Y135" s="254"/>
      <c r="Z135" s="254"/>
      <c r="AA135" s="254"/>
      <c r="AB135" s="254"/>
      <c r="AC135" s="254"/>
      <c r="AD135" s="583"/>
      <c r="AE135" s="588"/>
      <c r="AF135" s="589"/>
      <c r="AG135" s="590"/>
      <c r="AH135" s="258">
        <f t="shared" si="74"/>
        <v>0</v>
      </c>
    </row>
    <row r="136" spans="1:34" ht="15.75" thickBot="1" x14ac:dyDescent="0.3">
      <c r="A136" s="571" t="s">
        <v>389</v>
      </c>
      <c r="B136" s="572"/>
      <c r="C136" s="573"/>
      <c r="D136" s="573"/>
      <c r="E136" s="573"/>
      <c r="F136" s="573"/>
      <c r="G136" s="573"/>
      <c r="H136" s="573"/>
      <c r="I136" s="573"/>
      <c r="J136" s="573"/>
      <c r="K136" s="573"/>
      <c r="L136" s="573"/>
      <c r="M136" s="573"/>
      <c r="N136" s="246">
        <f>SUM(B136:M136)</f>
        <v>0</v>
      </c>
      <c r="O136" s="247"/>
      <c r="P136" s="248"/>
      <c r="Q136" s="248"/>
      <c r="R136" s="248"/>
      <c r="S136" s="248"/>
      <c r="T136" s="577"/>
      <c r="U136" s="250"/>
      <c r="V136" s="579"/>
      <c r="W136" s="587"/>
      <c r="X136" s="253"/>
      <c r="Y136" s="254"/>
      <c r="Z136" s="254"/>
      <c r="AA136" s="254"/>
      <c r="AB136" s="254"/>
      <c r="AC136" s="254"/>
      <c r="AD136" s="583"/>
      <c r="AE136" s="588"/>
      <c r="AF136" s="589"/>
      <c r="AG136" s="590"/>
      <c r="AH136" s="258">
        <f t="shared" si="74"/>
        <v>0</v>
      </c>
    </row>
    <row r="137" spans="1:34" ht="15.75" thickBot="1" x14ac:dyDescent="0.3">
      <c r="A137" s="571" t="s">
        <v>390</v>
      </c>
      <c r="B137" s="572"/>
      <c r="C137" s="573"/>
      <c r="D137" s="573"/>
      <c r="E137" s="573"/>
      <c r="F137" s="573"/>
      <c r="G137" s="573"/>
      <c r="H137" s="573"/>
      <c r="I137" s="573"/>
      <c r="J137" s="573"/>
      <c r="K137" s="573"/>
      <c r="L137" s="573"/>
      <c r="M137" s="573"/>
      <c r="N137" s="246">
        <f>SUM(B137:M137)</f>
        <v>0</v>
      </c>
      <c r="O137" s="247"/>
      <c r="P137" s="248"/>
      <c r="Q137" s="248"/>
      <c r="R137" s="248"/>
      <c r="S137" s="248"/>
      <c r="T137" s="577"/>
      <c r="U137" s="250"/>
      <c r="V137" s="579"/>
      <c r="W137" s="587"/>
      <c r="X137" s="253"/>
      <c r="Y137" s="254"/>
      <c r="Z137" s="254"/>
      <c r="AA137" s="254"/>
      <c r="AB137" s="254"/>
      <c r="AC137" s="254"/>
      <c r="AD137" s="583"/>
      <c r="AE137" s="588"/>
      <c r="AF137" s="589"/>
      <c r="AG137" s="590"/>
      <c r="AH137" s="258">
        <f t="shared" si="74"/>
        <v>0</v>
      </c>
    </row>
    <row r="138" spans="1:34" ht="30.75" thickBot="1" x14ac:dyDescent="0.3">
      <c r="A138" s="339" t="s">
        <v>391</v>
      </c>
      <c r="B138" s="340">
        <f t="shared" ref="B138:N138" si="78">SUM(B135:B137)</f>
        <v>0</v>
      </c>
      <c r="C138" s="341">
        <f t="shared" si="78"/>
        <v>0</v>
      </c>
      <c r="D138" s="341">
        <f t="shared" si="78"/>
        <v>0</v>
      </c>
      <c r="E138" s="341">
        <f t="shared" si="78"/>
        <v>0</v>
      </c>
      <c r="F138" s="341">
        <f t="shared" si="78"/>
        <v>0</v>
      </c>
      <c r="G138" s="341">
        <f t="shared" si="78"/>
        <v>0</v>
      </c>
      <c r="H138" s="341">
        <f t="shared" si="78"/>
        <v>0</v>
      </c>
      <c r="I138" s="341">
        <f t="shared" si="78"/>
        <v>0</v>
      </c>
      <c r="J138" s="341">
        <f t="shared" si="78"/>
        <v>0</v>
      </c>
      <c r="K138" s="341">
        <f t="shared" si="78"/>
        <v>0</v>
      </c>
      <c r="L138" s="341">
        <f t="shared" si="78"/>
        <v>0</v>
      </c>
      <c r="M138" s="341">
        <f t="shared" si="78"/>
        <v>0</v>
      </c>
      <c r="N138" s="342">
        <f t="shared" si="78"/>
        <v>0</v>
      </c>
      <c r="O138" s="410"/>
      <c r="P138" s="343"/>
      <c r="Q138" s="343"/>
      <c r="R138" s="343"/>
      <c r="S138" s="343"/>
      <c r="T138" s="249">
        <f>SUM(T135:T137)</f>
        <v>0</v>
      </c>
      <c r="U138" s="377"/>
      <c r="V138" s="251">
        <f>SUM(V135:V137)</f>
        <v>0</v>
      </c>
      <c r="W138" s="345">
        <f>SUM(W135:W137)</f>
        <v>0</v>
      </c>
      <c r="X138" s="346"/>
      <c r="Y138" s="347"/>
      <c r="Z138" s="347"/>
      <c r="AA138" s="347"/>
      <c r="AB138" s="347"/>
      <c r="AC138" s="347"/>
      <c r="AD138" s="255">
        <f>SUM(AD135:AD137)</f>
        <v>0</v>
      </c>
      <c r="AE138" s="348">
        <f>SUM(AE135:AE137)</f>
        <v>0</v>
      </c>
      <c r="AF138" s="349">
        <f>SUM(AF135:AF137)</f>
        <v>0</v>
      </c>
      <c r="AG138" s="351">
        <f>SUM(AG135:AG137)</f>
        <v>0</v>
      </c>
      <c r="AH138" s="258">
        <f t="shared" si="74"/>
        <v>0</v>
      </c>
    </row>
    <row r="139" spans="1:34" ht="30.75" thickBot="1" x14ac:dyDescent="0.3">
      <c r="A139" s="339" t="s">
        <v>392</v>
      </c>
      <c r="B139" s="340"/>
      <c r="C139" s="341"/>
      <c r="D139" s="341"/>
      <c r="E139" s="341"/>
      <c r="F139" s="341"/>
      <c r="G139" s="341"/>
      <c r="H139" s="341"/>
      <c r="I139" s="341"/>
      <c r="J139" s="341"/>
      <c r="K139" s="341"/>
      <c r="L139" s="341"/>
      <c r="M139" s="341"/>
      <c r="N139" s="246">
        <f>SUM(B139:M139)</f>
        <v>0</v>
      </c>
      <c r="O139" s="247"/>
      <c r="P139" s="248"/>
      <c r="Q139" s="248"/>
      <c r="R139" s="248"/>
      <c r="S139" s="248"/>
      <c r="T139" s="249"/>
      <c r="U139" s="250"/>
      <c r="V139" s="251"/>
      <c r="W139" s="252"/>
      <c r="X139" s="253"/>
      <c r="Y139" s="254"/>
      <c r="Z139" s="254"/>
      <c r="AA139" s="254"/>
      <c r="AB139" s="254"/>
      <c r="AC139" s="254"/>
      <c r="AD139" s="255"/>
      <c r="AE139" s="256"/>
      <c r="AF139" s="257"/>
      <c r="AG139" s="258"/>
      <c r="AH139" s="258">
        <f t="shared" si="74"/>
        <v>0</v>
      </c>
    </row>
    <row r="140" spans="1:34" ht="32.25" thickBot="1" x14ac:dyDescent="0.3">
      <c r="A140" s="433" t="s">
        <v>393</v>
      </c>
      <c r="B140" s="434">
        <f t="shared" ref="B140:N140" si="79">B138+B139</f>
        <v>0</v>
      </c>
      <c r="C140" s="435">
        <f t="shared" si="79"/>
        <v>0</v>
      </c>
      <c r="D140" s="435">
        <f t="shared" si="79"/>
        <v>0</v>
      </c>
      <c r="E140" s="435">
        <f t="shared" si="79"/>
        <v>0</v>
      </c>
      <c r="F140" s="435">
        <f t="shared" si="79"/>
        <v>0</v>
      </c>
      <c r="G140" s="435">
        <f t="shared" si="79"/>
        <v>0</v>
      </c>
      <c r="H140" s="435">
        <f t="shared" si="79"/>
        <v>0</v>
      </c>
      <c r="I140" s="435">
        <f t="shared" si="79"/>
        <v>0</v>
      </c>
      <c r="J140" s="435">
        <f t="shared" si="79"/>
        <v>0</v>
      </c>
      <c r="K140" s="435">
        <f t="shared" si="79"/>
        <v>0</v>
      </c>
      <c r="L140" s="435">
        <f t="shared" si="79"/>
        <v>0</v>
      </c>
      <c r="M140" s="435">
        <f t="shared" si="79"/>
        <v>0</v>
      </c>
      <c r="N140" s="436">
        <f t="shared" si="79"/>
        <v>0</v>
      </c>
      <c r="O140" s="437"/>
      <c r="P140" s="438"/>
      <c r="Q140" s="438"/>
      <c r="R140" s="438"/>
      <c r="S140" s="438"/>
      <c r="T140" s="439">
        <f>T138+T139</f>
        <v>0</v>
      </c>
      <c r="U140" s="440"/>
      <c r="V140" s="441">
        <f>V138+V139</f>
        <v>0</v>
      </c>
      <c r="W140" s="442">
        <f>W138+W139</f>
        <v>0</v>
      </c>
      <c r="X140" s="443"/>
      <c r="Y140" s="444"/>
      <c r="Z140" s="444"/>
      <c r="AA140" s="444"/>
      <c r="AB140" s="444"/>
      <c r="AC140" s="444"/>
      <c r="AD140" s="445">
        <f>AD138+AD139</f>
        <v>0</v>
      </c>
      <c r="AE140" s="446">
        <f>AE138+AE139</f>
        <v>0</v>
      </c>
      <c r="AF140" s="447">
        <f>AF138+AF139</f>
        <v>0</v>
      </c>
      <c r="AG140" s="448">
        <f>AG138+AG139</f>
        <v>0</v>
      </c>
      <c r="AH140" s="305">
        <f t="shared" si="74"/>
        <v>0</v>
      </c>
    </row>
    <row r="141" spans="1:34" ht="15.75" thickBot="1" x14ac:dyDescent="0.3">
      <c r="A141" s="595" t="s">
        <v>394</v>
      </c>
      <c r="B141" s="596"/>
      <c r="C141" s="597"/>
      <c r="D141" s="597"/>
      <c r="E141" s="597"/>
      <c r="F141" s="597"/>
      <c r="G141" s="597"/>
      <c r="H141" s="597"/>
      <c r="I141" s="597"/>
      <c r="J141" s="597"/>
      <c r="K141" s="597"/>
      <c r="L141" s="597"/>
      <c r="M141" s="597"/>
      <c r="N141" s="246">
        <f>SUM(B141:M141)</f>
        <v>0</v>
      </c>
      <c r="O141" s="247"/>
      <c r="P141" s="248"/>
      <c r="Q141" s="248"/>
      <c r="R141" s="248"/>
      <c r="S141" s="248"/>
      <c r="T141" s="598"/>
      <c r="U141" s="250"/>
      <c r="V141" s="599"/>
      <c r="W141" s="600"/>
      <c r="X141" s="253"/>
      <c r="Y141" s="254"/>
      <c r="Z141" s="254"/>
      <c r="AA141" s="254"/>
      <c r="AB141" s="254"/>
      <c r="AC141" s="254"/>
      <c r="AD141" s="601"/>
      <c r="AE141" s="602"/>
      <c r="AF141" s="603"/>
      <c r="AG141" s="604"/>
      <c r="AH141" s="258">
        <f t="shared" si="74"/>
        <v>0</v>
      </c>
    </row>
    <row r="142" spans="1:34" ht="15.75" thickBot="1" x14ac:dyDescent="0.3">
      <c r="A142" s="571" t="s">
        <v>395</v>
      </c>
      <c r="B142" s="572"/>
      <c r="C142" s="573"/>
      <c r="D142" s="573"/>
      <c r="E142" s="573"/>
      <c r="F142" s="573"/>
      <c r="G142" s="573"/>
      <c r="H142" s="573"/>
      <c r="I142" s="573"/>
      <c r="J142" s="573"/>
      <c r="K142" s="573"/>
      <c r="L142" s="573"/>
      <c r="M142" s="573"/>
      <c r="N142" s="246">
        <f>SUM(B142:M142)</f>
        <v>0</v>
      </c>
      <c r="O142" s="247"/>
      <c r="P142" s="248"/>
      <c r="Q142" s="248"/>
      <c r="R142" s="248"/>
      <c r="S142" s="248"/>
      <c r="T142" s="577"/>
      <c r="U142" s="250"/>
      <c r="V142" s="579"/>
      <c r="W142" s="587"/>
      <c r="X142" s="253"/>
      <c r="Y142" s="254"/>
      <c r="Z142" s="254"/>
      <c r="AA142" s="254"/>
      <c r="AB142" s="254"/>
      <c r="AC142" s="254"/>
      <c r="AD142" s="583"/>
      <c r="AE142" s="588"/>
      <c r="AF142" s="589"/>
      <c r="AG142" s="590"/>
      <c r="AH142" s="258">
        <f t="shared" si="74"/>
        <v>0</v>
      </c>
    </row>
    <row r="143" spans="1:34" ht="15.75" thickBot="1" x14ac:dyDescent="0.3">
      <c r="A143" s="339" t="s">
        <v>396</v>
      </c>
      <c r="B143" s="340">
        <f t="shared" ref="B143:N143" si="80">SUM(B141:B142)</f>
        <v>0</v>
      </c>
      <c r="C143" s="341">
        <f t="shared" si="80"/>
        <v>0</v>
      </c>
      <c r="D143" s="341">
        <f t="shared" si="80"/>
        <v>0</v>
      </c>
      <c r="E143" s="341">
        <f t="shared" si="80"/>
        <v>0</v>
      </c>
      <c r="F143" s="341">
        <f t="shared" si="80"/>
        <v>0</v>
      </c>
      <c r="G143" s="341">
        <f t="shared" si="80"/>
        <v>0</v>
      </c>
      <c r="H143" s="341">
        <f t="shared" si="80"/>
        <v>0</v>
      </c>
      <c r="I143" s="341">
        <f t="shared" si="80"/>
        <v>0</v>
      </c>
      <c r="J143" s="341">
        <f t="shared" si="80"/>
        <v>0</v>
      </c>
      <c r="K143" s="341">
        <f t="shared" si="80"/>
        <v>0</v>
      </c>
      <c r="L143" s="341">
        <f t="shared" si="80"/>
        <v>0</v>
      </c>
      <c r="M143" s="341">
        <f t="shared" si="80"/>
        <v>0</v>
      </c>
      <c r="N143" s="342">
        <f t="shared" si="80"/>
        <v>0</v>
      </c>
      <c r="O143" s="410"/>
      <c r="P143" s="343"/>
      <c r="Q143" s="343"/>
      <c r="R143" s="343"/>
      <c r="S143" s="343"/>
      <c r="T143" s="249">
        <f>SUM(T141:T142)</f>
        <v>0</v>
      </c>
      <c r="U143" s="377"/>
      <c r="V143" s="251">
        <f>SUM(V141:V142)</f>
        <v>0</v>
      </c>
      <c r="W143" s="345">
        <f>SUM(W141:W142)</f>
        <v>0</v>
      </c>
      <c r="X143" s="346"/>
      <c r="Y143" s="347"/>
      <c r="Z143" s="347"/>
      <c r="AA143" s="347"/>
      <c r="AB143" s="347"/>
      <c r="AC143" s="347"/>
      <c r="AD143" s="255">
        <f>SUM(AD141:AD142)</f>
        <v>0</v>
      </c>
      <c r="AE143" s="348">
        <f>SUM(AE141:AE142)</f>
        <v>0</v>
      </c>
      <c r="AF143" s="349">
        <f>SUM(AF141:AF142)</f>
        <v>0</v>
      </c>
      <c r="AG143" s="351">
        <f>SUM(AG141:AG142)</f>
        <v>0</v>
      </c>
      <c r="AH143" s="258">
        <f t="shared" si="74"/>
        <v>0</v>
      </c>
    </row>
    <row r="144" spans="1:34" ht="15.75" thickBot="1" x14ac:dyDescent="0.3">
      <c r="A144" s="565" t="s">
        <v>397</v>
      </c>
      <c r="B144" s="566"/>
      <c r="C144" s="567"/>
      <c r="D144" s="567"/>
      <c r="E144" s="567"/>
      <c r="F144" s="567"/>
      <c r="G144" s="567"/>
      <c r="H144" s="567"/>
      <c r="I144" s="567"/>
      <c r="J144" s="567"/>
      <c r="K144" s="567"/>
      <c r="L144" s="567"/>
      <c r="M144" s="567"/>
      <c r="N144" s="246">
        <f>SUM(B144:M144)</f>
        <v>0</v>
      </c>
      <c r="O144" s="247"/>
      <c r="P144" s="248"/>
      <c r="Q144" s="248"/>
      <c r="R144" s="248"/>
      <c r="S144" s="248"/>
      <c r="T144" s="568"/>
      <c r="U144" s="250"/>
      <c r="V144" s="569"/>
      <c r="W144" s="605"/>
      <c r="X144" s="253"/>
      <c r="Y144" s="254"/>
      <c r="Z144" s="254"/>
      <c r="AA144" s="254"/>
      <c r="AB144" s="254"/>
      <c r="AC144" s="254"/>
      <c r="AD144" s="570"/>
      <c r="AE144" s="606"/>
      <c r="AF144" s="607"/>
      <c r="AG144" s="608"/>
      <c r="AH144" s="258">
        <f t="shared" si="74"/>
        <v>0</v>
      </c>
    </row>
    <row r="145" spans="1:34" ht="30.75" thickBot="1" x14ac:dyDescent="0.3">
      <c r="A145" s="609" t="s">
        <v>398</v>
      </c>
      <c r="B145" s="566"/>
      <c r="C145" s="567"/>
      <c r="D145" s="567"/>
      <c r="E145" s="567"/>
      <c r="F145" s="567"/>
      <c r="G145" s="567"/>
      <c r="H145" s="567"/>
      <c r="I145" s="567"/>
      <c r="J145" s="567"/>
      <c r="K145" s="567"/>
      <c r="L145" s="567"/>
      <c r="M145" s="567"/>
      <c r="N145" s="246">
        <f>SUM(B145:M145)</f>
        <v>0</v>
      </c>
      <c r="O145" s="247"/>
      <c r="P145" s="248"/>
      <c r="Q145" s="248"/>
      <c r="R145" s="248"/>
      <c r="S145" s="248"/>
      <c r="T145" s="568"/>
      <c r="U145" s="250"/>
      <c r="V145" s="569"/>
      <c r="W145" s="605"/>
      <c r="X145" s="253"/>
      <c r="Y145" s="254"/>
      <c r="Z145" s="254"/>
      <c r="AA145" s="254"/>
      <c r="AB145" s="254"/>
      <c r="AC145" s="254"/>
      <c r="AD145" s="570"/>
      <c r="AE145" s="606"/>
      <c r="AF145" s="607"/>
      <c r="AG145" s="608"/>
      <c r="AH145" s="258">
        <f t="shared" si="74"/>
        <v>0</v>
      </c>
    </row>
    <row r="146" spans="1:34" ht="15.75" thickBot="1" x14ac:dyDescent="0.3">
      <c r="A146" s="571" t="s">
        <v>399</v>
      </c>
      <c r="B146" s="572">
        <f t="shared" ref="B146:N146" si="81">SUM(B144:B145)</f>
        <v>0</v>
      </c>
      <c r="C146" s="573">
        <f t="shared" si="81"/>
        <v>0</v>
      </c>
      <c r="D146" s="573">
        <f t="shared" si="81"/>
        <v>0</v>
      </c>
      <c r="E146" s="573">
        <f t="shared" si="81"/>
        <v>0</v>
      </c>
      <c r="F146" s="573">
        <f t="shared" si="81"/>
        <v>0</v>
      </c>
      <c r="G146" s="573">
        <f t="shared" si="81"/>
        <v>0</v>
      </c>
      <c r="H146" s="573">
        <f t="shared" si="81"/>
        <v>0</v>
      </c>
      <c r="I146" s="573">
        <f t="shared" si="81"/>
        <v>0</v>
      </c>
      <c r="J146" s="573">
        <f t="shared" si="81"/>
        <v>0</v>
      </c>
      <c r="K146" s="573">
        <f t="shared" si="81"/>
        <v>0</v>
      </c>
      <c r="L146" s="573">
        <f t="shared" si="81"/>
        <v>0</v>
      </c>
      <c r="M146" s="573">
        <f t="shared" si="81"/>
        <v>0</v>
      </c>
      <c r="N146" s="574">
        <f t="shared" si="81"/>
        <v>0</v>
      </c>
      <c r="O146" s="575"/>
      <c r="P146" s="576"/>
      <c r="Q146" s="576"/>
      <c r="R146" s="576"/>
      <c r="S146" s="576"/>
      <c r="T146" s="577">
        <f>SUM(T144:T145)</f>
        <v>0</v>
      </c>
      <c r="U146" s="578"/>
      <c r="V146" s="579">
        <f>SUM(V144:V145)</f>
        <v>0</v>
      </c>
      <c r="W146" s="580">
        <f>SUM(W144:W145)</f>
        <v>0</v>
      </c>
      <c r="X146" s="581"/>
      <c r="Y146" s="582"/>
      <c r="Z146" s="582"/>
      <c r="AA146" s="582"/>
      <c r="AB146" s="582"/>
      <c r="AC146" s="582"/>
      <c r="AD146" s="583">
        <f>SUM(AD144:AD145)</f>
        <v>0</v>
      </c>
      <c r="AE146" s="584">
        <f>SUM(AE144:AE145)</f>
        <v>0</v>
      </c>
      <c r="AF146" s="585">
        <f>SUM(AF144:AF145)</f>
        <v>0</v>
      </c>
      <c r="AG146" s="586">
        <f>SUM(AG144:AG145)</f>
        <v>0</v>
      </c>
      <c r="AH146" s="258">
        <f t="shared" si="74"/>
        <v>0</v>
      </c>
    </row>
    <row r="147" spans="1:34" ht="30.75" thickBot="1" x14ac:dyDescent="0.3">
      <c r="A147" s="609" t="s">
        <v>400</v>
      </c>
      <c r="B147" s="610"/>
      <c r="C147" s="611"/>
      <c r="D147" s="611"/>
      <c r="E147" s="611"/>
      <c r="F147" s="611"/>
      <c r="G147" s="611"/>
      <c r="H147" s="611"/>
      <c r="I147" s="611"/>
      <c r="J147" s="611"/>
      <c r="K147" s="611"/>
      <c r="L147" s="611"/>
      <c r="M147" s="611"/>
      <c r="N147" s="246">
        <f>SUM(B147:M147)</f>
        <v>0</v>
      </c>
      <c r="O147" s="247"/>
      <c r="P147" s="248"/>
      <c r="Q147" s="248"/>
      <c r="R147" s="248"/>
      <c r="S147" s="248"/>
      <c r="T147" s="612"/>
      <c r="U147" s="250"/>
      <c r="V147" s="613"/>
      <c r="W147" s="252"/>
      <c r="X147" s="253"/>
      <c r="Y147" s="254"/>
      <c r="Z147" s="254"/>
      <c r="AA147" s="254"/>
      <c r="AB147" s="254"/>
      <c r="AC147" s="254"/>
      <c r="AD147" s="614"/>
      <c r="AE147" s="256"/>
      <c r="AF147" s="257"/>
      <c r="AG147" s="258"/>
      <c r="AH147" s="258">
        <f t="shared" si="74"/>
        <v>0</v>
      </c>
    </row>
    <row r="148" spans="1:34" ht="30.75" thickBot="1" x14ac:dyDescent="0.3">
      <c r="A148" s="609" t="s">
        <v>401</v>
      </c>
      <c r="B148" s="610"/>
      <c r="C148" s="611"/>
      <c r="D148" s="611"/>
      <c r="E148" s="611"/>
      <c r="F148" s="611"/>
      <c r="G148" s="611"/>
      <c r="H148" s="611"/>
      <c r="I148" s="611"/>
      <c r="J148" s="611"/>
      <c r="K148" s="611"/>
      <c r="L148" s="611"/>
      <c r="M148" s="611"/>
      <c r="N148" s="246">
        <f>SUM(B148:M148)</f>
        <v>0</v>
      </c>
      <c r="O148" s="247"/>
      <c r="P148" s="248"/>
      <c r="Q148" s="248"/>
      <c r="R148" s="248"/>
      <c r="S148" s="248"/>
      <c r="T148" s="612"/>
      <c r="U148" s="250"/>
      <c r="V148" s="613"/>
      <c r="W148" s="252"/>
      <c r="X148" s="253"/>
      <c r="Y148" s="254"/>
      <c r="Z148" s="254"/>
      <c r="AA148" s="254"/>
      <c r="AB148" s="254"/>
      <c r="AC148" s="254"/>
      <c r="AD148" s="614"/>
      <c r="AE148" s="256"/>
      <c r="AF148" s="257"/>
      <c r="AG148" s="258"/>
      <c r="AH148" s="258">
        <f t="shared" si="74"/>
        <v>0</v>
      </c>
    </row>
    <row r="149" spans="1:34" ht="15.75" thickBot="1" x14ac:dyDescent="0.3">
      <c r="A149" s="571" t="s">
        <v>402</v>
      </c>
      <c r="B149" s="572">
        <f t="shared" ref="B149:N149" si="82">SUM(B147:B148)</f>
        <v>0</v>
      </c>
      <c r="C149" s="573">
        <f t="shared" si="82"/>
        <v>0</v>
      </c>
      <c r="D149" s="573">
        <f t="shared" si="82"/>
        <v>0</v>
      </c>
      <c r="E149" s="573">
        <f t="shared" si="82"/>
        <v>0</v>
      </c>
      <c r="F149" s="573">
        <f t="shared" si="82"/>
        <v>0</v>
      </c>
      <c r="G149" s="573">
        <f t="shared" si="82"/>
        <v>0</v>
      </c>
      <c r="H149" s="573">
        <f t="shared" si="82"/>
        <v>0</v>
      </c>
      <c r="I149" s="573">
        <f t="shared" si="82"/>
        <v>0</v>
      </c>
      <c r="J149" s="573">
        <f t="shared" si="82"/>
        <v>0</v>
      </c>
      <c r="K149" s="573">
        <f t="shared" si="82"/>
        <v>0</v>
      </c>
      <c r="L149" s="573">
        <f t="shared" si="82"/>
        <v>0</v>
      </c>
      <c r="M149" s="573">
        <f t="shared" si="82"/>
        <v>0</v>
      </c>
      <c r="N149" s="574">
        <f t="shared" si="82"/>
        <v>0</v>
      </c>
      <c r="O149" s="575"/>
      <c r="P149" s="576"/>
      <c r="Q149" s="576"/>
      <c r="R149" s="576"/>
      <c r="S149" s="576"/>
      <c r="T149" s="577">
        <f>SUM(T147:T148)</f>
        <v>0</v>
      </c>
      <c r="U149" s="578"/>
      <c r="V149" s="579">
        <f>SUM(V147:V148)</f>
        <v>0</v>
      </c>
      <c r="W149" s="580">
        <f>SUM(W147:W148)</f>
        <v>0</v>
      </c>
      <c r="X149" s="581"/>
      <c r="Y149" s="582"/>
      <c r="Z149" s="582"/>
      <c r="AA149" s="582"/>
      <c r="AB149" s="582"/>
      <c r="AC149" s="582"/>
      <c r="AD149" s="583">
        <f>SUM(AD147:AD148)</f>
        <v>0</v>
      </c>
      <c r="AE149" s="584">
        <f>SUM(AE147:AE148)</f>
        <v>0</v>
      </c>
      <c r="AF149" s="585">
        <f>SUM(AF147:AF148)</f>
        <v>0</v>
      </c>
      <c r="AG149" s="586">
        <f>SUM(AG147:AG148)</f>
        <v>0</v>
      </c>
      <c r="AH149" s="258">
        <f t="shared" si="74"/>
        <v>0</v>
      </c>
    </row>
    <row r="150" spans="1:34" ht="15.75" thickBot="1" x14ac:dyDescent="0.3">
      <c r="A150" s="609" t="s">
        <v>403</v>
      </c>
      <c r="B150" s="610"/>
      <c r="C150" s="611"/>
      <c r="D150" s="611"/>
      <c r="E150" s="611"/>
      <c r="F150" s="611"/>
      <c r="G150" s="611"/>
      <c r="H150" s="611"/>
      <c r="I150" s="611"/>
      <c r="J150" s="611"/>
      <c r="K150" s="611"/>
      <c r="L150" s="611"/>
      <c r="M150" s="611"/>
      <c r="N150" s="246">
        <f>SUM(B150:M150)</f>
        <v>0</v>
      </c>
      <c r="O150" s="247"/>
      <c r="P150" s="248"/>
      <c r="Q150" s="248"/>
      <c r="R150" s="248"/>
      <c r="S150" s="248"/>
      <c r="T150" s="612"/>
      <c r="U150" s="250"/>
      <c r="V150" s="613"/>
      <c r="W150" s="252"/>
      <c r="X150" s="253"/>
      <c r="Y150" s="254"/>
      <c r="Z150" s="254"/>
      <c r="AA150" s="254"/>
      <c r="AB150" s="254"/>
      <c r="AC150" s="254"/>
      <c r="AD150" s="614"/>
      <c r="AE150" s="256"/>
      <c r="AF150" s="257"/>
      <c r="AG150" s="258"/>
      <c r="AH150" s="258">
        <f t="shared" si="74"/>
        <v>0</v>
      </c>
    </row>
    <row r="151" spans="1:34" ht="15.75" thickBot="1" x14ac:dyDescent="0.3">
      <c r="A151" s="571" t="s">
        <v>404</v>
      </c>
      <c r="B151" s="572">
        <f t="shared" ref="B151:N151" si="83">B150</f>
        <v>0</v>
      </c>
      <c r="C151" s="573">
        <f t="shared" si="83"/>
        <v>0</v>
      </c>
      <c r="D151" s="573">
        <f t="shared" si="83"/>
        <v>0</v>
      </c>
      <c r="E151" s="573">
        <f t="shared" si="83"/>
        <v>0</v>
      </c>
      <c r="F151" s="573">
        <f t="shared" si="83"/>
        <v>0</v>
      </c>
      <c r="G151" s="573">
        <f t="shared" si="83"/>
        <v>0</v>
      </c>
      <c r="H151" s="573">
        <f t="shared" si="83"/>
        <v>0</v>
      </c>
      <c r="I151" s="573">
        <f t="shared" si="83"/>
        <v>0</v>
      </c>
      <c r="J151" s="573">
        <f t="shared" si="83"/>
        <v>0</v>
      </c>
      <c r="K151" s="573">
        <f t="shared" si="83"/>
        <v>0</v>
      </c>
      <c r="L151" s="573">
        <f t="shared" si="83"/>
        <v>0</v>
      </c>
      <c r="M151" s="573">
        <f t="shared" si="83"/>
        <v>0</v>
      </c>
      <c r="N151" s="574">
        <f t="shared" si="83"/>
        <v>0</v>
      </c>
      <c r="O151" s="575"/>
      <c r="P151" s="576"/>
      <c r="Q151" s="576"/>
      <c r="R151" s="576"/>
      <c r="S151" s="576"/>
      <c r="T151" s="577">
        <f>T150</f>
        <v>0</v>
      </c>
      <c r="U151" s="578"/>
      <c r="V151" s="579">
        <f>V150</f>
        <v>0</v>
      </c>
      <c r="W151" s="580">
        <f>W150</f>
        <v>0</v>
      </c>
      <c r="X151" s="581"/>
      <c r="Y151" s="582"/>
      <c r="Z151" s="582"/>
      <c r="AA151" s="582"/>
      <c r="AB151" s="582"/>
      <c r="AC151" s="582"/>
      <c r="AD151" s="583">
        <f>AD150</f>
        <v>0</v>
      </c>
      <c r="AE151" s="584">
        <f>AE150</f>
        <v>0</v>
      </c>
      <c r="AF151" s="585">
        <f>AF150</f>
        <v>0</v>
      </c>
      <c r="AG151" s="586">
        <f>AG150</f>
        <v>0</v>
      </c>
      <c r="AH151" s="258">
        <f t="shared" si="74"/>
        <v>0</v>
      </c>
    </row>
    <row r="152" spans="1:34" ht="15.75" thickBot="1" x14ac:dyDescent="0.3">
      <c r="A152" s="339" t="s">
        <v>405</v>
      </c>
      <c r="B152" s="340">
        <f t="shared" ref="B152:N152" si="84">B146+B149+B151</f>
        <v>0</v>
      </c>
      <c r="C152" s="341">
        <f t="shared" si="84"/>
        <v>0</v>
      </c>
      <c r="D152" s="341">
        <f t="shared" si="84"/>
        <v>0</v>
      </c>
      <c r="E152" s="341">
        <f t="shared" si="84"/>
        <v>0</v>
      </c>
      <c r="F152" s="341">
        <f t="shared" si="84"/>
        <v>0</v>
      </c>
      <c r="G152" s="341">
        <f t="shared" si="84"/>
        <v>0</v>
      </c>
      <c r="H152" s="341">
        <f t="shared" si="84"/>
        <v>0</v>
      </c>
      <c r="I152" s="341">
        <f t="shared" si="84"/>
        <v>0</v>
      </c>
      <c r="J152" s="341">
        <f t="shared" si="84"/>
        <v>0</v>
      </c>
      <c r="K152" s="341">
        <f t="shared" si="84"/>
        <v>0</v>
      </c>
      <c r="L152" s="341">
        <f t="shared" si="84"/>
        <v>0</v>
      </c>
      <c r="M152" s="341">
        <f t="shared" si="84"/>
        <v>0</v>
      </c>
      <c r="N152" s="342">
        <f t="shared" si="84"/>
        <v>0</v>
      </c>
      <c r="O152" s="410"/>
      <c r="P152" s="343"/>
      <c r="Q152" s="343"/>
      <c r="R152" s="343"/>
      <c r="S152" s="343"/>
      <c r="T152" s="249">
        <f>T146+T149+T151</f>
        <v>0</v>
      </c>
      <c r="U152" s="377"/>
      <c r="V152" s="251">
        <f>V146+V149+V151</f>
        <v>0</v>
      </c>
      <c r="W152" s="345">
        <f>W146+W149+W151</f>
        <v>0</v>
      </c>
      <c r="X152" s="346"/>
      <c r="Y152" s="347"/>
      <c r="Z152" s="347"/>
      <c r="AA152" s="347"/>
      <c r="AB152" s="347"/>
      <c r="AC152" s="347"/>
      <c r="AD152" s="255">
        <f>AD146+AD149+AD151</f>
        <v>0</v>
      </c>
      <c r="AE152" s="348">
        <f>AE146+AE149+AE151</f>
        <v>0</v>
      </c>
      <c r="AF152" s="349">
        <f>AF146+AF149+AF151</f>
        <v>0</v>
      </c>
      <c r="AG152" s="351">
        <f>AG146+AG149+AG151</f>
        <v>0</v>
      </c>
      <c r="AH152" s="258">
        <f t="shared" si="74"/>
        <v>0</v>
      </c>
    </row>
    <row r="153" spans="1:34" ht="15.75" thickBot="1" x14ac:dyDescent="0.3">
      <c r="A153" s="571" t="s">
        <v>406</v>
      </c>
      <c r="B153" s="572"/>
      <c r="C153" s="573"/>
      <c r="D153" s="573"/>
      <c r="E153" s="573"/>
      <c r="F153" s="573"/>
      <c r="G153" s="573"/>
      <c r="H153" s="573"/>
      <c r="I153" s="573"/>
      <c r="J153" s="573"/>
      <c r="K153" s="573"/>
      <c r="L153" s="573"/>
      <c r="M153" s="573"/>
      <c r="N153" s="246">
        <f>SUM(B153:M153)</f>
        <v>0</v>
      </c>
      <c r="O153" s="247"/>
      <c r="P153" s="248"/>
      <c r="Q153" s="248"/>
      <c r="R153" s="248"/>
      <c r="S153" s="248"/>
      <c r="T153" s="577"/>
      <c r="U153" s="250"/>
      <c r="V153" s="579"/>
      <c r="W153" s="587"/>
      <c r="X153" s="253"/>
      <c r="Y153" s="254"/>
      <c r="Z153" s="254"/>
      <c r="AA153" s="254"/>
      <c r="AB153" s="254"/>
      <c r="AC153" s="254"/>
      <c r="AD153" s="583"/>
      <c r="AE153" s="588"/>
      <c r="AF153" s="589"/>
      <c r="AG153" s="590"/>
      <c r="AH153" s="258">
        <f t="shared" si="74"/>
        <v>0</v>
      </c>
    </row>
    <row r="154" spans="1:34" ht="15.75" thickBot="1" x14ac:dyDescent="0.3">
      <c r="A154" s="571" t="s">
        <v>407</v>
      </c>
      <c r="B154" s="572"/>
      <c r="C154" s="573"/>
      <c r="D154" s="573"/>
      <c r="E154" s="573"/>
      <c r="F154" s="573"/>
      <c r="G154" s="573"/>
      <c r="H154" s="573"/>
      <c r="I154" s="573"/>
      <c r="J154" s="573"/>
      <c r="K154" s="573"/>
      <c r="L154" s="573"/>
      <c r="M154" s="573"/>
      <c r="N154" s="246">
        <f>SUM(B154:M154)</f>
        <v>0</v>
      </c>
      <c r="O154" s="247"/>
      <c r="P154" s="248"/>
      <c r="Q154" s="248"/>
      <c r="R154" s="248"/>
      <c r="S154" s="248"/>
      <c r="T154" s="577"/>
      <c r="U154" s="250"/>
      <c r="V154" s="579"/>
      <c r="W154" s="587"/>
      <c r="X154" s="253"/>
      <c r="Y154" s="254"/>
      <c r="Z154" s="254"/>
      <c r="AA154" s="254"/>
      <c r="AB154" s="254"/>
      <c r="AC154" s="254"/>
      <c r="AD154" s="583"/>
      <c r="AE154" s="588"/>
      <c r="AF154" s="589"/>
      <c r="AG154" s="590"/>
      <c r="AH154" s="258">
        <f t="shared" si="74"/>
        <v>0</v>
      </c>
    </row>
    <row r="155" spans="1:34" ht="15.75" thickBot="1" x14ac:dyDescent="0.3">
      <c r="A155" s="571" t="s">
        <v>408</v>
      </c>
      <c r="B155" s="572"/>
      <c r="C155" s="573"/>
      <c r="D155" s="573"/>
      <c r="E155" s="573"/>
      <c r="F155" s="573"/>
      <c r="G155" s="573"/>
      <c r="H155" s="573"/>
      <c r="I155" s="573"/>
      <c r="J155" s="573"/>
      <c r="K155" s="573"/>
      <c r="L155" s="573"/>
      <c r="M155" s="573"/>
      <c r="N155" s="246">
        <f>SUM(B155:M155)</f>
        <v>0</v>
      </c>
      <c r="O155" s="247"/>
      <c r="P155" s="248"/>
      <c r="Q155" s="248"/>
      <c r="R155" s="248"/>
      <c r="S155" s="248"/>
      <c r="T155" s="577"/>
      <c r="U155" s="250"/>
      <c r="V155" s="579"/>
      <c r="W155" s="587"/>
      <c r="X155" s="253"/>
      <c r="Y155" s="254"/>
      <c r="Z155" s="254"/>
      <c r="AA155" s="254"/>
      <c r="AB155" s="254"/>
      <c r="AC155" s="254"/>
      <c r="AD155" s="583"/>
      <c r="AE155" s="588"/>
      <c r="AF155" s="589"/>
      <c r="AG155" s="590"/>
      <c r="AH155" s="258">
        <f t="shared" si="74"/>
        <v>0</v>
      </c>
    </row>
    <row r="156" spans="1:34" ht="15.75" thickBot="1" x14ac:dyDescent="0.3">
      <c r="A156" s="571" t="s">
        <v>409</v>
      </c>
      <c r="B156" s="572"/>
      <c r="C156" s="573"/>
      <c r="D156" s="573"/>
      <c r="E156" s="573"/>
      <c r="F156" s="573"/>
      <c r="G156" s="573"/>
      <c r="H156" s="573"/>
      <c r="I156" s="573"/>
      <c r="J156" s="573"/>
      <c r="K156" s="573"/>
      <c r="L156" s="573"/>
      <c r="M156" s="573"/>
      <c r="N156" s="246">
        <f>SUM(B156:M156)</f>
        <v>0</v>
      </c>
      <c r="O156" s="247"/>
      <c r="P156" s="248"/>
      <c r="Q156" s="248"/>
      <c r="R156" s="248"/>
      <c r="S156" s="248"/>
      <c r="T156" s="577"/>
      <c r="U156" s="250"/>
      <c r="V156" s="579"/>
      <c r="W156" s="587"/>
      <c r="X156" s="253"/>
      <c r="Y156" s="254"/>
      <c r="Z156" s="254"/>
      <c r="AA156" s="254"/>
      <c r="AB156" s="254"/>
      <c r="AC156" s="254"/>
      <c r="AD156" s="583"/>
      <c r="AE156" s="588"/>
      <c r="AF156" s="589"/>
      <c r="AG156" s="590"/>
      <c r="AH156" s="258">
        <f t="shared" si="74"/>
        <v>0</v>
      </c>
    </row>
    <row r="157" spans="1:34" ht="15.75" thickBot="1" x14ac:dyDescent="0.3">
      <c r="A157" s="571" t="s">
        <v>410</v>
      </c>
      <c r="B157" s="572"/>
      <c r="C157" s="573"/>
      <c r="D157" s="573"/>
      <c r="E157" s="573"/>
      <c r="F157" s="573"/>
      <c r="G157" s="573"/>
      <c r="H157" s="573"/>
      <c r="I157" s="573"/>
      <c r="J157" s="573"/>
      <c r="K157" s="573"/>
      <c r="L157" s="573"/>
      <c r="M157" s="573"/>
      <c r="N157" s="246">
        <f>SUM(B157:M157)</f>
        <v>0</v>
      </c>
      <c r="O157" s="247"/>
      <c r="P157" s="248"/>
      <c r="Q157" s="248"/>
      <c r="R157" s="248"/>
      <c r="S157" s="248"/>
      <c r="T157" s="577"/>
      <c r="U157" s="250"/>
      <c r="V157" s="579"/>
      <c r="W157" s="587"/>
      <c r="X157" s="253"/>
      <c r="Y157" s="254"/>
      <c r="Z157" s="254"/>
      <c r="AA157" s="254"/>
      <c r="AB157" s="254"/>
      <c r="AC157" s="254"/>
      <c r="AD157" s="583"/>
      <c r="AE157" s="588"/>
      <c r="AF157" s="589"/>
      <c r="AG157" s="590"/>
      <c r="AH157" s="258">
        <f t="shared" si="74"/>
        <v>0</v>
      </c>
    </row>
    <row r="158" spans="1:34" ht="15.75" thickBot="1" x14ac:dyDescent="0.3">
      <c r="A158" s="339" t="s">
        <v>411</v>
      </c>
      <c r="B158" s="340">
        <f t="shared" ref="B158:N158" si="85">SUM(B153:B157)</f>
        <v>0</v>
      </c>
      <c r="C158" s="341">
        <f t="shared" si="85"/>
        <v>0</v>
      </c>
      <c r="D158" s="341">
        <f t="shared" si="85"/>
        <v>0</v>
      </c>
      <c r="E158" s="341">
        <f t="shared" si="85"/>
        <v>0</v>
      </c>
      <c r="F158" s="341">
        <f t="shared" si="85"/>
        <v>0</v>
      </c>
      <c r="G158" s="341">
        <f t="shared" si="85"/>
        <v>0</v>
      </c>
      <c r="H158" s="341">
        <f t="shared" si="85"/>
        <v>0</v>
      </c>
      <c r="I158" s="341">
        <f t="shared" si="85"/>
        <v>0</v>
      </c>
      <c r="J158" s="341">
        <f t="shared" si="85"/>
        <v>0</v>
      </c>
      <c r="K158" s="341">
        <f t="shared" si="85"/>
        <v>0</v>
      </c>
      <c r="L158" s="341">
        <f t="shared" si="85"/>
        <v>0</v>
      </c>
      <c r="M158" s="341">
        <f t="shared" si="85"/>
        <v>0</v>
      </c>
      <c r="N158" s="342">
        <f t="shared" si="85"/>
        <v>0</v>
      </c>
      <c r="O158" s="410"/>
      <c r="P158" s="343"/>
      <c r="Q158" s="343"/>
      <c r="R158" s="343"/>
      <c r="S158" s="343"/>
      <c r="T158" s="249">
        <f>SUM(T153:T157)</f>
        <v>0</v>
      </c>
      <c r="U158" s="377"/>
      <c r="V158" s="251">
        <f>SUM(V153:V157)</f>
        <v>0</v>
      </c>
      <c r="W158" s="345">
        <f>SUM(W153:W157)</f>
        <v>0</v>
      </c>
      <c r="X158" s="346"/>
      <c r="Y158" s="347"/>
      <c r="Z158" s="347"/>
      <c r="AA158" s="347"/>
      <c r="AB158" s="347"/>
      <c r="AC158" s="347"/>
      <c r="AD158" s="255">
        <f>SUM(AD153:AD157)</f>
        <v>0</v>
      </c>
      <c r="AE158" s="348">
        <f>SUM(AE153:AE157)</f>
        <v>0</v>
      </c>
      <c r="AF158" s="349">
        <f>SUM(AF153:AF157)</f>
        <v>0</v>
      </c>
      <c r="AG158" s="351">
        <f>SUM(AG153:AG157)</f>
        <v>0</v>
      </c>
      <c r="AH158" s="258">
        <f t="shared" si="74"/>
        <v>0</v>
      </c>
    </row>
    <row r="159" spans="1:34" ht="16.5" thickBot="1" x14ac:dyDescent="0.3">
      <c r="A159" s="433" t="s">
        <v>412</v>
      </c>
      <c r="B159" s="434">
        <f t="shared" ref="B159:N159" si="86">B143+B152+B158</f>
        <v>0</v>
      </c>
      <c r="C159" s="435">
        <f t="shared" si="86"/>
        <v>0</v>
      </c>
      <c r="D159" s="435">
        <f t="shared" si="86"/>
        <v>0</v>
      </c>
      <c r="E159" s="435">
        <f t="shared" si="86"/>
        <v>0</v>
      </c>
      <c r="F159" s="435">
        <f t="shared" si="86"/>
        <v>0</v>
      </c>
      <c r="G159" s="435">
        <f t="shared" si="86"/>
        <v>0</v>
      </c>
      <c r="H159" s="435">
        <f t="shared" si="86"/>
        <v>0</v>
      </c>
      <c r="I159" s="435">
        <f t="shared" si="86"/>
        <v>0</v>
      </c>
      <c r="J159" s="435">
        <f t="shared" si="86"/>
        <v>0</v>
      </c>
      <c r="K159" s="435">
        <f t="shared" si="86"/>
        <v>0</v>
      </c>
      <c r="L159" s="435">
        <f t="shared" si="86"/>
        <v>0</v>
      </c>
      <c r="M159" s="435">
        <f t="shared" si="86"/>
        <v>0</v>
      </c>
      <c r="N159" s="436">
        <f t="shared" si="86"/>
        <v>0</v>
      </c>
      <c r="O159" s="437"/>
      <c r="P159" s="438"/>
      <c r="Q159" s="438"/>
      <c r="R159" s="438"/>
      <c r="S159" s="438"/>
      <c r="T159" s="439">
        <f>T143+T152+T158</f>
        <v>0</v>
      </c>
      <c r="U159" s="440"/>
      <c r="V159" s="441">
        <f>V143+V152+V158</f>
        <v>0</v>
      </c>
      <c r="W159" s="442">
        <f>W143+W152+W158</f>
        <v>0</v>
      </c>
      <c r="X159" s="443"/>
      <c r="Y159" s="444"/>
      <c r="Z159" s="444"/>
      <c r="AA159" s="444"/>
      <c r="AB159" s="444"/>
      <c r="AC159" s="444"/>
      <c r="AD159" s="445">
        <f>AD143+AD152+AD158</f>
        <v>0</v>
      </c>
      <c r="AE159" s="446">
        <f>AE143+AE152+AE158</f>
        <v>0</v>
      </c>
      <c r="AF159" s="447">
        <f>AF143+AF152+AF158</f>
        <v>0</v>
      </c>
      <c r="AG159" s="448">
        <f>AG143+AG152+AG158</f>
        <v>0</v>
      </c>
      <c r="AH159" s="305">
        <f t="shared" si="74"/>
        <v>0</v>
      </c>
    </row>
    <row r="160" spans="1:34" x14ac:dyDescent="0.25">
      <c r="A160" s="615" t="s">
        <v>413</v>
      </c>
      <c r="B160" s="616">
        <v>350000</v>
      </c>
      <c r="C160" s="617"/>
      <c r="D160" s="617"/>
      <c r="E160" s="617"/>
      <c r="F160" s="617"/>
      <c r="G160" s="617"/>
      <c r="H160" s="617"/>
      <c r="I160" s="617"/>
      <c r="J160" s="617"/>
      <c r="K160" s="617"/>
      <c r="L160" s="617"/>
      <c r="M160" s="617"/>
      <c r="N160" s="618">
        <f>SUM(B160,M160)</f>
        <v>350000</v>
      </c>
      <c r="O160" s="619"/>
      <c r="P160" s="620"/>
      <c r="Q160" s="620"/>
      <c r="R160" s="620"/>
      <c r="S160" s="620"/>
      <c r="T160" s="621"/>
      <c r="U160" s="622"/>
      <c r="V160" s="623"/>
      <c r="W160" s="624"/>
      <c r="X160" s="625"/>
      <c r="Y160" s="626"/>
      <c r="Z160" s="626"/>
      <c r="AA160" s="626"/>
      <c r="AB160" s="626"/>
      <c r="AC160" s="626">
        <f>8300000+680000</f>
        <v>8980000</v>
      </c>
      <c r="AD160" s="627">
        <f>AC160</f>
        <v>8980000</v>
      </c>
      <c r="AE160" s="628"/>
      <c r="AF160" s="629"/>
      <c r="AG160" s="630"/>
      <c r="AH160" s="201">
        <f>N160+T160+W160+AE160+AF160+AG160+AD160</f>
        <v>9330000</v>
      </c>
    </row>
    <row r="161" spans="1:34" x14ac:dyDescent="0.25">
      <c r="A161" s="631" t="s">
        <v>414</v>
      </c>
      <c r="B161" s="632"/>
      <c r="C161" s="633"/>
      <c r="D161" s="633"/>
      <c r="E161" s="633"/>
      <c r="F161" s="633"/>
      <c r="G161" s="633"/>
      <c r="H161" s="633"/>
      <c r="I161" s="633"/>
      <c r="J161" s="633"/>
      <c r="K161" s="633"/>
      <c r="L161" s="633"/>
      <c r="M161" s="633">
        <v>50000</v>
      </c>
      <c r="N161" s="634">
        <f>SUM(B161:M161)</f>
        <v>50000</v>
      </c>
      <c r="O161" s="635"/>
      <c r="P161" s="636"/>
      <c r="Q161" s="636"/>
      <c r="R161" s="636"/>
      <c r="S161" s="636"/>
      <c r="T161" s="637"/>
      <c r="U161" s="638"/>
      <c r="V161" s="639"/>
      <c r="W161" s="640"/>
      <c r="X161" s="641"/>
      <c r="Y161" s="642"/>
      <c r="Z161" s="642"/>
      <c r="AA161" s="642"/>
      <c r="AB161" s="642"/>
      <c r="AC161" s="642"/>
      <c r="AD161" s="643"/>
      <c r="AE161" s="644"/>
      <c r="AF161" s="645"/>
      <c r="AG161" s="646"/>
      <c r="AH161" s="215">
        <f>N161+T161+W161+AE161+AF161+AG161</f>
        <v>50000</v>
      </c>
    </row>
    <row r="162" spans="1:34" ht="45" x14ac:dyDescent="0.25">
      <c r="A162" s="310" t="s">
        <v>415</v>
      </c>
      <c r="B162" s="311"/>
      <c r="C162" s="312"/>
      <c r="D162" s="312"/>
      <c r="E162" s="312"/>
      <c r="F162" s="312"/>
      <c r="G162" s="312"/>
      <c r="H162" s="312"/>
      <c r="I162" s="312"/>
      <c r="J162" s="312"/>
      <c r="K162" s="312"/>
      <c r="L162" s="312"/>
      <c r="M162" s="312"/>
      <c r="N162" s="634">
        <f>SUM(B162:M162)</f>
        <v>0</v>
      </c>
      <c r="O162" s="635"/>
      <c r="P162" s="636"/>
      <c r="Q162" s="636"/>
      <c r="R162" s="636"/>
      <c r="S162" s="636"/>
      <c r="T162" s="380"/>
      <c r="U162" s="638"/>
      <c r="V162" s="381"/>
      <c r="W162" s="498"/>
      <c r="X162" s="641"/>
      <c r="Y162" s="642"/>
      <c r="Z162" s="642"/>
      <c r="AA162" s="642"/>
      <c r="AB162" s="642"/>
      <c r="AC162" s="642"/>
      <c r="AD162" s="383"/>
      <c r="AE162" s="501"/>
      <c r="AF162" s="502"/>
      <c r="AG162" s="388"/>
      <c r="AH162" s="215">
        <f>N162+T162+W162+AE162+AF162+AG162</f>
        <v>0</v>
      </c>
    </row>
    <row r="163" spans="1:34" x14ac:dyDescent="0.25">
      <c r="A163" s="478" t="s">
        <v>416</v>
      </c>
      <c r="B163" s="479">
        <f t="shared" ref="B163:M163" si="87">B162</f>
        <v>0</v>
      </c>
      <c r="C163" s="480">
        <f t="shared" si="87"/>
        <v>0</v>
      </c>
      <c r="D163" s="480">
        <f t="shared" si="87"/>
        <v>0</v>
      </c>
      <c r="E163" s="480">
        <f t="shared" si="87"/>
        <v>0</v>
      </c>
      <c r="F163" s="480">
        <f t="shared" si="87"/>
        <v>0</v>
      </c>
      <c r="G163" s="480">
        <f t="shared" si="87"/>
        <v>0</v>
      </c>
      <c r="H163" s="480">
        <f t="shared" si="87"/>
        <v>0</v>
      </c>
      <c r="I163" s="480">
        <f t="shared" si="87"/>
        <v>0</v>
      </c>
      <c r="J163" s="480">
        <f t="shared" si="87"/>
        <v>0</v>
      </c>
      <c r="K163" s="480">
        <f t="shared" si="87"/>
        <v>0</v>
      </c>
      <c r="L163" s="480">
        <f t="shared" si="87"/>
        <v>0</v>
      </c>
      <c r="M163" s="480">
        <f t="shared" si="87"/>
        <v>0</v>
      </c>
      <c r="N163" s="634">
        <f>SUM(B163:M163)</f>
        <v>0</v>
      </c>
      <c r="O163" s="635"/>
      <c r="P163" s="636"/>
      <c r="Q163" s="636"/>
      <c r="R163" s="636"/>
      <c r="S163" s="636"/>
      <c r="T163" s="484">
        <f>T162</f>
        <v>0</v>
      </c>
      <c r="U163" s="638"/>
      <c r="V163" s="486">
        <f>V162</f>
        <v>0</v>
      </c>
      <c r="W163" s="487">
        <f>W162</f>
        <v>0</v>
      </c>
      <c r="X163" s="641"/>
      <c r="Y163" s="642"/>
      <c r="Z163" s="642"/>
      <c r="AA163" s="642"/>
      <c r="AB163" s="642"/>
      <c r="AC163" s="642"/>
      <c r="AD163" s="490">
        <f>AD162</f>
        <v>0</v>
      </c>
      <c r="AE163" s="491">
        <f>AE162</f>
        <v>0</v>
      </c>
      <c r="AF163" s="492">
        <f>AF162</f>
        <v>0</v>
      </c>
      <c r="AG163" s="493">
        <f>AG162</f>
        <v>0</v>
      </c>
      <c r="AH163" s="215">
        <f>N163+T163+W163+AE163+AF163+AG163</f>
        <v>0</v>
      </c>
    </row>
    <row r="164" spans="1:34" x14ac:dyDescent="0.25">
      <c r="A164" s="478" t="s">
        <v>417</v>
      </c>
      <c r="B164" s="479"/>
      <c r="C164" s="480"/>
      <c r="D164" s="480"/>
      <c r="E164" s="480"/>
      <c r="F164" s="480"/>
      <c r="G164" s="480"/>
      <c r="H164" s="480"/>
      <c r="I164" s="480"/>
      <c r="J164" s="480"/>
      <c r="K164" s="480"/>
      <c r="L164" s="480"/>
      <c r="M164" s="480"/>
      <c r="N164" s="634">
        <f>SUM(B164:M164)</f>
        <v>0</v>
      </c>
      <c r="O164" s="635"/>
      <c r="P164" s="636"/>
      <c r="Q164" s="636"/>
      <c r="R164" s="636"/>
      <c r="S164" s="636"/>
      <c r="T164" s="484"/>
      <c r="U164" s="638"/>
      <c r="V164" s="486"/>
      <c r="W164" s="537"/>
      <c r="X164" s="641"/>
      <c r="Y164" s="642"/>
      <c r="Z164" s="642"/>
      <c r="AA164" s="642"/>
      <c r="AB164" s="642"/>
      <c r="AC164" s="642">
        <v>7400000</v>
      </c>
      <c r="AD164" s="490">
        <f>SUM(X164:AC164)</f>
        <v>7400000</v>
      </c>
      <c r="AE164" s="538"/>
      <c r="AF164" s="539"/>
      <c r="AG164" s="308"/>
      <c r="AH164" s="215">
        <f>N164+T164+W164+AE164+AF164+AG164+V164+AD164</f>
        <v>7400000</v>
      </c>
    </row>
    <row r="165" spans="1:34" x14ac:dyDescent="0.25">
      <c r="A165" s="478" t="s">
        <v>418</v>
      </c>
      <c r="B165" s="479"/>
      <c r="C165" s="480"/>
      <c r="D165" s="480"/>
      <c r="E165" s="480"/>
      <c r="F165" s="480"/>
      <c r="G165" s="480"/>
      <c r="H165" s="480"/>
      <c r="I165" s="480"/>
      <c r="J165" s="480"/>
      <c r="K165" s="480"/>
      <c r="L165" s="480"/>
      <c r="M165" s="480">
        <f>M161*27%</f>
        <v>13500</v>
      </c>
      <c r="N165" s="634">
        <f>SUM(B165:M165)</f>
        <v>13500</v>
      </c>
      <c r="O165" s="635"/>
      <c r="P165" s="636"/>
      <c r="Q165" s="636"/>
      <c r="R165" s="636"/>
      <c r="S165" s="636"/>
      <c r="T165" s="484"/>
      <c r="U165" s="638"/>
      <c r="V165" s="486"/>
      <c r="W165" s="537"/>
      <c r="X165" s="641"/>
      <c r="Y165" s="642"/>
      <c r="Z165" s="642"/>
      <c r="AA165" s="642"/>
      <c r="AB165" s="642"/>
      <c r="AC165" s="642">
        <f>(AC160+AC164)*27%+41138</f>
        <v>4463738</v>
      </c>
      <c r="AD165" s="490">
        <f>SUM(X165:AC165)</f>
        <v>4463738</v>
      </c>
      <c r="AE165" s="538"/>
      <c r="AF165" s="539"/>
      <c r="AG165" s="308"/>
      <c r="AH165" s="215">
        <f>N165+T165+W165+AE165+AF165+AG165+V165+AD165</f>
        <v>4477238</v>
      </c>
    </row>
    <row r="166" spans="1:34" x14ac:dyDescent="0.25">
      <c r="A166" s="478" t="s">
        <v>419</v>
      </c>
      <c r="B166" s="479"/>
      <c r="C166" s="480"/>
      <c r="D166" s="480"/>
      <c r="E166" s="480"/>
      <c r="F166" s="480"/>
      <c r="G166" s="480"/>
      <c r="H166" s="480"/>
      <c r="I166" s="480"/>
      <c r="J166" s="480"/>
      <c r="K166" s="480"/>
      <c r="L166" s="480"/>
      <c r="M166" s="480"/>
      <c r="N166" s="634">
        <f>SUM(B166,M166)</f>
        <v>0</v>
      </c>
      <c r="O166" s="635"/>
      <c r="P166" s="636"/>
      <c r="Q166" s="636"/>
      <c r="R166" s="636"/>
      <c r="S166" s="636"/>
      <c r="T166" s="484"/>
      <c r="U166" s="638"/>
      <c r="V166" s="486"/>
      <c r="W166" s="537"/>
      <c r="X166" s="641"/>
      <c r="Y166" s="642"/>
      <c r="Z166" s="642"/>
      <c r="AA166" s="642"/>
      <c r="AB166" s="642"/>
      <c r="AC166" s="642">
        <v>5240000</v>
      </c>
      <c r="AD166" s="490">
        <f>SUM(X166:AC166)</f>
        <v>5240000</v>
      </c>
      <c r="AE166" s="538"/>
      <c r="AF166" s="539"/>
      <c r="AG166" s="308"/>
      <c r="AH166" s="215">
        <f>N166+T166+W166+AE166+AF166+AG166+V166+AD166</f>
        <v>5240000</v>
      </c>
    </row>
    <row r="167" spans="1:34" x14ac:dyDescent="0.25">
      <c r="A167" s="478" t="s">
        <v>420</v>
      </c>
      <c r="B167" s="479"/>
      <c r="C167" s="480"/>
      <c r="D167" s="480"/>
      <c r="E167" s="480"/>
      <c r="F167" s="480"/>
      <c r="G167" s="480"/>
      <c r="H167" s="480"/>
      <c r="I167" s="480"/>
      <c r="J167" s="480"/>
      <c r="K167" s="480"/>
      <c r="L167" s="480"/>
      <c r="M167" s="480"/>
      <c r="N167" s="494">
        <f>SUM(B167:M167)</f>
        <v>0</v>
      </c>
      <c r="O167" s="495"/>
      <c r="P167" s="496"/>
      <c r="Q167" s="496"/>
      <c r="R167" s="496"/>
      <c r="S167" s="496"/>
      <c r="T167" s="484"/>
      <c r="U167" s="497"/>
      <c r="V167" s="486"/>
      <c r="W167" s="537"/>
      <c r="X167" s="499"/>
      <c r="Y167" s="500"/>
      <c r="Z167" s="500"/>
      <c r="AA167" s="500"/>
      <c r="AB167" s="500"/>
      <c r="AC167" s="500"/>
      <c r="AD167" s="490"/>
      <c r="AE167" s="538"/>
      <c r="AF167" s="539"/>
      <c r="AG167" s="308"/>
      <c r="AH167" s="215">
        <f>N167+T167+W167+AE167+AF167+AG167+V167+AD167</f>
        <v>0</v>
      </c>
    </row>
    <row r="168" spans="1:34" x14ac:dyDescent="0.25">
      <c r="A168" s="310" t="s">
        <v>421</v>
      </c>
      <c r="B168" s="311"/>
      <c r="C168" s="312"/>
      <c r="D168" s="312"/>
      <c r="E168" s="312"/>
      <c r="F168" s="312"/>
      <c r="G168" s="312"/>
      <c r="H168" s="312"/>
      <c r="I168" s="312"/>
      <c r="J168" s="312"/>
      <c r="K168" s="312"/>
      <c r="L168" s="312"/>
      <c r="M168" s="312"/>
      <c r="N168" s="494">
        <f>SUM(B168:M168)</f>
        <v>0</v>
      </c>
      <c r="O168" s="495"/>
      <c r="P168" s="496"/>
      <c r="Q168" s="496"/>
      <c r="R168" s="496"/>
      <c r="S168" s="496"/>
      <c r="T168" s="380"/>
      <c r="U168" s="497"/>
      <c r="V168" s="381"/>
      <c r="W168" s="498"/>
      <c r="X168" s="499"/>
      <c r="Y168" s="500"/>
      <c r="Z168" s="500"/>
      <c r="AA168" s="500"/>
      <c r="AB168" s="500"/>
      <c r="AC168" s="500"/>
      <c r="AD168" s="383"/>
      <c r="AE168" s="501"/>
      <c r="AF168" s="502"/>
      <c r="AG168" s="388"/>
      <c r="AH168" s="215">
        <f>N168+T168+W168+AE168+AF168+AG168+V168+AD168</f>
        <v>0</v>
      </c>
    </row>
    <row r="169" spans="1:34" ht="15.75" thickBot="1" x14ac:dyDescent="0.3">
      <c r="A169" s="540" t="s">
        <v>421</v>
      </c>
      <c r="B169" s="541">
        <f t="shared" ref="B169:N169" si="88">B168</f>
        <v>0</v>
      </c>
      <c r="C169" s="542">
        <f t="shared" si="88"/>
        <v>0</v>
      </c>
      <c r="D169" s="542">
        <f t="shared" si="88"/>
        <v>0</v>
      </c>
      <c r="E169" s="542">
        <f t="shared" si="88"/>
        <v>0</v>
      </c>
      <c r="F169" s="542">
        <f t="shared" si="88"/>
        <v>0</v>
      </c>
      <c r="G169" s="542">
        <f t="shared" si="88"/>
        <v>0</v>
      </c>
      <c r="H169" s="542">
        <f t="shared" si="88"/>
        <v>0</v>
      </c>
      <c r="I169" s="542">
        <f t="shared" si="88"/>
        <v>0</v>
      </c>
      <c r="J169" s="542">
        <f t="shared" si="88"/>
        <v>0</v>
      </c>
      <c r="K169" s="542">
        <f t="shared" si="88"/>
        <v>0</v>
      </c>
      <c r="L169" s="542">
        <f t="shared" si="88"/>
        <v>0</v>
      </c>
      <c r="M169" s="542">
        <f t="shared" si="88"/>
        <v>0</v>
      </c>
      <c r="N169" s="647">
        <f t="shared" si="88"/>
        <v>0</v>
      </c>
      <c r="O169" s="648"/>
      <c r="P169" s="649"/>
      <c r="Q169" s="649"/>
      <c r="R169" s="649"/>
      <c r="S169" s="649"/>
      <c r="T169" s="546">
        <f>T168</f>
        <v>0</v>
      </c>
      <c r="U169" s="650"/>
      <c r="V169" s="548">
        <f>V168</f>
        <v>0</v>
      </c>
      <c r="W169" s="651">
        <f>W168</f>
        <v>0</v>
      </c>
      <c r="X169" s="652"/>
      <c r="Y169" s="653"/>
      <c r="Z169" s="653"/>
      <c r="AA169" s="653"/>
      <c r="AB169" s="653"/>
      <c r="AC169" s="653"/>
      <c r="AD169" s="552">
        <f>AD168</f>
        <v>0</v>
      </c>
      <c r="AE169" s="654">
        <f>AE168</f>
        <v>0</v>
      </c>
      <c r="AF169" s="655">
        <f>AF168</f>
        <v>0</v>
      </c>
      <c r="AG169" s="656">
        <f>AG168</f>
        <v>0</v>
      </c>
      <c r="AH169" s="241">
        <f>N169+T169+W169+AE169+AF169+AG169</f>
        <v>0</v>
      </c>
    </row>
    <row r="170" spans="1:34" ht="16.5" thickBot="1" x14ac:dyDescent="0.3">
      <c r="A170" s="433" t="s">
        <v>422</v>
      </c>
      <c r="B170" s="434">
        <f>B163+B164+B165+B166+B167+B169+B161+B160</f>
        <v>350000</v>
      </c>
      <c r="C170" s="435">
        <f>C163+C164+C165+C166+C167+C169+C161+C160</f>
        <v>0</v>
      </c>
      <c r="D170" s="435">
        <f t="shared" ref="D170:M170" si="89">D163+D164+D165+D166+D167+D169+D161+D160</f>
        <v>0</v>
      </c>
      <c r="E170" s="435">
        <f t="shared" si="89"/>
        <v>0</v>
      </c>
      <c r="F170" s="435">
        <f t="shared" si="89"/>
        <v>0</v>
      </c>
      <c r="G170" s="435">
        <f t="shared" si="89"/>
        <v>0</v>
      </c>
      <c r="H170" s="435">
        <f t="shared" si="89"/>
        <v>0</v>
      </c>
      <c r="I170" s="435">
        <f t="shared" si="89"/>
        <v>0</v>
      </c>
      <c r="J170" s="435">
        <f t="shared" si="89"/>
        <v>0</v>
      </c>
      <c r="K170" s="435">
        <f t="shared" si="89"/>
        <v>0</v>
      </c>
      <c r="L170" s="435">
        <f t="shared" si="89"/>
        <v>0</v>
      </c>
      <c r="M170" s="435">
        <f t="shared" si="89"/>
        <v>63500</v>
      </c>
      <c r="N170" s="436">
        <f>N163+N164+N165+N166+N167+N169+N160+N161</f>
        <v>413500</v>
      </c>
      <c r="O170" s="437"/>
      <c r="P170" s="438"/>
      <c r="Q170" s="438"/>
      <c r="R170" s="438"/>
      <c r="S170" s="438"/>
      <c r="T170" s="439">
        <f>T163+T164+T165+T166+T167+T169+T160+T161</f>
        <v>0</v>
      </c>
      <c r="U170" s="440"/>
      <c r="V170" s="441">
        <f>V163+V164+V165+V166+V167+V169+V160+V161</f>
        <v>0</v>
      </c>
      <c r="W170" s="442">
        <f>W163+W164+W165+W166+W167+W169+W160+W161</f>
        <v>0</v>
      </c>
      <c r="X170" s="443"/>
      <c r="Y170" s="444"/>
      <c r="Z170" s="444"/>
      <c r="AA170" s="444"/>
      <c r="AB170" s="444"/>
      <c r="AC170" s="1233">
        <f t="shared" ref="AC170:AH170" si="90">AC163+AC164+AC165+AC166+AC167+AC169+AC160+AC161</f>
        <v>26083738</v>
      </c>
      <c r="AD170" s="445">
        <f t="shared" si="90"/>
        <v>26083738</v>
      </c>
      <c r="AE170" s="446">
        <f t="shared" si="90"/>
        <v>0</v>
      </c>
      <c r="AF170" s="447">
        <f t="shared" si="90"/>
        <v>0</v>
      </c>
      <c r="AG170" s="448">
        <f t="shared" si="90"/>
        <v>0</v>
      </c>
      <c r="AH170" s="448">
        <f t="shared" si="90"/>
        <v>26497238</v>
      </c>
    </row>
    <row r="171" spans="1:34" x14ac:dyDescent="0.25">
      <c r="A171" s="556" t="s">
        <v>423</v>
      </c>
      <c r="B171" s="557"/>
      <c r="C171" s="558"/>
      <c r="D171" s="558"/>
      <c r="E171" s="558"/>
      <c r="F171" s="558"/>
      <c r="G171" s="558"/>
      <c r="H171" s="558"/>
      <c r="I171" s="558"/>
      <c r="J171" s="558"/>
      <c r="K171" s="558"/>
      <c r="L171" s="558"/>
      <c r="M171" s="558"/>
      <c r="N171" s="466">
        <f>SUM(B171:M171)</f>
        <v>0</v>
      </c>
      <c r="O171" s="467"/>
      <c r="P171" s="468"/>
      <c r="Q171" s="468"/>
      <c r="R171" s="468"/>
      <c r="S171" s="468"/>
      <c r="T171" s="559"/>
      <c r="U171" s="470"/>
      <c r="V171" s="560"/>
      <c r="W171" s="561"/>
      <c r="X171" s="473"/>
      <c r="Y171" s="474"/>
      <c r="Z171" s="474"/>
      <c r="AA171" s="474"/>
      <c r="AB171" s="474"/>
      <c r="AC171" s="474"/>
      <c r="AD171" s="562"/>
      <c r="AE171" s="563"/>
      <c r="AF171" s="564"/>
      <c r="AG171" s="358"/>
      <c r="AH171" s="201">
        <f t="shared" ref="AH171:AH185" si="91">N171+T171+W171+AE171+AF171+AG171</f>
        <v>0</v>
      </c>
    </row>
    <row r="172" spans="1:34" ht="15.75" thickBot="1" x14ac:dyDescent="0.3">
      <c r="A172" s="540" t="s">
        <v>424</v>
      </c>
      <c r="B172" s="541"/>
      <c r="C172" s="542"/>
      <c r="D172" s="542"/>
      <c r="E172" s="542"/>
      <c r="F172" s="542"/>
      <c r="G172" s="542"/>
      <c r="H172" s="542"/>
      <c r="I172" s="542"/>
      <c r="J172" s="542"/>
      <c r="K172" s="542"/>
      <c r="L172" s="542"/>
      <c r="M172" s="542"/>
      <c r="N172" s="543">
        <f>SUM(B172:M172)</f>
        <v>0</v>
      </c>
      <c r="O172" s="544"/>
      <c r="P172" s="545"/>
      <c r="Q172" s="545"/>
      <c r="R172" s="545"/>
      <c r="S172" s="545"/>
      <c r="T172" s="546"/>
      <c r="U172" s="547"/>
      <c r="V172" s="548"/>
      <c r="W172" s="549"/>
      <c r="X172" s="550"/>
      <c r="Y172" s="551"/>
      <c r="Z172" s="551"/>
      <c r="AA172" s="551"/>
      <c r="AB172" s="551"/>
      <c r="AC172" s="551">
        <v>152362</v>
      </c>
      <c r="AD172" s="552">
        <f>AC172</f>
        <v>152362</v>
      </c>
      <c r="AE172" s="553"/>
      <c r="AF172" s="554"/>
      <c r="AG172" s="555"/>
      <c r="AH172" s="241">
        <f>N172+T172+W172+AE172+AF172+AG172+AD172</f>
        <v>152362</v>
      </c>
    </row>
    <row r="173" spans="1:34" ht="16.5" thickBot="1" x14ac:dyDescent="0.3">
      <c r="A173" s="433" t="s">
        <v>425</v>
      </c>
      <c r="B173" s="434">
        <f t="shared" ref="B173:N173" si="92">SUM(B171:B172)</f>
        <v>0</v>
      </c>
      <c r="C173" s="435">
        <f t="shared" si="92"/>
        <v>0</v>
      </c>
      <c r="D173" s="435">
        <f t="shared" si="92"/>
        <v>0</v>
      </c>
      <c r="E173" s="435">
        <f t="shared" si="92"/>
        <v>0</v>
      </c>
      <c r="F173" s="435">
        <f t="shared" si="92"/>
        <v>0</v>
      </c>
      <c r="G173" s="435">
        <f t="shared" si="92"/>
        <v>0</v>
      </c>
      <c r="H173" s="435">
        <f t="shared" si="92"/>
        <v>0</v>
      </c>
      <c r="I173" s="435">
        <f t="shared" si="92"/>
        <v>0</v>
      </c>
      <c r="J173" s="435">
        <f t="shared" si="92"/>
        <v>0</v>
      </c>
      <c r="K173" s="435">
        <f t="shared" si="92"/>
        <v>0</v>
      </c>
      <c r="L173" s="435">
        <f t="shared" si="92"/>
        <v>0</v>
      </c>
      <c r="M173" s="435">
        <f t="shared" si="92"/>
        <v>0</v>
      </c>
      <c r="N173" s="436">
        <f t="shared" si="92"/>
        <v>0</v>
      </c>
      <c r="O173" s="437"/>
      <c r="P173" s="438"/>
      <c r="Q173" s="438"/>
      <c r="R173" s="438"/>
      <c r="S173" s="438"/>
      <c r="T173" s="439">
        <f>SUM(T171:T172)</f>
        <v>0</v>
      </c>
      <c r="U173" s="440"/>
      <c r="V173" s="441">
        <f>SUM(V171:V172)</f>
        <v>0</v>
      </c>
      <c r="W173" s="442">
        <f>SUM(W171:W172)</f>
        <v>0</v>
      </c>
      <c r="X173" s="443"/>
      <c r="Y173" s="444"/>
      <c r="Z173" s="444"/>
      <c r="AA173" s="444"/>
      <c r="AB173" s="444"/>
      <c r="AC173" s="444">
        <f>AC172</f>
        <v>152362</v>
      </c>
      <c r="AD173" s="445">
        <f>SUM(AD171:AD172)</f>
        <v>152362</v>
      </c>
      <c r="AE173" s="446">
        <f>SUM(AE171:AE172)</f>
        <v>0</v>
      </c>
      <c r="AF173" s="447">
        <f>SUM(AF171:AF172)</f>
        <v>0</v>
      </c>
      <c r="AG173" s="448">
        <f>SUM(AG171:AG172)</f>
        <v>0</v>
      </c>
      <c r="AH173" s="305">
        <f>N173+T173+W173+AE173+AF173+AG173+AD173</f>
        <v>152362</v>
      </c>
    </row>
    <row r="174" spans="1:34" ht="15.75" thickBot="1" x14ac:dyDescent="0.3">
      <c r="A174" s="657" t="s">
        <v>426</v>
      </c>
      <c r="B174" s="658"/>
      <c r="C174" s="659"/>
      <c r="D174" s="659"/>
      <c r="E174" s="659"/>
      <c r="F174" s="659"/>
      <c r="G174" s="659"/>
      <c r="H174" s="659"/>
      <c r="I174" s="659"/>
      <c r="J174" s="659"/>
      <c r="K174" s="659"/>
      <c r="L174" s="659"/>
      <c r="M174" s="659"/>
      <c r="N174" s="660">
        <f>SUM(B174:M174)</f>
        <v>0</v>
      </c>
      <c r="O174" s="661"/>
      <c r="P174" s="662"/>
      <c r="Q174" s="662"/>
      <c r="R174" s="662"/>
      <c r="S174" s="662"/>
      <c r="T174" s="663"/>
      <c r="U174" s="664"/>
      <c r="V174" s="665"/>
      <c r="W174" s="666"/>
      <c r="X174" s="667"/>
      <c r="Y174" s="668"/>
      <c r="Z174" s="668"/>
      <c r="AA174" s="668"/>
      <c r="AB174" s="668"/>
      <c r="AC174" s="668"/>
      <c r="AD174" s="669"/>
      <c r="AE174" s="670"/>
      <c r="AF174" s="671"/>
      <c r="AG174" s="672"/>
      <c r="AH174" s="264">
        <f t="shared" si="91"/>
        <v>0</v>
      </c>
    </row>
    <row r="175" spans="1:34" ht="16.5" thickBot="1" x14ac:dyDescent="0.3">
      <c r="A175" s="433" t="s">
        <v>427</v>
      </c>
      <c r="B175" s="434">
        <f t="shared" ref="B175:N175" si="93">B174</f>
        <v>0</v>
      </c>
      <c r="C175" s="435">
        <f t="shared" si="93"/>
        <v>0</v>
      </c>
      <c r="D175" s="435">
        <f t="shared" si="93"/>
        <v>0</v>
      </c>
      <c r="E175" s="435">
        <f t="shared" si="93"/>
        <v>0</v>
      </c>
      <c r="F175" s="435">
        <f t="shared" si="93"/>
        <v>0</v>
      </c>
      <c r="G175" s="435">
        <f t="shared" si="93"/>
        <v>0</v>
      </c>
      <c r="H175" s="435">
        <f t="shared" si="93"/>
        <v>0</v>
      </c>
      <c r="I175" s="435">
        <f t="shared" si="93"/>
        <v>0</v>
      </c>
      <c r="J175" s="435">
        <f t="shared" si="93"/>
        <v>0</v>
      </c>
      <c r="K175" s="435">
        <f t="shared" si="93"/>
        <v>0</v>
      </c>
      <c r="L175" s="435">
        <f t="shared" si="93"/>
        <v>0</v>
      </c>
      <c r="M175" s="435">
        <f t="shared" si="93"/>
        <v>0</v>
      </c>
      <c r="N175" s="436">
        <f t="shared" si="93"/>
        <v>0</v>
      </c>
      <c r="O175" s="437"/>
      <c r="P175" s="438"/>
      <c r="Q175" s="438"/>
      <c r="R175" s="438"/>
      <c r="S175" s="438"/>
      <c r="T175" s="439">
        <f>T174</f>
        <v>0</v>
      </c>
      <c r="U175" s="440"/>
      <c r="V175" s="441">
        <f>V174</f>
        <v>0</v>
      </c>
      <c r="W175" s="442">
        <f>W174</f>
        <v>0</v>
      </c>
      <c r="X175" s="443"/>
      <c r="Y175" s="444"/>
      <c r="Z175" s="444"/>
      <c r="AA175" s="444"/>
      <c r="AB175" s="444"/>
      <c r="AC175" s="444"/>
      <c r="AD175" s="445">
        <f>AD174</f>
        <v>0</v>
      </c>
      <c r="AE175" s="446">
        <f>AE174</f>
        <v>0</v>
      </c>
      <c r="AF175" s="447">
        <f>AF174</f>
        <v>0</v>
      </c>
      <c r="AG175" s="448">
        <f>AG174</f>
        <v>0</v>
      </c>
      <c r="AH175" s="305">
        <f t="shared" si="91"/>
        <v>0</v>
      </c>
    </row>
    <row r="176" spans="1:34" ht="30.75" thickBot="1" x14ac:dyDescent="0.3">
      <c r="A176" s="657" t="s">
        <v>428</v>
      </c>
      <c r="B176" s="658"/>
      <c r="C176" s="659"/>
      <c r="D176" s="659"/>
      <c r="E176" s="659"/>
      <c r="F176" s="659"/>
      <c r="G176" s="659"/>
      <c r="H176" s="659"/>
      <c r="I176" s="659"/>
      <c r="J176" s="659"/>
      <c r="K176" s="659"/>
      <c r="L176" s="659"/>
      <c r="M176" s="659"/>
      <c r="N176" s="660"/>
      <c r="O176" s="661"/>
      <c r="P176" s="662"/>
      <c r="Q176" s="662"/>
      <c r="R176" s="662"/>
      <c r="S176" s="662"/>
      <c r="T176" s="663"/>
      <c r="U176" s="664"/>
      <c r="V176" s="665"/>
      <c r="W176" s="666"/>
      <c r="X176" s="667"/>
      <c r="Y176" s="668"/>
      <c r="Z176" s="668"/>
      <c r="AA176" s="668"/>
      <c r="AB176" s="668"/>
      <c r="AC176" s="668"/>
      <c r="AD176" s="669"/>
      <c r="AE176" s="670"/>
      <c r="AF176" s="671"/>
      <c r="AG176" s="672"/>
      <c r="AH176" s="264">
        <f t="shared" si="91"/>
        <v>0</v>
      </c>
    </row>
    <row r="177" spans="1:34" ht="16.5" thickBot="1" x14ac:dyDescent="0.3">
      <c r="A177" s="433" t="s">
        <v>429</v>
      </c>
      <c r="B177" s="434">
        <f t="shared" ref="B177:N177" si="94">B176</f>
        <v>0</v>
      </c>
      <c r="C177" s="435">
        <f t="shared" si="94"/>
        <v>0</v>
      </c>
      <c r="D177" s="435">
        <f t="shared" si="94"/>
        <v>0</v>
      </c>
      <c r="E177" s="435">
        <f t="shared" si="94"/>
        <v>0</v>
      </c>
      <c r="F177" s="435">
        <f t="shared" si="94"/>
        <v>0</v>
      </c>
      <c r="G177" s="435">
        <f t="shared" si="94"/>
        <v>0</v>
      </c>
      <c r="H177" s="435">
        <f t="shared" si="94"/>
        <v>0</v>
      </c>
      <c r="I177" s="435">
        <f t="shared" si="94"/>
        <v>0</v>
      </c>
      <c r="J177" s="435">
        <f t="shared" si="94"/>
        <v>0</v>
      </c>
      <c r="K177" s="435">
        <f t="shared" si="94"/>
        <v>0</v>
      </c>
      <c r="L177" s="435">
        <f t="shared" si="94"/>
        <v>0</v>
      </c>
      <c r="M177" s="435">
        <f t="shared" si="94"/>
        <v>0</v>
      </c>
      <c r="N177" s="436">
        <f t="shared" si="94"/>
        <v>0</v>
      </c>
      <c r="O177" s="437"/>
      <c r="P177" s="438"/>
      <c r="Q177" s="438"/>
      <c r="R177" s="438"/>
      <c r="S177" s="438"/>
      <c r="T177" s="439">
        <f>T176</f>
        <v>0</v>
      </c>
      <c r="U177" s="440"/>
      <c r="V177" s="441">
        <f>V176</f>
        <v>0</v>
      </c>
      <c r="W177" s="442">
        <f>W176</f>
        <v>0</v>
      </c>
      <c r="X177" s="443"/>
      <c r="Y177" s="444"/>
      <c r="Z177" s="444"/>
      <c r="AA177" s="444"/>
      <c r="AB177" s="444"/>
      <c r="AC177" s="444"/>
      <c r="AD177" s="445">
        <f>AD176</f>
        <v>0</v>
      </c>
      <c r="AE177" s="446">
        <f>AE176</f>
        <v>0</v>
      </c>
      <c r="AF177" s="447">
        <f>AF176</f>
        <v>0</v>
      </c>
      <c r="AG177" s="448">
        <f>AG176</f>
        <v>0</v>
      </c>
      <c r="AH177" s="305">
        <f t="shared" si="91"/>
        <v>0</v>
      </c>
    </row>
    <row r="178" spans="1:34" ht="30" x14ac:dyDescent="0.25">
      <c r="A178" s="352" t="s">
        <v>430</v>
      </c>
      <c r="B178" s="187"/>
      <c r="C178" s="188"/>
      <c r="D178" s="188"/>
      <c r="E178" s="188"/>
      <c r="F178" s="188"/>
      <c r="G178" s="188"/>
      <c r="H178" s="188"/>
      <c r="I178" s="188"/>
      <c r="J178" s="188"/>
      <c r="K178" s="188"/>
      <c r="L178" s="188"/>
      <c r="M178" s="188"/>
      <c r="N178" s="466">
        <f>SUM(B178:M178)</f>
        <v>0</v>
      </c>
      <c r="O178" s="467"/>
      <c r="P178" s="468"/>
      <c r="Q178" s="468"/>
      <c r="R178" s="468"/>
      <c r="S178" s="468"/>
      <c r="T178" s="673"/>
      <c r="U178" s="470"/>
      <c r="V178" s="674"/>
      <c r="W178" s="561"/>
      <c r="X178" s="473"/>
      <c r="Y178" s="474"/>
      <c r="Z178" s="474"/>
      <c r="AA178" s="474"/>
      <c r="AB178" s="474"/>
      <c r="AC178" s="474"/>
      <c r="AD178" s="675"/>
      <c r="AE178" s="563"/>
      <c r="AF178" s="564"/>
      <c r="AG178" s="358"/>
      <c r="AH178" s="201">
        <f t="shared" si="91"/>
        <v>0</v>
      </c>
    </row>
    <row r="179" spans="1:34" x14ac:dyDescent="0.25">
      <c r="A179" s="310" t="s">
        <v>431</v>
      </c>
      <c r="B179" s="311">
        <f t="shared" ref="B179:N179" si="95">B178</f>
        <v>0</v>
      </c>
      <c r="C179" s="312">
        <f t="shared" si="95"/>
        <v>0</v>
      </c>
      <c r="D179" s="312">
        <f t="shared" si="95"/>
        <v>0</v>
      </c>
      <c r="E179" s="312">
        <f t="shared" si="95"/>
        <v>0</v>
      </c>
      <c r="F179" s="312">
        <f t="shared" si="95"/>
        <v>0</v>
      </c>
      <c r="G179" s="312">
        <f t="shared" si="95"/>
        <v>0</v>
      </c>
      <c r="H179" s="312">
        <f t="shared" si="95"/>
        <v>0</v>
      </c>
      <c r="I179" s="312">
        <f t="shared" si="95"/>
        <v>0</v>
      </c>
      <c r="J179" s="312">
        <f t="shared" si="95"/>
        <v>0</v>
      </c>
      <c r="K179" s="312">
        <f t="shared" si="95"/>
        <v>0</v>
      </c>
      <c r="L179" s="312">
        <f t="shared" si="95"/>
        <v>0</v>
      </c>
      <c r="M179" s="312">
        <f t="shared" si="95"/>
        <v>0</v>
      </c>
      <c r="N179" s="313">
        <f t="shared" si="95"/>
        <v>0</v>
      </c>
      <c r="O179" s="314"/>
      <c r="P179" s="315"/>
      <c r="Q179" s="315"/>
      <c r="R179" s="315"/>
      <c r="S179" s="315"/>
      <c r="T179" s="380">
        <f>T178</f>
        <v>0</v>
      </c>
      <c r="U179" s="316"/>
      <c r="V179" s="381">
        <f>V178</f>
        <v>0</v>
      </c>
      <c r="W179" s="359">
        <f>W178</f>
        <v>0</v>
      </c>
      <c r="X179" s="319"/>
      <c r="Y179" s="320"/>
      <c r="Z179" s="320"/>
      <c r="AA179" s="320"/>
      <c r="AB179" s="320"/>
      <c r="AC179" s="320"/>
      <c r="AD179" s="383">
        <f>AD178</f>
        <v>0</v>
      </c>
      <c r="AE179" s="360">
        <f>AE178</f>
        <v>0</v>
      </c>
      <c r="AF179" s="361">
        <f>AF178</f>
        <v>0</v>
      </c>
      <c r="AG179" s="362">
        <f>AG178</f>
        <v>0</v>
      </c>
      <c r="AH179" s="215">
        <f t="shared" si="91"/>
        <v>0</v>
      </c>
    </row>
    <row r="180" spans="1:34" ht="30" x14ac:dyDescent="0.25">
      <c r="A180" s="216" t="s">
        <v>432</v>
      </c>
      <c r="B180" s="217"/>
      <c r="C180" s="218"/>
      <c r="D180" s="218"/>
      <c r="E180" s="218"/>
      <c r="F180" s="218"/>
      <c r="G180" s="218"/>
      <c r="H180" s="218"/>
      <c r="I180" s="218"/>
      <c r="J180" s="218"/>
      <c r="K180" s="218"/>
      <c r="L180" s="218"/>
      <c r="M180" s="218"/>
      <c r="N180" s="494">
        <f>SUM(B180:M180)</f>
        <v>0</v>
      </c>
      <c r="O180" s="495"/>
      <c r="P180" s="496"/>
      <c r="Q180" s="496"/>
      <c r="R180" s="496"/>
      <c r="S180" s="496"/>
      <c r="T180" s="676"/>
      <c r="U180" s="497"/>
      <c r="V180" s="677"/>
      <c r="W180" s="537"/>
      <c r="X180" s="499"/>
      <c r="Y180" s="500"/>
      <c r="Z180" s="500"/>
      <c r="AA180" s="500"/>
      <c r="AB180" s="500"/>
      <c r="AC180" s="500"/>
      <c r="AD180" s="678"/>
      <c r="AE180" s="538"/>
      <c r="AF180" s="539"/>
      <c r="AG180" s="308"/>
      <c r="AH180" s="215">
        <f t="shared" si="91"/>
        <v>0</v>
      </c>
    </row>
    <row r="181" spans="1:34" x14ac:dyDescent="0.25">
      <c r="A181" s="310" t="s">
        <v>433</v>
      </c>
      <c r="B181" s="311">
        <f t="shared" ref="B181:N181" si="96">B180</f>
        <v>0</v>
      </c>
      <c r="C181" s="312">
        <f t="shared" si="96"/>
        <v>0</v>
      </c>
      <c r="D181" s="312">
        <f t="shared" si="96"/>
        <v>0</v>
      </c>
      <c r="E181" s="312">
        <f t="shared" si="96"/>
        <v>0</v>
      </c>
      <c r="F181" s="312">
        <f t="shared" si="96"/>
        <v>0</v>
      </c>
      <c r="G181" s="312">
        <f t="shared" si="96"/>
        <v>0</v>
      </c>
      <c r="H181" s="312">
        <f t="shared" si="96"/>
        <v>0</v>
      </c>
      <c r="I181" s="312">
        <f t="shared" si="96"/>
        <v>0</v>
      </c>
      <c r="J181" s="312">
        <f t="shared" si="96"/>
        <v>0</v>
      </c>
      <c r="K181" s="312">
        <f t="shared" si="96"/>
        <v>0</v>
      </c>
      <c r="L181" s="312">
        <f t="shared" si="96"/>
        <v>0</v>
      </c>
      <c r="M181" s="312">
        <f t="shared" si="96"/>
        <v>0</v>
      </c>
      <c r="N181" s="313">
        <f t="shared" si="96"/>
        <v>0</v>
      </c>
      <c r="O181" s="314"/>
      <c r="P181" s="315"/>
      <c r="Q181" s="315"/>
      <c r="R181" s="315"/>
      <c r="S181" s="315"/>
      <c r="T181" s="380">
        <f>T180</f>
        <v>0</v>
      </c>
      <c r="U181" s="316"/>
      <c r="V181" s="381">
        <f>V180</f>
        <v>0</v>
      </c>
      <c r="W181" s="359">
        <f>W180</f>
        <v>0</v>
      </c>
      <c r="X181" s="319"/>
      <c r="Y181" s="320"/>
      <c r="Z181" s="320"/>
      <c r="AA181" s="320"/>
      <c r="AB181" s="320"/>
      <c r="AC181" s="320"/>
      <c r="AD181" s="383">
        <f>AD180</f>
        <v>0</v>
      </c>
      <c r="AE181" s="360">
        <f>AE180</f>
        <v>0</v>
      </c>
      <c r="AF181" s="361">
        <f>AF180</f>
        <v>0</v>
      </c>
      <c r="AG181" s="362">
        <f>AG180</f>
        <v>0</v>
      </c>
      <c r="AH181" s="215">
        <f t="shared" si="91"/>
        <v>0</v>
      </c>
    </row>
    <row r="182" spans="1:34" x14ac:dyDescent="0.25">
      <c r="A182" s="310" t="s">
        <v>434</v>
      </c>
      <c r="B182" s="311"/>
      <c r="C182" s="312"/>
      <c r="D182" s="312"/>
      <c r="E182" s="312"/>
      <c r="F182" s="312"/>
      <c r="G182" s="312"/>
      <c r="H182" s="312"/>
      <c r="I182" s="312"/>
      <c r="J182" s="312"/>
      <c r="K182" s="312"/>
      <c r="L182" s="312"/>
      <c r="M182" s="312"/>
      <c r="N182" s="494">
        <f>SUM(B182:M182)</f>
        <v>0</v>
      </c>
      <c r="O182" s="495"/>
      <c r="P182" s="496"/>
      <c r="Q182" s="496"/>
      <c r="R182" s="496"/>
      <c r="S182" s="496"/>
      <c r="T182" s="380"/>
      <c r="U182" s="497"/>
      <c r="V182" s="381"/>
      <c r="W182" s="498"/>
      <c r="X182" s="499"/>
      <c r="Y182" s="500"/>
      <c r="Z182" s="500"/>
      <c r="AA182" s="500"/>
      <c r="AB182" s="500"/>
      <c r="AC182" s="500"/>
      <c r="AD182" s="383"/>
      <c r="AE182" s="501"/>
      <c r="AF182" s="502"/>
      <c r="AG182" s="388"/>
      <c r="AH182" s="215">
        <f t="shared" si="91"/>
        <v>0</v>
      </c>
    </row>
    <row r="183" spans="1:34" x14ac:dyDescent="0.25">
      <c r="A183" s="310" t="s">
        <v>435</v>
      </c>
      <c r="B183" s="311"/>
      <c r="C183" s="312"/>
      <c r="D183" s="312"/>
      <c r="E183" s="312"/>
      <c r="F183" s="312"/>
      <c r="G183" s="312"/>
      <c r="H183" s="312"/>
      <c r="I183" s="312"/>
      <c r="J183" s="312"/>
      <c r="K183" s="312"/>
      <c r="L183" s="312"/>
      <c r="M183" s="312"/>
      <c r="N183" s="494">
        <f>SUM(B183:M183)</f>
        <v>0</v>
      </c>
      <c r="O183" s="495"/>
      <c r="P183" s="496"/>
      <c r="Q183" s="496"/>
      <c r="R183" s="496"/>
      <c r="S183" s="496"/>
      <c r="T183" s="380"/>
      <c r="U183" s="497"/>
      <c r="V183" s="381"/>
      <c r="W183" s="430">
        <v>69767454</v>
      </c>
      <c r="X183" s="499"/>
      <c r="Y183" s="500"/>
      <c r="Z183" s="500"/>
      <c r="AA183" s="500"/>
      <c r="AB183" s="500"/>
      <c r="AC183" s="500"/>
      <c r="AD183" s="383"/>
      <c r="AE183" s="386"/>
      <c r="AF183" s="387"/>
      <c r="AG183" s="503"/>
      <c r="AH183" s="294">
        <f>N183+T183+W183+AE183+AF183+AG183</f>
        <v>69767454</v>
      </c>
    </row>
    <row r="184" spans="1:34" ht="15.75" thickBot="1" x14ac:dyDescent="0.3">
      <c r="A184" s="540" t="s">
        <v>436</v>
      </c>
      <c r="B184" s="541">
        <f t="shared" ref="B184:N184" si="97">B179+B181+B182+B183</f>
        <v>0</v>
      </c>
      <c r="C184" s="542">
        <f t="shared" si="97"/>
        <v>0</v>
      </c>
      <c r="D184" s="542">
        <f t="shared" si="97"/>
        <v>0</v>
      </c>
      <c r="E184" s="542">
        <f t="shared" si="97"/>
        <v>0</v>
      </c>
      <c r="F184" s="542">
        <f t="shared" si="97"/>
        <v>0</v>
      </c>
      <c r="G184" s="542">
        <f t="shared" si="97"/>
        <v>0</v>
      </c>
      <c r="H184" s="542">
        <f t="shared" si="97"/>
        <v>0</v>
      </c>
      <c r="I184" s="542">
        <f t="shared" si="97"/>
        <v>0</v>
      </c>
      <c r="J184" s="542">
        <f t="shared" si="97"/>
        <v>0</v>
      </c>
      <c r="K184" s="542">
        <f t="shared" si="97"/>
        <v>0</v>
      </c>
      <c r="L184" s="542">
        <f t="shared" si="97"/>
        <v>0</v>
      </c>
      <c r="M184" s="542">
        <f t="shared" si="97"/>
        <v>0</v>
      </c>
      <c r="N184" s="647">
        <f t="shared" si="97"/>
        <v>0</v>
      </c>
      <c r="O184" s="648"/>
      <c r="P184" s="649"/>
      <c r="Q184" s="649"/>
      <c r="R184" s="649"/>
      <c r="S184" s="649"/>
      <c r="T184" s="546">
        <f>T179+T181+T182+T183</f>
        <v>0</v>
      </c>
      <c r="U184" s="650"/>
      <c r="V184" s="548">
        <f>V179+V181+V182+V183</f>
        <v>0</v>
      </c>
      <c r="W184" s="651">
        <f>W179+W181+W182+W183</f>
        <v>69767454</v>
      </c>
      <c r="X184" s="652"/>
      <c r="Y184" s="653"/>
      <c r="Z184" s="653"/>
      <c r="AA184" s="653"/>
      <c r="AB184" s="653"/>
      <c r="AC184" s="653"/>
      <c r="AD184" s="552">
        <f>AD179+AD181+AD182+AD183</f>
        <v>0</v>
      </c>
      <c r="AE184" s="654">
        <f>AE179+AE181+AE182+AE183</f>
        <v>0</v>
      </c>
      <c r="AF184" s="655">
        <f>AF179+AF181+AF182+AF183</f>
        <v>0</v>
      </c>
      <c r="AG184" s="656">
        <f>AG179+AG181+AG182+AG183</f>
        <v>0</v>
      </c>
      <c r="AH184" s="241">
        <f t="shared" si="91"/>
        <v>69767454</v>
      </c>
    </row>
    <row r="185" spans="1:34" ht="16.5" thickBot="1" x14ac:dyDescent="0.3">
      <c r="A185" s="433" t="s">
        <v>437</v>
      </c>
      <c r="B185" s="434">
        <f t="shared" ref="B185:N185" si="98">B184</f>
        <v>0</v>
      </c>
      <c r="C185" s="435">
        <f t="shared" si="98"/>
        <v>0</v>
      </c>
      <c r="D185" s="435">
        <f t="shared" si="98"/>
        <v>0</v>
      </c>
      <c r="E185" s="435">
        <f t="shared" si="98"/>
        <v>0</v>
      </c>
      <c r="F185" s="435">
        <f t="shared" si="98"/>
        <v>0</v>
      </c>
      <c r="G185" s="435">
        <f t="shared" si="98"/>
        <v>0</v>
      </c>
      <c r="H185" s="435">
        <f t="shared" si="98"/>
        <v>0</v>
      </c>
      <c r="I185" s="435">
        <f t="shared" si="98"/>
        <v>0</v>
      </c>
      <c r="J185" s="435">
        <f t="shared" si="98"/>
        <v>0</v>
      </c>
      <c r="K185" s="435">
        <f t="shared" si="98"/>
        <v>0</v>
      </c>
      <c r="L185" s="435">
        <f t="shared" si="98"/>
        <v>0</v>
      </c>
      <c r="M185" s="435">
        <f t="shared" si="98"/>
        <v>0</v>
      </c>
      <c r="N185" s="436">
        <f t="shared" si="98"/>
        <v>0</v>
      </c>
      <c r="O185" s="437"/>
      <c r="P185" s="438"/>
      <c r="Q185" s="438"/>
      <c r="R185" s="438"/>
      <c r="S185" s="438"/>
      <c r="T185" s="439">
        <f>T184</f>
        <v>0</v>
      </c>
      <c r="U185" s="440"/>
      <c r="V185" s="441">
        <f>V184</f>
        <v>0</v>
      </c>
      <c r="W185" s="442">
        <f>W184</f>
        <v>69767454</v>
      </c>
      <c r="X185" s="443"/>
      <c r="Y185" s="444"/>
      <c r="Z185" s="444"/>
      <c r="AA185" s="444"/>
      <c r="AB185" s="444"/>
      <c r="AC185" s="444"/>
      <c r="AD185" s="445">
        <f>AD184</f>
        <v>0</v>
      </c>
      <c r="AE185" s="446">
        <f>AE184</f>
        <v>0</v>
      </c>
      <c r="AF185" s="447">
        <f>AF184</f>
        <v>0</v>
      </c>
      <c r="AG185" s="448">
        <f>AG184</f>
        <v>0</v>
      </c>
      <c r="AH185" s="305">
        <f t="shared" si="91"/>
        <v>69767454</v>
      </c>
    </row>
    <row r="186" spans="1:34" ht="19.5" thickBot="1" x14ac:dyDescent="0.3">
      <c r="A186" s="945" t="s">
        <v>438</v>
      </c>
      <c r="B186" s="946">
        <f t="shared" ref="B186:AF186" si="99">B134+B140+B159+B170+B173+B175+B177+B185</f>
        <v>350000</v>
      </c>
      <c r="C186" s="947">
        <f t="shared" si="99"/>
        <v>0</v>
      </c>
      <c r="D186" s="947">
        <f t="shared" si="99"/>
        <v>0</v>
      </c>
      <c r="E186" s="947">
        <f t="shared" si="99"/>
        <v>0</v>
      </c>
      <c r="F186" s="947">
        <f t="shared" si="99"/>
        <v>0</v>
      </c>
      <c r="G186" s="947">
        <f t="shared" si="99"/>
        <v>0</v>
      </c>
      <c r="H186" s="947">
        <f t="shared" si="99"/>
        <v>0</v>
      </c>
      <c r="I186" s="947">
        <f t="shared" si="99"/>
        <v>0</v>
      </c>
      <c r="J186" s="947">
        <f t="shared" si="99"/>
        <v>0</v>
      </c>
      <c r="K186" s="947">
        <f t="shared" si="99"/>
        <v>0</v>
      </c>
      <c r="L186" s="947">
        <f t="shared" si="99"/>
        <v>0</v>
      </c>
      <c r="M186" s="947">
        <f t="shared" si="99"/>
        <v>63500</v>
      </c>
      <c r="N186" s="948">
        <f t="shared" si="99"/>
        <v>413500</v>
      </c>
      <c r="O186" s="946">
        <f t="shared" si="99"/>
        <v>0</v>
      </c>
      <c r="P186" s="947">
        <f t="shared" si="99"/>
        <v>0</v>
      </c>
      <c r="Q186" s="947">
        <f t="shared" si="99"/>
        <v>0</v>
      </c>
      <c r="R186" s="947">
        <f t="shared" si="99"/>
        <v>0</v>
      </c>
      <c r="S186" s="947">
        <f t="shared" si="99"/>
        <v>0</v>
      </c>
      <c r="T186" s="948">
        <f t="shared" si="99"/>
        <v>0</v>
      </c>
      <c r="U186" s="946">
        <f t="shared" si="99"/>
        <v>0</v>
      </c>
      <c r="V186" s="948">
        <f t="shared" si="99"/>
        <v>0</v>
      </c>
      <c r="W186" s="952">
        <f t="shared" si="99"/>
        <v>69767454</v>
      </c>
      <c r="X186" s="946">
        <f t="shared" si="99"/>
        <v>0</v>
      </c>
      <c r="Y186" s="947">
        <f t="shared" si="99"/>
        <v>0</v>
      </c>
      <c r="Z186" s="947">
        <f t="shared" si="99"/>
        <v>0</v>
      </c>
      <c r="AA186" s="947">
        <f t="shared" si="99"/>
        <v>0</v>
      </c>
      <c r="AB186" s="947">
        <f t="shared" si="99"/>
        <v>0</v>
      </c>
      <c r="AC186" s="947">
        <f t="shared" si="99"/>
        <v>26236100</v>
      </c>
      <c r="AD186" s="948">
        <f t="shared" si="99"/>
        <v>26236100</v>
      </c>
      <c r="AE186" s="948">
        <f t="shared" si="99"/>
        <v>0</v>
      </c>
      <c r="AF186" s="948">
        <f t="shared" si="99"/>
        <v>0</v>
      </c>
      <c r="AG186" s="949">
        <f>AG134+AG140+AG159+AG170+AG173+AG175+AG177+AG185</f>
        <v>0</v>
      </c>
      <c r="AH186" s="951">
        <f>N186+T186+W186+AE186+AF186+AG186+V186+AD186</f>
        <v>96417054</v>
      </c>
    </row>
    <row r="187" spans="1:34" x14ac:dyDescent="0.25">
      <c r="M187" t="s">
        <v>439</v>
      </c>
      <c r="N187" s="679">
        <f>N123+T123-N186</f>
        <v>54567806.126249991</v>
      </c>
      <c r="V187" s="933"/>
      <c r="W187" s="679"/>
      <c r="AC187" t="s">
        <v>439</v>
      </c>
      <c r="AD187" s="679">
        <f>AD123-AD186</f>
        <v>15199648.106250003</v>
      </c>
      <c r="AE187" s="679">
        <f>N188+N189+N190+AD188+AD189+AD192</f>
        <v>60149969</v>
      </c>
      <c r="AH187" s="876">
        <f>AH123-AH186</f>
        <v>0.23249998688697815</v>
      </c>
    </row>
    <row r="188" spans="1:34" ht="30" x14ac:dyDescent="0.25">
      <c r="L188" s="1788">
        <v>44799000</v>
      </c>
      <c r="M188" s="174" t="s">
        <v>440</v>
      </c>
      <c r="N188" s="940">
        <v>37601800</v>
      </c>
      <c r="V188" s="930"/>
      <c r="W188" s="679"/>
      <c r="AC188" s="941" t="s">
        <v>555</v>
      </c>
      <c r="AD188" s="679">
        <v>11264000</v>
      </c>
      <c r="AE188" s="679">
        <f>AE186-AE187+1</f>
        <v>-60149968</v>
      </c>
    </row>
    <row r="189" spans="1:34" ht="60" x14ac:dyDescent="0.25">
      <c r="L189" s="1788"/>
      <c r="M189" s="942" t="s">
        <v>556</v>
      </c>
      <c r="N189" s="943">
        <f>L188-N188</f>
        <v>7197200</v>
      </c>
      <c r="V189" s="930"/>
      <c r="W189" s="679"/>
      <c r="AC189" s="941" t="s">
        <v>557</v>
      </c>
      <c r="AD189" s="679">
        <v>3220603</v>
      </c>
    </row>
    <row r="190" spans="1:34" x14ac:dyDescent="0.25">
      <c r="L190" s="944"/>
      <c r="M190" s="941" t="s">
        <v>441</v>
      </c>
      <c r="N190" s="681">
        <v>151321</v>
      </c>
      <c r="V190" s="930"/>
      <c r="W190" s="679"/>
      <c r="AC190" s="941"/>
      <c r="AD190" s="679"/>
    </row>
    <row r="191" spans="1:34" x14ac:dyDescent="0.25">
      <c r="M191" t="s">
        <v>442</v>
      </c>
      <c r="N191" s="287">
        <f>N187-N188-N189-N190</f>
        <v>9617485.1262499914</v>
      </c>
      <c r="V191" s="930"/>
      <c r="W191" s="679"/>
      <c r="AC191" t="s">
        <v>443</v>
      </c>
      <c r="AD191" s="287">
        <f>AD187-AD188-AD189</f>
        <v>715045.10625000298</v>
      </c>
    </row>
    <row r="192" spans="1:34" x14ac:dyDescent="0.25">
      <c r="V192" s="930"/>
      <c r="W192" s="679"/>
      <c r="AC192" s="376" t="s">
        <v>444</v>
      </c>
      <c r="AD192" s="682">
        <v>715045</v>
      </c>
    </row>
    <row r="193" spans="22:30" x14ac:dyDescent="0.25">
      <c r="V193" s="930"/>
      <c r="W193" s="679"/>
      <c r="AD193" s="287"/>
    </row>
    <row r="194" spans="22:30" x14ac:dyDescent="0.25">
      <c r="V194" s="930"/>
      <c r="W194" s="683"/>
      <c r="AD194" s="287"/>
    </row>
    <row r="195" spans="22:30" x14ac:dyDescent="0.25">
      <c r="V195" s="931"/>
      <c r="W195" s="684"/>
    </row>
    <row r="196" spans="22:30" x14ac:dyDescent="0.25">
      <c r="V196" s="932"/>
      <c r="W196" s="685"/>
    </row>
    <row r="197" spans="22:30" x14ac:dyDescent="0.25">
      <c r="W197" s="679"/>
    </row>
    <row r="198" spans="22:30" x14ac:dyDescent="0.25">
      <c r="V198" s="930"/>
      <c r="W198" s="910"/>
    </row>
    <row r="199" spans="22:30" x14ac:dyDescent="0.25">
      <c r="W199" s="685"/>
    </row>
  </sheetData>
  <sheetProtection formatCells="0" formatColumns="0" formatRows="0" insertColumns="0" insertRows="0" insertHyperlinks="0" deleteColumns="0" deleteRows="0" sort="0" autoFilter="0" pivotTables="0"/>
  <mergeCells count="12">
    <mergeCell ref="L188:L189"/>
    <mergeCell ref="AF2:AF3"/>
    <mergeCell ref="O2:T2"/>
    <mergeCell ref="U2:V2"/>
    <mergeCell ref="W2:W3"/>
    <mergeCell ref="X2:AD2"/>
    <mergeCell ref="A2:A3"/>
    <mergeCell ref="AE2:AE3"/>
    <mergeCell ref="A1:AH1"/>
    <mergeCell ref="B2:N2"/>
    <mergeCell ref="AG2:AG3"/>
    <mergeCell ref="AH2:AH3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3" manualBreakCount="3">
    <brk id="52" max="33" man="1"/>
    <brk id="103" max="33" man="1"/>
    <brk id="161" max="3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 tint="-0.249977111117893"/>
  </sheetPr>
  <dimension ref="A1:Q146"/>
  <sheetViews>
    <sheetView view="pageBreakPreview" zoomScaleNormal="100" zoomScaleSheetLayoutView="100" workbookViewId="0">
      <selection activeCell="G33" sqref="G33"/>
    </sheetView>
  </sheetViews>
  <sheetFormatPr defaultRowHeight="15" x14ac:dyDescent="0.25"/>
  <cols>
    <col min="1" max="1" width="45.140625" style="1511" customWidth="1"/>
    <col min="2" max="2" width="14.140625" style="1511" customWidth="1"/>
    <col min="3" max="3" width="12.85546875" style="1511" customWidth="1"/>
    <col min="4" max="4" width="11.28515625" style="1511" customWidth="1"/>
    <col min="5" max="7" width="9.140625" style="1471" hidden="1" customWidth="1"/>
    <col min="8" max="256" width="9.140625" style="1471"/>
    <col min="257" max="257" width="45.140625" style="1471" customWidth="1"/>
    <col min="258" max="258" width="14.140625" style="1471" customWidth="1"/>
    <col min="259" max="259" width="12.85546875" style="1471" customWidth="1"/>
    <col min="260" max="260" width="11.28515625" style="1471" customWidth="1"/>
    <col min="261" max="263" width="0" style="1471" hidden="1" customWidth="1"/>
    <col min="264" max="512" width="9.140625" style="1471"/>
    <col min="513" max="513" width="45.140625" style="1471" customWidth="1"/>
    <col min="514" max="514" width="14.140625" style="1471" customWidth="1"/>
    <col min="515" max="515" width="12.85546875" style="1471" customWidth="1"/>
    <col min="516" max="516" width="11.28515625" style="1471" customWidth="1"/>
    <col min="517" max="519" width="0" style="1471" hidden="1" customWidth="1"/>
    <col min="520" max="768" width="9.140625" style="1471"/>
    <col min="769" max="769" width="45.140625" style="1471" customWidth="1"/>
    <col min="770" max="770" width="14.140625" style="1471" customWidth="1"/>
    <col min="771" max="771" width="12.85546875" style="1471" customWidth="1"/>
    <col min="772" max="772" width="11.28515625" style="1471" customWidth="1"/>
    <col min="773" max="775" width="0" style="1471" hidden="1" customWidth="1"/>
    <col min="776" max="1024" width="9.140625" style="1471"/>
    <col min="1025" max="1025" width="45.140625" style="1471" customWidth="1"/>
    <col min="1026" max="1026" width="14.140625" style="1471" customWidth="1"/>
    <col min="1027" max="1027" width="12.85546875" style="1471" customWidth="1"/>
    <col min="1028" max="1028" width="11.28515625" style="1471" customWidth="1"/>
    <col min="1029" max="1031" width="0" style="1471" hidden="1" customWidth="1"/>
    <col min="1032" max="1280" width="9.140625" style="1471"/>
    <col min="1281" max="1281" width="45.140625" style="1471" customWidth="1"/>
    <col min="1282" max="1282" width="14.140625" style="1471" customWidth="1"/>
    <col min="1283" max="1283" width="12.85546875" style="1471" customWidth="1"/>
    <col min="1284" max="1284" width="11.28515625" style="1471" customWidth="1"/>
    <col min="1285" max="1287" width="0" style="1471" hidden="1" customWidth="1"/>
    <col min="1288" max="1536" width="9.140625" style="1471"/>
    <col min="1537" max="1537" width="45.140625" style="1471" customWidth="1"/>
    <col min="1538" max="1538" width="14.140625" style="1471" customWidth="1"/>
    <col min="1539" max="1539" width="12.85546875" style="1471" customWidth="1"/>
    <col min="1540" max="1540" width="11.28515625" style="1471" customWidth="1"/>
    <col min="1541" max="1543" width="0" style="1471" hidden="1" customWidth="1"/>
    <col min="1544" max="1792" width="9.140625" style="1471"/>
    <col min="1793" max="1793" width="45.140625" style="1471" customWidth="1"/>
    <col min="1794" max="1794" width="14.140625" style="1471" customWidth="1"/>
    <col min="1795" max="1795" width="12.85546875" style="1471" customWidth="1"/>
    <col min="1796" max="1796" width="11.28515625" style="1471" customWidth="1"/>
    <col min="1797" max="1799" width="0" style="1471" hidden="1" customWidth="1"/>
    <col min="1800" max="2048" width="9.140625" style="1471"/>
    <col min="2049" max="2049" width="45.140625" style="1471" customWidth="1"/>
    <col min="2050" max="2050" width="14.140625" style="1471" customWidth="1"/>
    <col min="2051" max="2051" width="12.85546875" style="1471" customWidth="1"/>
    <col min="2052" max="2052" width="11.28515625" style="1471" customWidth="1"/>
    <col min="2053" max="2055" width="0" style="1471" hidden="1" customWidth="1"/>
    <col min="2056" max="2304" width="9.140625" style="1471"/>
    <col min="2305" max="2305" width="45.140625" style="1471" customWidth="1"/>
    <col min="2306" max="2306" width="14.140625" style="1471" customWidth="1"/>
    <col min="2307" max="2307" width="12.85546875" style="1471" customWidth="1"/>
    <col min="2308" max="2308" width="11.28515625" style="1471" customWidth="1"/>
    <col min="2309" max="2311" width="0" style="1471" hidden="1" customWidth="1"/>
    <col min="2312" max="2560" width="9.140625" style="1471"/>
    <col min="2561" max="2561" width="45.140625" style="1471" customWidth="1"/>
    <col min="2562" max="2562" width="14.140625" style="1471" customWidth="1"/>
    <col min="2563" max="2563" width="12.85546875" style="1471" customWidth="1"/>
    <col min="2564" max="2564" width="11.28515625" style="1471" customWidth="1"/>
    <col min="2565" max="2567" width="0" style="1471" hidden="1" customWidth="1"/>
    <col min="2568" max="2816" width="9.140625" style="1471"/>
    <col min="2817" max="2817" width="45.140625" style="1471" customWidth="1"/>
    <col min="2818" max="2818" width="14.140625" style="1471" customWidth="1"/>
    <col min="2819" max="2819" width="12.85546875" style="1471" customWidth="1"/>
    <col min="2820" max="2820" width="11.28515625" style="1471" customWidth="1"/>
    <col min="2821" max="2823" width="0" style="1471" hidden="1" customWidth="1"/>
    <col min="2824" max="3072" width="9.140625" style="1471"/>
    <col min="3073" max="3073" width="45.140625" style="1471" customWidth="1"/>
    <col min="3074" max="3074" width="14.140625" style="1471" customWidth="1"/>
    <col min="3075" max="3075" width="12.85546875" style="1471" customWidth="1"/>
    <col min="3076" max="3076" width="11.28515625" style="1471" customWidth="1"/>
    <col min="3077" max="3079" width="0" style="1471" hidden="1" customWidth="1"/>
    <col min="3080" max="3328" width="9.140625" style="1471"/>
    <col min="3329" max="3329" width="45.140625" style="1471" customWidth="1"/>
    <col min="3330" max="3330" width="14.140625" style="1471" customWidth="1"/>
    <col min="3331" max="3331" width="12.85546875" style="1471" customWidth="1"/>
    <col min="3332" max="3332" width="11.28515625" style="1471" customWidth="1"/>
    <col min="3333" max="3335" width="0" style="1471" hidden="1" customWidth="1"/>
    <col min="3336" max="3584" width="9.140625" style="1471"/>
    <col min="3585" max="3585" width="45.140625" style="1471" customWidth="1"/>
    <col min="3586" max="3586" width="14.140625" style="1471" customWidth="1"/>
    <col min="3587" max="3587" width="12.85546875" style="1471" customWidth="1"/>
    <col min="3588" max="3588" width="11.28515625" style="1471" customWidth="1"/>
    <col min="3589" max="3591" width="0" style="1471" hidden="1" customWidth="1"/>
    <col min="3592" max="3840" width="9.140625" style="1471"/>
    <col min="3841" max="3841" width="45.140625" style="1471" customWidth="1"/>
    <col min="3842" max="3842" width="14.140625" style="1471" customWidth="1"/>
    <col min="3843" max="3843" width="12.85546875" style="1471" customWidth="1"/>
    <col min="3844" max="3844" width="11.28515625" style="1471" customWidth="1"/>
    <col min="3845" max="3847" width="0" style="1471" hidden="1" customWidth="1"/>
    <col min="3848" max="4096" width="9.140625" style="1471"/>
    <col min="4097" max="4097" width="45.140625" style="1471" customWidth="1"/>
    <col min="4098" max="4098" width="14.140625" style="1471" customWidth="1"/>
    <col min="4099" max="4099" width="12.85546875" style="1471" customWidth="1"/>
    <col min="4100" max="4100" width="11.28515625" style="1471" customWidth="1"/>
    <col min="4101" max="4103" width="0" style="1471" hidden="1" customWidth="1"/>
    <col min="4104" max="4352" width="9.140625" style="1471"/>
    <col min="4353" max="4353" width="45.140625" style="1471" customWidth="1"/>
    <col min="4354" max="4354" width="14.140625" style="1471" customWidth="1"/>
    <col min="4355" max="4355" width="12.85546875" style="1471" customWidth="1"/>
    <col min="4356" max="4356" width="11.28515625" style="1471" customWidth="1"/>
    <col min="4357" max="4359" width="0" style="1471" hidden="1" customWidth="1"/>
    <col min="4360" max="4608" width="9.140625" style="1471"/>
    <col min="4609" max="4609" width="45.140625" style="1471" customWidth="1"/>
    <col min="4610" max="4610" width="14.140625" style="1471" customWidth="1"/>
    <col min="4611" max="4611" width="12.85546875" style="1471" customWidth="1"/>
    <col min="4612" max="4612" width="11.28515625" style="1471" customWidth="1"/>
    <col min="4613" max="4615" width="0" style="1471" hidden="1" customWidth="1"/>
    <col min="4616" max="4864" width="9.140625" style="1471"/>
    <col min="4865" max="4865" width="45.140625" style="1471" customWidth="1"/>
    <col min="4866" max="4866" width="14.140625" style="1471" customWidth="1"/>
    <col min="4867" max="4867" width="12.85546875" style="1471" customWidth="1"/>
    <col min="4868" max="4868" width="11.28515625" style="1471" customWidth="1"/>
    <col min="4869" max="4871" width="0" style="1471" hidden="1" customWidth="1"/>
    <col min="4872" max="5120" width="9.140625" style="1471"/>
    <col min="5121" max="5121" width="45.140625" style="1471" customWidth="1"/>
    <col min="5122" max="5122" width="14.140625" style="1471" customWidth="1"/>
    <col min="5123" max="5123" width="12.85546875" style="1471" customWidth="1"/>
    <col min="5124" max="5124" width="11.28515625" style="1471" customWidth="1"/>
    <col min="5125" max="5127" width="0" style="1471" hidden="1" customWidth="1"/>
    <col min="5128" max="5376" width="9.140625" style="1471"/>
    <col min="5377" max="5377" width="45.140625" style="1471" customWidth="1"/>
    <col min="5378" max="5378" width="14.140625" style="1471" customWidth="1"/>
    <col min="5379" max="5379" width="12.85546875" style="1471" customWidth="1"/>
    <col min="5380" max="5380" width="11.28515625" style="1471" customWidth="1"/>
    <col min="5381" max="5383" width="0" style="1471" hidden="1" customWidth="1"/>
    <col min="5384" max="5632" width="9.140625" style="1471"/>
    <col min="5633" max="5633" width="45.140625" style="1471" customWidth="1"/>
    <col min="5634" max="5634" width="14.140625" style="1471" customWidth="1"/>
    <col min="5635" max="5635" width="12.85546875" style="1471" customWidth="1"/>
    <col min="5636" max="5636" width="11.28515625" style="1471" customWidth="1"/>
    <col min="5637" max="5639" width="0" style="1471" hidden="1" customWidth="1"/>
    <col min="5640" max="5888" width="9.140625" style="1471"/>
    <col min="5889" max="5889" width="45.140625" style="1471" customWidth="1"/>
    <col min="5890" max="5890" width="14.140625" style="1471" customWidth="1"/>
    <col min="5891" max="5891" width="12.85546875" style="1471" customWidth="1"/>
    <col min="5892" max="5892" width="11.28515625" style="1471" customWidth="1"/>
    <col min="5893" max="5895" width="0" style="1471" hidden="1" customWidth="1"/>
    <col min="5896" max="6144" width="9.140625" style="1471"/>
    <col min="6145" max="6145" width="45.140625" style="1471" customWidth="1"/>
    <col min="6146" max="6146" width="14.140625" style="1471" customWidth="1"/>
    <col min="6147" max="6147" width="12.85546875" style="1471" customWidth="1"/>
    <col min="6148" max="6148" width="11.28515625" style="1471" customWidth="1"/>
    <col min="6149" max="6151" width="0" style="1471" hidden="1" customWidth="1"/>
    <col min="6152" max="6400" width="9.140625" style="1471"/>
    <col min="6401" max="6401" width="45.140625" style="1471" customWidth="1"/>
    <col min="6402" max="6402" width="14.140625" style="1471" customWidth="1"/>
    <col min="6403" max="6403" width="12.85546875" style="1471" customWidth="1"/>
    <col min="6404" max="6404" width="11.28515625" style="1471" customWidth="1"/>
    <col min="6405" max="6407" width="0" style="1471" hidden="1" customWidth="1"/>
    <col min="6408" max="6656" width="9.140625" style="1471"/>
    <col min="6657" max="6657" width="45.140625" style="1471" customWidth="1"/>
    <col min="6658" max="6658" width="14.140625" style="1471" customWidth="1"/>
    <col min="6659" max="6659" width="12.85546875" style="1471" customWidth="1"/>
    <col min="6660" max="6660" width="11.28515625" style="1471" customWidth="1"/>
    <col min="6661" max="6663" width="0" style="1471" hidden="1" customWidth="1"/>
    <col min="6664" max="6912" width="9.140625" style="1471"/>
    <col min="6913" max="6913" width="45.140625" style="1471" customWidth="1"/>
    <col min="6914" max="6914" width="14.140625" style="1471" customWidth="1"/>
    <col min="6915" max="6915" width="12.85546875" style="1471" customWidth="1"/>
    <col min="6916" max="6916" width="11.28515625" style="1471" customWidth="1"/>
    <col min="6917" max="6919" width="0" style="1471" hidden="1" customWidth="1"/>
    <col min="6920" max="7168" width="9.140625" style="1471"/>
    <col min="7169" max="7169" width="45.140625" style="1471" customWidth="1"/>
    <col min="7170" max="7170" width="14.140625" style="1471" customWidth="1"/>
    <col min="7171" max="7171" width="12.85546875" style="1471" customWidth="1"/>
    <col min="7172" max="7172" width="11.28515625" style="1471" customWidth="1"/>
    <col min="7173" max="7175" width="0" style="1471" hidden="1" customWidth="1"/>
    <col min="7176" max="7424" width="9.140625" style="1471"/>
    <col min="7425" max="7425" width="45.140625" style="1471" customWidth="1"/>
    <col min="7426" max="7426" width="14.140625" style="1471" customWidth="1"/>
    <col min="7427" max="7427" width="12.85546875" style="1471" customWidth="1"/>
    <col min="7428" max="7428" width="11.28515625" style="1471" customWidth="1"/>
    <col min="7429" max="7431" width="0" style="1471" hidden="1" customWidth="1"/>
    <col min="7432" max="7680" width="9.140625" style="1471"/>
    <col min="7681" max="7681" width="45.140625" style="1471" customWidth="1"/>
    <col min="7682" max="7682" width="14.140625" style="1471" customWidth="1"/>
    <col min="7683" max="7683" width="12.85546875" style="1471" customWidth="1"/>
    <col min="7684" max="7684" width="11.28515625" style="1471" customWidth="1"/>
    <col min="7685" max="7687" width="0" style="1471" hidden="1" customWidth="1"/>
    <col min="7688" max="7936" width="9.140625" style="1471"/>
    <col min="7937" max="7937" width="45.140625" style="1471" customWidth="1"/>
    <col min="7938" max="7938" width="14.140625" style="1471" customWidth="1"/>
    <col min="7939" max="7939" width="12.85546875" style="1471" customWidth="1"/>
    <col min="7940" max="7940" width="11.28515625" style="1471" customWidth="1"/>
    <col min="7941" max="7943" width="0" style="1471" hidden="1" customWidth="1"/>
    <col min="7944" max="8192" width="9.140625" style="1471"/>
    <col min="8193" max="8193" width="45.140625" style="1471" customWidth="1"/>
    <col min="8194" max="8194" width="14.140625" style="1471" customWidth="1"/>
    <col min="8195" max="8195" width="12.85546875" style="1471" customWidth="1"/>
    <col min="8196" max="8196" width="11.28515625" style="1471" customWidth="1"/>
    <col min="8197" max="8199" width="0" style="1471" hidden="1" customWidth="1"/>
    <col min="8200" max="8448" width="9.140625" style="1471"/>
    <col min="8449" max="8449" width="45.140625" style="1471" customWidth="1"/>
    <col min="8450" max="8450" width="14.140625" style="1471" customWidth="1"/>
    <col min="8451" max="8451" width="12.85546875" style="1471" customWidth="1"/>
    <col min="8452" max="8452" width="11.28515625" style="1471" customWidth="1"/>
    <col min="8453" max="8455" width="0" style="1471" hidden="1" customWidth="1"/>
    <col min="8456" max="8704" width="9.140625" style="1471"/>
    <col min="8705" max="8705" width="45.140625" style="1471" customWidth="1"/>
    <col min="8706" max="8706" width="14.140625" style="1471" customWidth="1"/>
    <col min="8707" max="8707" width="12.85546875" style="1471" customWidth="1"/>
    <col min="8708" max="8708" width="11.28515625" style="1471" customWidth="1"/>
    <col min="8709" max="8711" width="0" style="1471" hidden="1" customWidth="1"/>
    <col min="8712" max="8960" width="9.140625" style="1471"/>
    <col min="8961" max="8961" width="45.140625" style="1471" customWidth="1"/>
    <col min="8962" max="8962" width="14.140625" style="1471" customWidth="1"/>
    <col min="8963" max="8963" width="12.85546875" style="1471" customWidth="1"/>
    <col min="8964" max="8964" width="11.28515625" style="1471" customWidth="1"/>
    <col min="8965" max="8967" width="0" style="1471" hidden="1" customWidth="1"/>
    <col min="8968" max="9216" width="9.140625" style="1471"/>
    <col min="9217" max="9217" width="45.140625" style="1471" customWidth="1"/>
    <col min="9218" max="9218" width="14.140625" style="1471" customWidth="1"/>
    <col min="9219" max="9219" width="12.85546875" style="1471" customWidth="1"/>
    <col min="9220" max="9220" width="11.28515625" style="1471" customWidth="1"/>
    <col min="9221" max="9223" width="0" style="1471" hidden="1" customWidth="1"/>
    <col min="9224" max="9472" width="9.140625" style="1471"/>
    <col min="9473" max="9473" width="45.140625" style="1471" customWidth="1"/>
    <col min="9474" max="9474" width="14.140625" style="1471" customWidth="1"/>
    <col min="9475" max="9475" width="12.85546875" style="1471" customWidth="1"/>
    <col min="9476" max="9476" width="11.28515625" style="1471" customWidth="1"/>
    <col min="9477" max="9479" width="0" style="1471" hidden="1" customWidth="1"/>
    <col min="9480" max="9728" width="9.140625" style="1471"/>
    <col min="9729" max="9729" width="45.140625" style="1471" customWidth="1"/>
    <col min="9730" max="9730" width="14.140625" style="1471" customWidth="1"/>
    <col min="9731" max="9731" width="12.85546875" style="1471" customWidth="1"/>
    <col min="9732" max="9732" width="11.28515625" style="1471" customWidth="1"/>
    <col min="9733" max="9735" width="0" style="1471" hidden="1" customWidth="1"/>
    <col min="9736" max="9984" width="9.140625" style="1471"/>
    <col min="9985" max="9985" width="45.140625" style="1471" customWidth="1"/>
    <col min="9986" max="9986" width="14.140625" style="1471" customWidth="1"/>
    <col min="9987" max="9987" width="12.85546875" style="1471" customWidth="1"/>
    <col min="9988" max="9988" width="11.28515625" style="1471" customWidth="1"/>
    <col min="9989" max="9991" width="0" style="1471" hidden="1" customWidth="1"/>
    <col min="9992" max="10240" width="9.140625" style="1471"/>
    <col min="10241" max="10241" width="45.140625" style="1471" customWidth="1"/>
    <col min="10242" max="10242" width="14.140625" style="1471" customWidth="1"/>
    <col min="10243" max="10243" width="12.85546875" style="1471" customWidth="1"/>
    <col min="10244" max="10244" width="11.28515625" style="1471" customWidth="1"/>
    <col min="10245" max="10247" width="0" style="1471" hidden="1" customWidth="1"/>
    <col min="10248" max="10496" width="9.140625" style="1471"/>
    <col min="10497" max="10497" width="45.140625" style="1471" customWidth="1"/>
    <col min="10498" max="10498" width="14.140625" style="1471" customWidth="1"/>
    <col min="10499" max="10499" width="12.85546875" style="1471" customWidth="1"/>
    <col min="10500" max="10500" width="11.28515625" style="1471" customWidth="1"/>
    <col min="10501" max="10503" width="0" style="1471" hidden="1" customWidth="1"/>
    <col min="10504" max="10752" width="9.140625" style="1471"/>
    <col min="10753" max="10753" width="45.140625" style="1471" customWidth="1"/>
    <col min="10754" max="10754" width="14.140625" style="1471" customWidth="1"/>
    <col min="10755" max="10755" width="12.85546875" style="1471" customWidth="1"/>
    <col min="10756" max="10756" width="11.28515625" style="1471" customWidth="1"/>
    <col min="10757" max="10759" width="0" style="1471" hidden="1" customWidth="1"/>
    <col min="10760" max="11008" width="9.140625" style="1471"/>
    <col min="11009" max="11009" width="45.140625" style="1471" customWidth="1"/>
    <col min="11010" max="11010" width="14.140625" style="1471" customWidth="1"/>
    <col min="11011" max="11011" width="12.85546875" style="1471" customWidth="1"/>
    <col min="11012" max="11012" width="11.28515625" style="1471" customWidth="1"/>
    <col min="11013" max="11015" width="0" style="1471" hidden="1" customWidth="1"/>
    <col min="11016" max="11264" width="9.140625" style="1471"/>
    <col min="11265" max="11265" width="45.140625" style="1471" customWidth="1"/>
    <col min="11266" max="11266" width="14.140625" style="1471" customWidth="1"/>
    <col min="11267" max="11267" width="12.85546875" style="1471" customWidth="1"/>
    <col min="11268" max="11268" width="11.28515625" style="1471" customWidth="1"/>
    <col min="11269" max="11271" width="0" style="1471" hidden="1" customWidth="1"/>
    <col min="11272" max="11520" width="9.140625" style="1471"/>
    <col min="11521" max="11521" width="45.140625" style="1471" customWidth="1"/>
    <col min="11522" max="11522" width="14.140625" style="1471" customWidth="1"/>
    <col min="11523" max="11523" width="12.85546875" style="1471" customWidth="1"/>
    <col min="11524" max="11524" width="11.28515625" style="1471" customWidth="1"/>
    <col min="11525" max="11527" width="0" style="1471" hidden="1" customWidth="1"/>
    <col min="11528" max="11776" width="9.140625" style="1471"/>
    <col min="11777" max="11777" width="45.140625" style="1471" customWidth="1"/>
    <col min="11778" max="11778" width="14.140625" style="1471" customWidth="1"/>
    <col min="11779" max="11779" width="12.85546875" style="1471" customWidth="1"/>
    <col min="11780" max="11780" width="11.28515625" style="1471" customWidth="1"/>
    <col min="11781" max="11783" width="0" style="1471" hidden="1" customWidth="1"/>
    <col min="11784" max="12032" width="9.140625" style="1471"/>
    <col min="12033" max="12033" width="45.140625" style="1471" customWidth="1"/>
    <col min="12034" max="12034" width="14.140625" style="1471" customWidth="1"/>
    <col min="12035" max="12035" width="12.85546875" style="1471" customWidth="1"/>
    <col min="12036" max="12036" width="11.28515625" style="1471" customWidth="1"/>
    <col min="12037" max="12039" width="0" style="1471" hidden="1" customWidth="1"/>
    <col min="12040" max="12288" width="9.140625" style="1471"/>
    <col min="12289" max="12289" width="45.140625" style="1471" customWidth="1"/>
    <col min="12290" max="12290" width="14.140625" style="1471" customWidth="1"/>
    <col min="12291" max="12291" width="12.85546875" style="1471" customWidth="1"/>
    <col min="12292" max="12292" width="11.28515625" style="1471" customWidth="1"/>
    <col min="12293" max="12295" width="0" style="1471" hidden="1" customWidth="1"/>
    <col min="12296" max="12544" width="9.140625" style="1471"/>
    <col min="12545" max="12545" width="45.140625" style="1471" customWidth="1"/>
    <col min="12546" max="12546" width="14.140625" style="1471" customWidth="1"/>
    <col min="12547" max="12547" width="12.85546875" style="1471" customWidth="1"/>
    <col min="12548" max="12548" width="11.28515625" style="1471" customWidth="1"/>
    <col min="12549" max="12551" width="0" style="1471" hidden="1" customWidth="1"/>
    <col min="12552" max="12800" width="9.140625" style="1471"/>
    <col min="12801" max="12801" width="45.140625" style="1471" customWidth="1"/>
    <col min="12802" max="12802" width="14.140625" style="1471" customWidth="1"/>
    <col min="12803" max="12803" width="12.85546875" style="1471" customWidth="1"/>
    <col min="12804" max="12804" width="11.28515625" style="1471" customWidth="1"/>
    <col min="12805" max="12807" width="0" style="1471" hidden="1" customWidth="1"/>
    <col min="12808" max="13056" width="9.140625" style="1471"/>
    <col min="13057" max="13057" width="45.140625" style="1471" customWidth="1"/>
    <col min="13058" max="13058" width="14.140625" style="1471" customWidth="1"/>
    <col min="13059" max="13059" width="12.85546875" style="1471" customWidth="1"/>
    <col min="13060" max="13060" width="11.28515625" style="1471" customWidth="1"/>
    <col min="13061" max="13063" width="0" style="1471" hidden="1" customWidth="1"/>
    <col min="13064" max="13312" width="9.140625" style="1471"/>
    <col min="13313" max="13313" width="45.140625" style="1471" customWidth="1"/>
    <col min="13314" max="13314" width="14.140625" style="1471" customWidth="1"/>
    <col min="13315" max="13315" width="12.85546875" style="1471" customWidth="1"/>
    <col min="13316" max="13316" width="11.28515625" style="1471" customWidth="1"/>
    <col min="13317" max="13319" width="0" style="1471" hidden="1" customWidth="1"/>
    <col min="13320" max="13568" width="9.140625" style="1471"/>
    <col min="13569" max="13569" width="45.140625" style="1471" customWidth="1"/>
    <col min="13570" max="13570" width="14.140625" style="1471" customWidth="1"/>
    <col min="13571" max="13571" width="12.85546875" style="1471" customWidth="1"/>
    <col min="13572" max="13572" width="11.28515625" style="1471" customWidth="1"/>
    <col min="13573" max="13575" width="0" style="1471" hidden="1" customWidth="1"/>
    <col min="13576" max="13824" width="9.140625" style="1471"/>
    <col min="13825" max="13825" width="45.140625" style="1471" customWidth="1"/>
    <col min="13826" max="13826" width="14.140625" style="1471" customWidth="1"/>
    <col min="13827" max="13827" width="12.85546875" style="1471" customWidth="1"/>
    <col min="13828" max="13828" width="11.28515625" style="1471" customWidth="1"/>
    <col min="13829" max="13831" width="0" style="1471" hidden="1" customWidth="1"/>
    <col min="13832" max="14080" width="9.140625" style="1471"/>
    <col min="14081" max="14081" width="45.140625" style="1471" customWidth="1"/>
    <col min="14082" max="14082" width="14.140625" style="1471" customWidth="1"/>
    <col min="14083" max="14083" width="12.85546875" style="1471" customWidth="1"/>
    <col min="14084" max="14084" width="11.28515625" style="1471" customWidth="1"/>
    <col min="14085" max="14087" width="0" style="1471" hidden="1" customWidth="1"/>
    <col min="14088" max="14336" width="9.140625" style="1471"/>
    <col min="14337" max="14337" width="45.140625" style="1471" customWidth="1"/>
    <col min="14338" max="14338" width="14.140625" style="1471" customWidth="1"/>
    <col min="14339" max="14339" width="12.85546875" style="1471" customWidth="1"/>
    <col min="14340" max="14340" width="11.28515625" style="1471" customWidth="1"/>
    <col min="14341" max="14343" width="0" style="1471" hidden="1" customWidth="1"/>
    <col min="14344" max="14592" width="9.140625" style="1471"/>
    <col min="14593" max="14593" width="45.140625" style="1471" customWidth="1"/>
    <col min="14594" max="14594" width="14.140625" style="1471" customWidth="1"/>
    <col min="14595" max="14595" width="12.85546875" style="1471" customWidth="1"/>
    <col min="14596" max="14596" width="11.28515625" style="1471" customWidth="1"/>
    <col min="14597" max="14599" width="0" style="1471" hidden="1" customWidth="1"/>
    <col min="14600" max="14848" width="9.140625" style="1471"/>
    <col min="14849" max="14849" width="45.140625" style="1471" customWidth="1"/>
    <col min="14850" max="14850" width="14.140625" style="1471" customWidth="1"/>
    <col min="14851" max="14851" width="12.85546875" style="1471" customWidth="1"/>
    <col min="14852" max="14852" width="11.28515625" style="1471" customWidth="1"/>
    <col min="14853" max="14855" width="0" style="1471" hidden="1" customWidth="1"/>
    <col min="14856" max="15104" width="9.140625" style="1471"/>
    <col min="15105" max="15105" width="45.140625" style="1471" customWidth="1"/>
    <col min="15106" max="15106" width="14.140625" style="1471" customWidth="1"/>
    <col min="15107" max="15107" width="12.85546875" style="1471" customWidth="1"/>
    <col min="15108" max="15108" width="11.28515625" style="1471" customWidth="1"/>
    <col min="15109" max="15111" width="0" style="1471" hidden="1" customWidth="1"/>
    <col min="15112" max="15360" width="9.140625" style="1471"/>
    <col min="15361" max="15361" width="45.140625" style="1471" customWidth="1"/>
    <col min="15362" max="15362" width="14.140625" style="1471" customWidth="1"/>
    <col min="15363" max="15363" width="12.85546875" style="1471" customWidth="1"/>
    <col min="15364" max="15364" width="11.28515625" style="1471" customWidth="1"/>
    <col min="15365" max="15367" width="0" style="1471" hidden="1" customWidth="1"/>
    <col min="15368" max="15616" width="9.140625" style="1471"/>
    <col min="15617" max="15617" width="45.140625" style="1471" customWidth="1"/>
    <col min="15618" max="15618" width="14.140625" style="1471" customWidth="1"/>
    <col min="15619" max="15619" width="12.85546875" style="1471" customWidth="1"/>
    <col min="15620" max="15620" width="11.28515625" style="1471" customWidth="1"/>
    <col min="15621" max="15623" width="0" style="1471" hidden="1" customWidth="1"/>
    <col min="15624" max="15872" width="9.140625" style="1471"/>
    <col min="15873" max="15873" width="45.140625" style="1471" customWidth="1"/>
    <col min="15874" max="15874" width="14.140625" style="1471" customWidth="1"/>
    <col min="15875" max="15875" width="12.85546875" style="1471" customWidth="1"/>
    <col min="15876" max="15876" width="11.28515625" style="1471" customWidth="1"/>
    <col min="15877" max="15879" width="0" style="1471" hidden="1" customWidth="1"/>
    <col min="15880" max="16128" width="9.140625" style="1471"/>
    <col min="16129" max="16129" width="45.140625" style="1471" customWidth="1"/>
    <col min="16130" max="16130" width="14.140625" style="1471" customWidth="1"/>
    <col min="16131" max="16131" width="12.85546875" style="1471" customWidth="1"/>
    <col min="16132" max="16132" width="11.28515625" style="1471" customWidth="1"/>
    <col min="16133" max="16135" width="0" style="1471" hidden="1" customWidth="1"/>
    <col min="16136" max="16384" width="9.140625" style="1471"/>
  </cols>
  <sheetData>
    <row r="1" spans="1:17" ht="15.75" thickBot="1" x14ac:dyDescent="0.3">
      <c r="A1" s="1872" t="s">
        <v>1241</v>
      </c>
      <c r="B1" s="1873"/>
      <c r="C1" s="1873"/>
      <c r="D1" s="1873"/>
      <c r="E1" s="1873"/>
      <c r="F1" s="1873"/>
      <c r="G1" s="1873"/>
    </row>
    <row r="2" spans="1:17" x14ac:dyDescent="0.25">
      <c r="A2" s="1874" t="s">
        <v>1111</v>
      </c>
      <c r="B2" s="1875"/>
      <c r="C2" s="1875"/>
      <c r="D2" s="1876"/>
      <c r="E2" s="1877"/>
      <c r="F2" s="1877"/>
      <c r="G2" s="1877"/>
    </row>
    <row r="3" spans="1:17" x14ac:dyDescent="0.25">
      <c r="A3" s="1709"/>
      <c r="B3" s="1710"/>
      <c r="C3" s="1710"/>
      <c r="D3" s="1711"/>
      <c r="E3" s="1472"/>
      <c r="F3" s="1472"/>
      <c r="G3" s="1472"/>
    </row>
    <row r="4" spans="1:17" ht="15.75" thickBot="1" x14ac:dyDescent="0.3">
      <c r="A4" s="1709"/>
      <c r="B4" s="1710"/>
      <c r="C4" s="1878" t="s">
        <v>1112</v>
      </c>
      <c r="D4" s="1879"/>
      <c r="E4" s="1472"/>
      <c r="F4" s="1472"/>
      <c r="G4" s="1472"/>
    </row>
    <row r="5" spans="1:17" x14ac:dyDescent="0.25">
      <c r="A5" s="1880" t="s">
        <v>1113</v>
      </c>
      <c r="B5" s="1473" t="s">
        <v>1114</v>
      </c>
      <c r="C5" s="1882" t="s">
        <v>899</v>
      </c>
      <c r="D5" s="1883"/>
      <c r="E5" s="1474"/>
      <c r="F5" s="1474"/>
      <c r="G5" s="1474"/>
    </row>
    <row r="6" spans="1:17" ht="30" thickBot="1" x14ac:dyDescent="0.3">
      <c r="A6" s="1881"/>
      <c r="B6" s="1475" t="s">
        <v>1115</v>
      </c>
      <c r="C6" s="1476" t="s">
        <v>1116</v>
      </c>
      <c r="D6" s="1477" t="s">
        <v>1117</v>
      </c>
      <c r="E6" s="1474"/>
      <c r="F6" s="1474"/>
      <c r="G6" s="1474"/>
    </row>
    <row r="7" spans="1:17" x14ac:dyDescent="0.25">
      <c r="A7" s="1512" t="s">
        <v>898</v>
      </c>
      <c r="B7" s="1513">
        <v>144507</v>
      </c>
      <c r="C7" s="1514"/>
      <c r="D7" s="1515"/>
      <c r="E7" s="1474"/>
      <c r="F7" s="1474"/>
      <c r="G7" s="1474"/>
    </row>
    <row r="8" spans="1:17" ht="15.95" customHeight="1" x14ac:dyDescent="0.25">
      <c r="A8" s="1479" t="s">
        <v>1119</v>
      </c>
      <c r="B8" s="1516"/>
      <c r="C8" s="1517"/>
      <c r="D8" s="1518">
        <v>5800672</v>
      </c>
      <c r="E8" s="1478"/>
      <c r="F8" s="1478"/>
      <c r="G8" s="1478"/>
      <c r="M8" s="1868"/>
      <c r="N8" s="1868"/>
      <c r="O8" s="1868"/>
      <c r="P8" s="1868"/>
      <c r="Q8" s="1868"/>
    </row>
    <row r="9" spans="1:17" s="1480" customFormat="1" ht="15.95" customHeight="1" x14ac:dyDescent="0.25">
      <c r="A9" s="1479" t="s">
        <v>1120</v>
      </c>
      <c r="B9" s="1522"/>
      <c r="C9" s="1523"/>
      <c r="D9" s="1518">
        <v>6944974</v>
      </c>
      <c r="E9" s="1474"/>
      <c r="F9" s="1474"/>
      <c r="G9" s="1474"/>
      <c r="M9" s="1868"/>
      <c r="N9" s="1868"/>
      <c r="O9" s="1868"/>
      <c r="P9" s="1868"/>
      <c r="Q9" s="1868"/>
    </row>
    <row r="10" spans="1:17" ht="15.95" customHeight="1" x14ac:dyDescent="0.25">
      <c r="A10" s="1479" t="s">
        <v>1123</v>
      </c>
      <c r="B10" s="1516"/>
      <c r="C10" s="1517"/>
      <c r="D10" s="1518">
        <v>7164719</v>
      </c>
      <c r="E10" s="1478"/>
      <c r="F10" s="1478"/>
      <c r="G10" s="1478"/>
      <c r="M10" s="1868"/>
      <c r="N10" s="1868"/>
      <c r="O10" s="1868"/>
      <c r="P10" s="1868"/>
      <c r="Q10" s="1868"/>
    </row>
    <row r="11" spans="1:17" ht="15.75" x14ac:dyDescent="0.25">
      <c r="A11" s="1521" t="s">
        <v>1121</v>
      </c>
      <c r="B11" s="1522"/>
      <c r="C11" s="1524"/>
      <c r="D11" s="1525">
        <v>5199940</v>
      </c>
      <c r="E11" s="1481">
        <v>0</v>
      </c>
      <c r="F11" s="1482">
        <v>0</v>
      </c>
      <c r="G11" s="1482">
        <v>0</v>
      </c>
      <c r="M11" s="1868"/>
      <c r="N11" s="1868"/>
      <c r="O11" s="1868"/>
      <c r="P11" s="1868"/>
      <c r="Q11" s="1868"/>
    </row>
    <row r="12" spans="1:17" x14ac:dyDescent="0.25">
      <c r="A12" s="1479" t="s">
        <v>1124</v>
      </c>
      <c r="B12" s="1526"/>
      <c r="C12" s="1527"/>
      <c r="D12" s="1528">
        <v>8890000</v>
      </c>
      <c r="E12" s="1483"/>
      <c r="F12" s="1484"/>
      <c r="G12" s="1484"/>
      <c r="M12" s="1868"/>
      <c r="N12" s="1868"/>
      <c r="O12" s="1868"/>
      <c r="P12" s="1868"/>
      <c r="Q12" s="1868"/>
    </row>
    <row r="13" spans="1:17" s="1486" customFormat="1" x14ac:dyDescent="0.25">
      <c r="A13" s="1479" t="s">
        <v>1125</v>
      </c>
      <c r="B13" s="1522"/>
      <c r="C13" s="1523"/>
      <c r="D13" s="1518">
        <f>3581280-2607400</f>
        <v>973880</v>
      </c>
      <c r="E13" s="1485"/>
      <c r="F13" s="1485"/>
      <c r="G13" s="1485"/>
      <c r="M13" s="1868"/>
      <c r="N13" s="1868"/>
      <c r="O13" s="1868"/>
      <c r="P13" s="1868"/>
      <c r="Q13" s="1868"/>
    </row>
    <row r="14" spans="1:17" x14ac:dyDescent="0.25">
      <c r="A14" s="1521" t="s">
        <v>1223</v>
      </c>
      <c r="B14" s="1522"/>
      <c r="C14" s="1524"/>
      <c r="D14" s="1525">
        <v>4567914</v>
      </c>
      <c r="E14" s="1483"/>
      <c r="F14" s="1484"/>
      <c r="G14" s="1484"/>
      <c r="M14" s="1868"/>
      <c r="N14" s="1868"/>
      <c r="O14" s="1868"/>
      <c r="P14" s="1868"/>
      <c r="Q14" s="1868"/>
    </row>
    <row r="15" spans="1:17" ht="15.75" x14ac:dyDescent="0.25">
      <c r="A15" s="1479" t="s">
        <v>1234</v>
      </c>
      <c r="B15" s="1522"/>
      <c r="C15" s="1523"/>
      <c r="D15" s="1518">
        <f>1142010+3742500+2607400+600000+500000</f>
        <v>8591910</v>
      </c>
      <c r="E15" s="1487">
        <v>0</v>
      </c>
      <c r="F15" s="1488">
        <v>0</v>
      </c>
      <c r="G15" s="1488">
        <v>0</v>
      </c>
      <c r="M15" s="1868"/>
      <c r="N15" s="1868"/>
      <c r="O15" s="1868"/>
      <c r="P15" s="1868"/>
      <c r="Q15" s="1868"/>
    </row>
    <row r="16" spans="1:17" x14ac:dyDescent="0.25">
      <c r="A16" s="1489"/>
      <c r="B16" s="1529"/>
      <c r="C16" s="1524"/>
      <c r="D16" s="1525"/>
      <c r="E16" s="1483"/>
      <c r="F16" s="1484"/>
      <c r="G16" s="1484"/>
      <c r="M16" s="1868"/>
      <c r="N16" s="1868"/>
      <c r="O16" s="1868"/>
      <c r="P16" s="1868"/>
      <c r="Q16" s="1868"/>
    </row>
    <row r="17" spans="1:17" x14ac:dyDescent="0.25">
      <c r="A17" s="1489"/>
      <c r="B17" s="1529"/>
      <c r="C17" s="1524"/>
      <c r="D17" s="1525"/>
      <c r="E17" s="1483"/>
      <c r="F17" s="1484"/>
      <c r="G17" s="1484"/>
      <c r="M17" s="1868"/>
      <c r="N17" s="1868"/>
      <c r="O17" s="1868"/>
      <c r="P17" s="1868"/>
      <c r="Q17" s="1868"/>
    </row>
    <row r="18" spans="1:17" x14ac:dyDescent="0.25">
      <c r="A18" s="1489"/>
      <c r="B18" s="1529"/>
      <c r="C18" s="1524"/>
      <c r="D18" s="1525"/>
      <c r="E18" s="1483"/>
      <c r="F18" s="1484"/>
      <c r="G18" s="1484"/>
      <c r="M18" s="1868"/>
      <c r="N18" s="1868"/>
      <c r="O18" s="1868"/>
      <c r="P18" s="1868"/>
      <c r="Q18" s="1868"/>
    </row>
    <row r="19" spans="1:17" x14ac:dyDescent="0.25">
      <c r="A19" s="1489"/>
      <c r="B19" s="1529"/>
      <c r="C19" s="1524"/>
      <c r="D19" s="1525"/>
      <c r="E19" s="1483"/>
      <c r="F19" s="1484"/>
      <c r="G19" s="1484"/>
      <c r="M19" s="1868"/>
      <c r="N19" s="1868"/>
      <c r="O19" s="1868"/>
      <c r="P19" s="1868"/>
      <c r="Q19" s="1868"/>
    </row>
    <row r="20" spans="1:17" x14ac:dyDescent="0.25">
      <c r="A20" s="1489"/>
      <c r="B20" s="1529"/>
      <c r="C20" s="1524"/>
      <c r="D20" s="1525"/>
      <c r="E20" s="1483"/>
      <c r="F20" s="1484"/>
      <c r="G20" s="1484"/>
      <c r="M20" s="1868"/>
      <c r="N20" s="1868"/>
      <c r="O20" s="1868"/>
      <c r="P20" s="1868"/>
      <c r="Q20" s="1868"/>
    </row>
    <row r="21" spans="1:17" x14ac:dyDescent="0.25">
      <c r="A21" s="1489"/>
      <c r="B21" s="1529"/>
      <c r="C21" s="1524"/>
      <c r="D21" s="1525"/>
      <c r="E21" s="1483"/>
      <c r="F21" s="1484"/>
      <c r="G21" s="1484"/>
      <c r="M21" s="1868"/>
      <c r="N21" s="1868"/>
      <c r="O21" s="1868"/>
      <c r="P21" s="1868"/>
      <c r="Q21" s="1868"/>
    </row>
    <row r="22" spans="1:17" x14ac:dyDescent="0.25">
      <c r="A22" s="1489"/>
      <c r="B22" s="1529"/>
      <c r="C22" s="1524"/>
      <c r="D22" s="1525"/>
      <c r="E22" s="1483"/>
      <c r="F22" s="1484"/>
      <c r="G22" s="1484"/>
    </row>
    <row r="23" spans="1:17" x14ac:dyDescent="0.25">
      <c r="A23" s="1489"/>
      <c r="B23" s="1529"/>
      <c r="C23" s="1524"/>
      <c r="D23" s="1525"/>
      <c r="E23" s="1483"/>
      <c r="F23" s="1484"/>
      <c r="G23" s="1484"/>
    </row>
    <row r="24" spans="1:17" ht="15.75" x14ac:dyDescent="0.25">
      <c r="A24" s="1489"/>
      <c r="B24" s="1522"/>
      <c r="C24" s="1523"/>
      <c r="D24" s="1518"/>
      <c r="E24" s="1481"/>
      <c r="F24" s="1482"/>
      <c r="G24" s="1482"/>
    </row>
    <row r="25" spans="1:17" ht="15.75" x14ac:dyDescent="0.25">
      <c r="A25" s="1493"/>
      <c r="B25" s="1519"/>
      <c r="C25" s="1520"/>
      <c r="D25" s="1530"/>
      <c r="E25" s="1497"/>
      <c r="F25" s="1498"/>
      <c r="G25" s="1498"/>
    </row>
    <row r="26" spans="1:17" ht="15.75" x14ac:dyDescent="0.25">
      <c r="A26" s="1499"/>
      <c r="B26" s="1522"/>
      <c r="C26" s="1523"/>
      <c r="D26" s="1518"/>
      <c r="E26" s="1500"/>
      <c r="F26" s="1501"/>
      <c r="G26" s="1501"/>
    </row>
    <row r="27" spans="1:17" ht="15.75" x14ac:dyDescent="0.25">
      <c r="A27" s="1499"/>
      <c r="B27" s="1522"/>
      <c r="C27" s="1523"/>
      <c r="D27" s="1518"/>
      <c r="E27" s="1500"/>
      <c r="F27" s="1501"/>
      <c r="G27" s="1501"/>
    </row>
    <row r="28" spans="1:17" ht="15.75" x14ac:dyDescent="0.25">
      <c r="A28" s="1493"/>
      <c r="B28" s="1494"/>
      <c r="C28" s="1495"/>
      <c r="D28" s="1496"/>
      <c r="E28" s="1500"/>
      <c r="F28" s="1501"/>
      <c r="G28" s="1501"/>
    </row>
    <row r="29" spans="1:17" ht="15.75" x14ac:dyDescent="0.25">
      <c r="A29" s="1499"/>
      <c r="B29" s="1490"/>
      <c r="C29" s="1491"/>
      <c r="D29" s="1492"/>
      <c r="E29" s="1500"/>
      <c r="F29" s="1501"/>
      <c r="G29" s="1501"/>
    </row>
    <row r="30" spans="1:17" ht="15.75" x14ac:dyDescent="0.25">
      <c r="A30" s="1493"/>
      <c r="B30" s="1494"/>
      <c r="C30" s="1495"/>
      <c r="D30" s="1496"/>
      <c r="E30" s="1500"/>
      <c r="F30" s="1501"/>
      <c r="G30" s="1501"/>
    </row>
    <row r="31" spans="1:17" ht="16.5" thickBot="1" x14ac:dyDescent="0.3">
      <c r="A31" s="1499"/>
      <c r="B31" s="1502"/>
      <c r="C31" s="1503"/>
      <c r="D31" s="1504"/>
      <c r="E31" s="1500"/>
      <c r="F31" s="1501"/>
      <c r="G31" s="1501"/>
    </row>
    <row r="32" spans="1:17" ht="16.5" thickBot="1" x14ac:dyDescent="0.3">
      <c r="A32" s="1505" t="s">
        <v>1122</v>
      </c>
      <c r="B32" s="1506">
        <f>SUM(B30+B25+B15+B13+B11+B9+B7+B28)</f>
        <v>144507</v>
      </c>
      <c r="C32" s="1507">
        <f>SUM(C30+C25+C15+C13+C11+C9+C7+C28)</f>
        <v>0</v>
      </c>
      <c r="D32" s="1508">
        <f>SUM(D7:D31)</f>
        <v>48134009</v>
      </c>
      <c r="E32" s="1509" t="e">
        <v>#REF!</v>
      </c>
      <c r="F32" s="1510" t="e">
        <v>#REF!</v>
      </c>
      <c r="G32" s="1510" t="e">
        <v>#REF!</v>
      </c>
    </row>
    <row r="33" spans="1:4" ht="30" customHeight="1" x14ac:dyDescent="0.25">
      <c r="A33" s="1869"/>
      <c r="B33" s="1870"/>
      <c r="C33" s="1870"/>
      <c r="D33" s="1871"/>
    </row>
    <row r="34" spans="1:4" x14ac:dyDescent="0.25">
      <c r="A34" s="1712"/>
      <c r="B34" s="1713"/>
      <c r="C34" s="1713"/>
      <c r="D34" s="1714"/>
    </row>
    <row r="35" spans="1:4" x14ac:dyDescent="0.25">
      <c r="A35" s="1712"/>
      <c r="B35" s="1713"/>
      <c r="C35" s="1713"/>
      <c r="D35" s="1714"/>
    </row>
    <row r="36" spans="1:4" x14ac:dyDescent="0.25">
      <c r="A36" s="1712"/>
      <c r="B36" s="1713"/>
      <c r="C36" s="1713"/>
      <c r="D36" s="1714"/>
    </row>
    <row r="37" spans="1:4" x14ac:dyDescent="0.25">
      <c r="A37" s="1712"/>
      <c r="B37" s="1713"/>
      <c r="C37" s="1713"/>
      <c r="D37" s="1714"/>
    </row>
    <row r="38" spans="1:4" x14ac:dyDescent="0.25">
      <c r="A38" s="1712"/>
      <c r="B38" s="1713"/>
      <c r="C38" s="1713"/>
      <c r="D38" s="1714"/>
    </row>
    <row r="39" spans="1:4" x14ac:dyDescent="0.25">
      <c r="A39" s="1712"/>
      <c r="B39" s="1713"/>
      <c r="C39" s="1713"/>
      <c r="D39" s="1714"/>
    </row>
    <row r="40" spans="1:4" x14ac:dyDescent="0.25">
      <c r="A40" s="1712"/>
      <c r="B40" s="1713"/>
      <c r="C40" s="1713"/>
      <c r="D40" s="1714"/>
    </row>
    <row r="41" spans="1:4" x14ac:dyDescent="0.25">
      <c r="A41" s="1712"/>
      <c r="B41" s="1713"/>
      <c r="C41" s="1713"/>
      <c r="D41" s="1714"/>
    </row>
    <row r="42" spans="1:4" x14ac:dyDescent="0.25">
      <c r="A42" s="1712"/>
      <c r="B42" s="1713"/>
      <c r="C42" s="1713"/>
      <c r="D42" s="1714"/>
    </row>
    <row r="43" spans="1:4" x14ac:dyDescent="0.25">
      <c r="A43" s="1712"/>
      <c r="B43" s="1713"/>
      <c r="C43" s="1713"/>
      <c r="D43" s="1714"/>
    </row>
    <row r="44" spans="1:4" x14ac:dyDescent="0.25">
      <c r="A44" s="1712"/>
      <c r="B44" s="1713"/>
      <c r="C44" s="1713"/>
      <c r="D44" s="1714"/>
    </row>
    <row r="45" spans="1:4" x14ac:dyDescent="0.25">
      <c r="A45" s="1712"/>
      <c r="B45" s="1713"/>
      <c r="C45" s="1713"/>
      <c r="D45" s="1714"/>
    </row>
    <row r="46" spans="1:4" x14ac:dyDescent="0.25">
      <c r="A46" s="1712"/>
      <c r="B46" s="1713"/>
      <c r="C46" s="1713"/>
      <c r="D46" s="1714"/>
    </row>
    <row r="47" spans="1:4" x14ac:dyDescent="0.25">
      <c r="A47" s="1712"/>
      <c r="B47" s="1713"/>
      <c r="C47" s="1713"/>
      <c r="D47" s="1714"/>
    </row>
    <row r="48" spans="1:4" x14ac:dyDescent="0.25">
      <c r="A48" s="1712"/>
      <c r="B48" s="1713"/>
      <c r="C48" s="1713"/>
      <c r="D48" s="1714"/>
    </row>
    <row r="49" spans="1:4" x14ac:dyDescent="0.25">
      <c r="A49" s="1712"/>
      <c r="B49" s="1713"/>
      <c r="C49" s="1713"/>
      <c r="D49" s="1714"/>
    </row>
    <row r="50" spans="1:4" x14ac:dyDescent="0.25">
      <c r="A50" s="1712"/>
      <c r="B50" s="1713"/>
      <c r="C50" s="1713"/>
      <c r="D50" s="1714"/>
    </row>
    <row r="51" spans="1:4" x14ac:dyDescent="0.25">
      <c r="A51" s="1712"/>
      <c r="B51" s="1713"/>
      <c r="C51" s="1713"/>
      <c r="D51" s="1714"/>
    </row>
    <row r="52" spans="1:4" x14ac:dyDescent="0.25">
      <c r="A52" s="1712"/>
      <c r="B52" s="1713"/>
      <c r="C52" s="1713"/>
      <c r="D52" s="1714"/>
    </row>
    <row r="53" spans="1:4" x14ac:dyDescent="0.25">
      <c r="A53" s="1712"/>
      <c r="B53" s="1713"/>
      <c r="C53" s="1713"/>
      <c r="D53" s="1714"/>
    </row>
    <row r="54" spans="1:4" x14ac:dyDescent="0.25">
      <c r="A54" s="1712"/>
      <c r="B54" s="1713"/>
      <c r="C54" s="1713"/>
      <c r="D54" s="1714"/>
    </row>
    <row r="55" spans="1:4" x14ac:dyDescent="0.25">
      <c r="A55" s="1712"/>
      <c r="B55" s="1713"/>
      <c r="C55" s="1713"/>
      <c r="D55" s="1714"/>
    </row>
    <row r="56" spans="1:4" x14ac:dyDescent="0.25">
      <c r="A56" s="1712"/>
      <c r="B56" s="1713"/>
      <c r="C56" s="1713"/>
      <c r="D56" s="1714"/>
    </row>
    <row r="57" spans="1:4" x14ac:dyDescent="0.25">
      <c r="A57" s="1712"/>
      <c r="B57" s="1713"/>
      <c r="C57" s="1713"/>
      <c r="D57" s="1714"/>
    </row>
    <row r="58" spans="1:4" x14ac:dyDescent="0.25">
      <c r="A58" s="1712"/>
      <c r="B58" s="1713"/>
      <c r="C58" s="1713"/>
      <c r="D58" s="1714"/>
    </row>
    <row r="59" spans="1:4" x14ac:dyDescent="0.25">
      <c r="A59" s="1712"/>
      <c r="B59" s="1713"/>
      <c r="C59" s="1713"/>
      <c r="D59" s="1714"/>
    </row>
    <row r="60" spans="1:4" x14ac:dyDescent="0.25">
      <c r="A60" s="1712"/>
      <c r="B60" s="1713"/>
      <c r="C60" s="1713"/>
      <c r="D60" s="1714"/>
    </row>
    <row r="61" spans="1:4" x14ac:dyDescent="0.25">
      <c r="A61" s="1712"/>
      <c r="B61" s="1713"/>
      <c r="C61" s="1713"/>
      <c r="D61" s="1714"/>
    </row>
    <row r="62" spans="1:4" x14ac:dyDescent="0.25">
      <c r="A62" s="1712"/>
      <c r="B62" s="1713"/>
      <c r="C62" s="1713"/>
      <c r="D62" s="1714"/>
    </row>
    <row r="63" spans="1:4" x14ac:dyDescent="0.25">
      <c r="A63" s="1712"/>
      <c r="B63" s="1713"/>
      <c r="C63" s="1713"/>
      <c r="D63" s="1714"/>
    </row>
    <row r="64" spans="1:4" x14ac:dyDescent="0.25">
      <c r="A64" s="1712"/>
      <c r="B64" s="1713"/>
      <c r="C64" s="1713"/>
      <c r="D64" s="1714"/>
    </row>
    <row r="65" spans="1:4" x14ac:dyDescent="0.25">
      <c r="A65" s="1712"/>
      <c r="B65" s="1713"/>
      <c r="C65" s="1713"/>
      <c r="D65" s="1714"/>
    </row>
    <row r="66" spans="1:4" x14ac:dyDescent="0.25">
      <c r="A66" s="1712"/>
      <c r="B66" s="1713"/>
      <c r="C66" s="1713"/>
      <c r="D66" s="1714"/>
    </row>
    <row r="67" spans="1:4" x14ac:dyDescent="0.25">
      <c r="A67" s="1712"/>
      <c r="B67" s="1713"/>
      <c r="C67" s="1713"/>
      <c r="D67" s="1714"/>
    </row>
    <row r="68" spans="1:4" x14ac:dyDescent="0.25">
      <c r="A68" s="1712"/>
      <c r="B68" s="1713"/>
      <c r="C68" s="1713"/>
      <c r="D68" s="1714"/>
    </row>
    <row r="69" spans="1:4" x14ac:dyDescent="0.25">
      <c r="A69" s="1712"/>
      <c r="B69" s="1713"/>
      <c r="C69" s="1713"/>
      <c r="D69" s="1714"/>
    </row>
    <row r="70" spans="1:4" x14ac:dyDescent="0.25">
      <c r="A70" s="1712"/>
      <c r="B70" s="1713"/>
      <c r="C70" s="1713"/>
      <c r="D70" s="1714"/>
    </row>
    <row r="71" spans="1:4" x14ac:dyDescent="0.25">
      <c r="A71" s="1712"/>
      <c r="B71" s="1713"/>
      <c r="C71" s="1713"/>
      <c r="D71" s="1714"/>
    </row>
    <row r="72" spans="1:4" x14ac:dyDescent="0.25">
      <c r="A72" s="1712"/>
      <c r="B72" s="1713"/>
      <c r="C72" s="1713"/>
      <c r="D72" s="1714"/>
    </row>
    <row r="73" spans="1:4" x14ac:dyDescent="0.25">
      <c r="A73" s="1712"/>
      <c r="B73" s="1713"/>
      <c r="C73" s="1713"/>
      <c r="D73" s="1714"/>
    </row>
    <row r="74" spans="1:4" x14ac:dyDescent="0.25">
      <c r="A74" s="1712"/>
      <c r="B74" s="1713"/>
      <c r="C74" s="1713"/>
      <c r="D74" s="1714"/>
    </row>
    <row r="75" spans="1:4" x14ac:dyDescent="0.25">
      <c r="A75" s="1712"/>
      <c r="B75" s="1713"/>
      <c r="C75" s="1713"/>
      <c r="D75" s="1714"/>
    </row>
    <row r="76" spans="1:4" x14ac:dyDescent="0.25">
      <c r="A76" s="1712"/>
      <c r="B76" s="1713"/>
      <c r="C76" s="1713"/>
      <c r="D76" s="1714"/>
    </row>
    <row r="77" spans="1:4" x14ac:dyDescent="0.25">
      <c r="A77" s="1712"/>
      <c r="B77" s="1713"/>
      <c r="C77" s="1713"/>
      <c r="D77" s="1714"/>
    </row>
    <row r="78" spans="1:4" x14ac:dyDescent="0.25">
      <c r="A78" s="1712"/>
      <c r="B78" s="1713"/>
      <c r="C78" s="1713"/>
      <c r="D78" s="1714"/>
    </row>
    <row r="79" spans="1:4" x14ac:dyDescent="0.25">
      <c r="A79" s="1712"/>
      <c r="B79" s="1713"/>
      <c r="C79" s="1713"/>
      <c r="D79" s="1714"/>
    </row>
    <row r="80" spans="1:4" x14ac:dyDescent="0.25">
      <c r="A80" s="1712"/>
      <c r="B80" s="1713"/>
      <c r="C80" s="1713"/>
      <c r="D80" s="1714"/>
    </row>
    <row r="81" spans="1:4" x14ac:dyDescent="0.25">
      <c r="A81" s="1712"/>
      <c r="B81" s="1713"/>
      <c r="C81" s="1713"/>
      <c r="D81" s="1714"/>
    </row>
    <row r="82" spans="1:4" x14ac:dyDescent="0.25">
      <c r="A82" s="1712"/>
      <c r="B82" s="1713"/>
      <c r="C82" s="1713"/>
      <c r="D82" s="1714"/>
    </row>
    <row r="83" spans="1:4" x14ac:dyDescent="0.25">
      <c r="A83" s="1712"/>
      <c r="B83" s="1713"/>
      <c r="C83" s="1713"/>
      <c r="D83" s="1714"/>
    </row>
    <row r="84" spans="1:4" x14ac:dyDescent="0.25">
      <c r="A84" s="1712"/>
      <c r="B84" s="1713"/>
      <c r="C84" s="1713"/>
      <c r="D84" s="1714"/>
    </row>
    <row r="85" spans="1:4" x14ac:dyDescent="0.25">
      <c r="A85" s="1712"/>
      <c r="B85" s="1713"/>
      <c r="C85" s="1713"/>
      <c r="D85" s="1714"/>
    </row>
    <row r="86" spans="1:4" x14ac:dyDescent="0.25">
      <c r="A86" s="1712"/>
      <c r="B86" s="1713"/>
      <c r="C86" s="1713"/>
      <c r="D86" s="1714"/>
    </row>
    <row r="87" spans="1:4" x14ac:dyDescent="0.25">
      <c r="A87" s="1712"/>
      <c r="B87" s="1713"/>
      <c r="C87" s="1713"/>
      <c r="D87" s="1714"/>
    </row>
    <row r="88" spans="1:4" ht="15.75" thickBot="1" x14ac:dyDescent="0.3">
      <c r="A88" s="1715"/>
      <c r="B88" s="1716"/>
      <c r="C88" s="1716"/>
      <c r="D88" s="1717"/>
    </row>
    <row r="90" spans="1:4" ht="15.75" thickBot="1" x14ac:dyDescent="0.3"/>
    <row r="91" spans="1:4" x14ac:dyDescent="0.25">
      <c r="A91" s="1736"/>
      <c r="B91" s="1737"/>
      <c r="C91" s="1737"/>
      <c r="D91" s="1738"/>
    </row>
    <row r="92" spans="1:4" x14ac:dyDescent="0.25">
      <c r="A92" s="1712"/>
      <c r="B92" s="1713"/>
      <c r="C92" s="1713"/>
      <c r="D92" s="1714"/>
    </row>
    <row r="93" spans="1:4" x14ac:dyDescent="0.25">
      <c r="A93" s="1712"/>
      <c r="B93" s="1713"/>
      <c r="C93" s="1713"/>
      <c r="D93" s="1714"/>
    </row>
    <row r="94" spans="1:4" x14ac:dyDescent="0.25">
      <c r="A94" s="1712"/>
      <c r="B94" s="1713"/>
      <c r="C94" s="1713"/>
      <c r="D94" s="1714"/>
    </row>
    <row r="95" spans="1:4" x14ac:dyDescent="0.25">
      <c r="A95" s="1712"/>
      <c r="B95" s="1713"/>
      <c r="C95" s="1713"/>
      <c r="D95" s="1714"/>
    </row>
    <row r="96" spans="1:4" x14ac:dyDescent="0.25">
      <c r="A96" s="1712"/>
      <c r="B96" s="1713"/>
      <c r="C96" s="1713"/>
      <c r="D96" s="1714"/>
    </row>
    <row r="97" spans="1:4" x14ac:dyDescent="0.25">
      <c r="A97" s="1712"/>
      <c r="B97" s="1713"/>
      <c r="C97" s="1713"/>
      <c r="D97" s="1714"/>
    </row>
    <row r="98" spans="1:4" x14ac:dyDescent="0.25">
      <c r="A98" s="1712"/>
      <c r="B98" s="1713"/>
      <c r="C98" s="1713"/>
      <c r="D98" s="1714"/>
    </row>
    <row r="99" spans="1:4" x14ac:dyDescent="0.25">
      <c r="A99" s="1712"/>
      <c r="B99" s="1713"/>
      <c r="C99" s="1713"/>
      <c r="D99" s="1714"/>
    </row>
    <row r="100" spans="1:4" x14ac:dyDescent="0.25">
      <c r="A100" s="1712"/>
      <c r="B100" s="1713"/>
      <c r="C100" s="1713"/>
      <c r="D100" s="1714"/>
    </row>
    <row r="101" spans="1:4" x14ac:dyDescent="0.25">
      <c r="A101" s="1712"/>
      <c r="B101" s="1713"/>
      <c r="C101" s="1713"/>
      <c r="D101" s="1714"/>
    </row>
    <row r="102" spans="1:4" x14ac:dyDescent="0.25">
      <c r="A102" s="1712"/>
      <c r="B102" s="1713"/>
      <c r="C102" s="1713"/>
      <c r="D102" s="1714"/>
    </row>
    <row r="103" spans="1:4" x14ac:dyDescent="0.25">
      <c r="A103" s="1712"/>
      <c r="B103" s="1713"/>
      <c r="C103" s="1713"/>
      <c r="D103" s="1714"/>
    </row>
    <row r="104" spans="1:4" x14ac:dyDescent="0.25">
      <c r="A104" s="1712"/>
      <c r="B104" s="1713"/>
      <c r="C104" s="1713"/>
      <c r="D104" s="1714"/>
    </row>
    <row r="105" spans="1:4" x14ac:dyDescent="0.25">
      <c r="A105" s="1712"/>
      <c r="B105" s="1713"/>
      <c r="C105" s="1713"/>
      <c r="D105" s="1714"/>
    </row>
    <row r="106" spans="1:4" x14ac:dyDescent="0.25">
      <c r="A106" s="1712"/>
      <c r="B106" s="1713"/>
      <c r="C106" s="1713"/>
      <c r="D106" s="1714"/>
    </row>
    <row r="107" spans="1:4" x14ac:dyDescent="0.25">
      <c r="A107" s="1712"/>
      <c r="B107" s="1713"/>
      <c r="C107" s="1713"/>
      <c r="D107" s="1714"/>
    </row>
    <row r="108" spans="1:4" x14ac:dyDescent="0.25">
      <c r="A108" s="1712"/>
      <c r="B108" s="1713"/>
      <c r="C108" s="1713"/>
      <c r="D108" s="1714"/>
    </row>
    <row r="109" spans="1:4" x14ac:dyDescent="0.25">
      <c r="A109" s="1712"/>
      <c r="B109" s="1713"/>
      <c r="C109" s="1713"/>
      <c r="D109" s="1714"/>
    </row>
    <row r="110" spans="1:4" x14ac:dyDescent="0.25">
      <c r="A110" s="1712"/>
      <c r="B110" s="1713"/>
      <c r="C110" s="1713"/>
      <c r="D110" s="1714"/>
    </row>
    <row r="111" spans="1:4" x14ac:dyDescent="0.25">
      <c r="A111" s="1712"/>
      <c r="B111" s="1713"/>
      <c r="C111" s="1713"/>
      <c r="D111" s="1714"/>
    </row>
    <row r="112" spans="1:4" x14ac:dyDescent="0.25">
      <c r="A112" s="1712"/>
      <c r="B112" s="1713"/>
      <c r="C112" s="1713"/>
      <c r="D112" s="1714"/>
    </row>
    <row r="113" spans="1:4" x14ac:dyDescent="0.25">
      <c r="A113" s="1712"/>
      <c r="B113" s="1713"/>
      <c r="C113" s="1713"/>
      <c r="D113" s="1714"/>
    </row>
    <row r="114" spans="1:4" x14ac:dyDescent="0.25">
      <c r="A114" s="1712"/>
      <c r="B114" s="1713"/>
      <c r="C114" s="1713"/>
      <c r="D114" s="1714"/>
    </row>
    <row r="115" spans="1:4" x14ac:dyDescent="0.25">
      <c r="A115" s="1712"/>
      <c r="B115" s="1713"/>
      <c r="C115" s="1713"/>
      <c r="D115" s="1714"/>
    </row>
    <row r="116" spans="1:4" x14ac:dyDescent="0.25">
      <c r="A116" s="1712"/>
      <c r="B116" s="1713"/>
      <c r="C116" s="1713"/>
      <c r="D116" s="1714"/>
    </row>
    <row r="117" spans="1:4" x14ac:dyDescent="0.25">
      <c r="A117" s="1712"/>
      <c r="B117" s="1713"/>
      <c r="C117" s="1713"/>
      <c r="D117" s="1714"/>
    </row>
    <row r="118" spans="1:4" x14ac:dyDescent="0.25">
      <c r="A118" s="1712"/>
      <c r="B118" s="1713"/>
      <c r="C118" s="1713"/>
      <c r="D118" s="1714"/>
    </row>
    <row r="119" spans="1:4" x14ac:dyDescent="0.25">
      <c r="A119" s="1712"/>
      <c r="B119" s="1713"/>
      <c r="C119" s="1713"/>
      <c r="D119" s="1714"/>
    </row>
    <row r="120" spans="1:4" x14ac:dyDescent="0.25">
      <c r="A120" s="1712"/>
      <c r="B120" s="1713"/>
      <c r="C120" s="1713"/>
      <c r="D120" s="1714"/>
    </row>
    <row r="121" spans="1:4" x14ac:dyDescent="0.25">
      <c r="A121" s="1712"/>
      <c r="B121" s="1713"/>
      <c r="C121" s="1713"/>
      <c r="D121" s="1714"/>
    </row>
    <row r="122" spans="1:4" x14ac:dyDescent="0.25">
      <c r="A122" s="1712"/>
      <c r="B122" s="1713"/>
      <c r="C122" s="1713"/>
      <c r="D122" s="1714"/>
    </row>
    <row r="123" spans="1:4" x14ac:dyDescent="0.25">
      <c r="A123" s="1712"/>
      <c r="B123" s="1713"/>
      <c r="C123" s="1713"/>
      <c r="D123" s="1714"/>
    </row>
    <row r="124" spans="1:4" x14ac:dyDescent="0.25">
      <c r="A124" s="1712"/>
      <c r="B124" s="1713"/>
      <c r="C124" s="1713"/>
      <c r="D124" s="1714"/>
    </row>
    <row r="125" spans="1:4" x14ac:dyDescent="0.25">
      <c r="A125" s="1712"/>
      <c r="B125" s="1713"/>
      <c r="C125" s="1713"/>
      <c r="D125" s="1714"/>
    </row>
    <row r="126" spans="1:4" x14ac:dyDescent="0.25">
      <c r="A126" s="1712"/>
      <c r="B126" s="1713"/>
      <c r="C126" s="1713"/>
      <c r="D126" s="1714"/>
    </row>
    <row r="127" spans="1:4" x14ac:dyDescent="0.25">
      <c r="A127" s="1712"/>
      <c r="B127" s="1713"/>
      <c r="C127" s="1713"/>
      <c r="D127" s="1714"/>
    </row>
    <row r="128" spans="1:4" x14ac:dyDescent="0.25">
      <c r="A128" s="1712"/>
      <c r="B128" s="1713"/>
      <c r="C128" s="1713"/>
      <c r="D128" s="1714"/>
    </row>
    <row r="129" spans="1:4" x14ac:dyDescent="0.25">
      <c r="A129" s="1712"/>
      <c r="B129" s="1713"/>
      <c r="C129" s="1713"/>
      <c r="D129" s="1714"/>
    </row>
    <row r="130" spans="1:4" x14ac:dyDescent="0.25">
      <c r="A130" s="1712"/>
      <c r="B130" s="1713"/>
      <c r="C130" s="1713"/>
      <c r="D130" s="1714"/>
    </row>
    <row r="131" spans="1:4" x14ac:dyDescent="0.25">
      <c r="A131" s="1712"/>
      <c r="B131" s="1713"/>
      <c r="C131" s="1713"/>
      <c r="D131" s="1714"/>
    </row>
    <row r="132" spans="1:4" x14ac:dyDescent="0.25">
      <c r="A132" s="1712"/>
      <c r="B132" s="1713"/>
      <c r="C132" s="1713"/>
      <c r="D132" s="1714"/>
    </row>
    <row r="133" spans="1:4" x14ac:dyDescent="0.25">
      <c r="A133" s="1712"/>
      <c r="B133" s="1713"/>
      <c r="C133" s="1713"/>
      <c r="D133" s="1714"/>
    </row>
    <row r="134" spans="1:4" x14ac:dyDescent="0.25">
      <c r="A134" s="1712"/>
      <c r="B134" s="1713"/>
      <c r="C134" s="1713"/>
      <c r="D134" s="1714"/>
    </row>
    <row r="135" spans="1:4" x14ac:dyDescent="0.25">
      <c r="A135" s="1712"/>
      <c r="B135" s="1713"/>
      <c r="C135" s="1713"/>
      <c r="D135" s="1714"/>
    </row>
    <row r="136" spans="1:4" x14ac:dyDescent="0.25">
      <c r="A136" s="1712"/>
      <c r="B136" s="1713"/>
      <c r="C136" s="1713"/>
      <c r="D136" s="1714"/>
    </row>
    <row r="137" spans="1:4" x14ac:dyDescent="0.25">
      <c r="A137" s="1712"/>
      <c r="B137" s="1713"/>
      <c r="C137" s="1713"/>
      <c r="D137" s="1714"/>
    </row>
    <row r="138" spans="1:4" x14ac:dyDescent="0.25">
      <c r="A138" s="1712"/>
      <c r="B138" s="1713"/>
      <c r="C138" s="1713"/>
      <c r="D138" s="1714"/>
    </row>
    <row r="139" spans="1:4" x14ac:dyDescent="0.25">
      <c r="A139" s="1712"/>
      <c r="B139" s="1713"/>
      <c r="C139" s="1713"/>
      <c r="D139" s="1714"/>
    </row>
    <row r="140" spans="1:4" x14ac:dyDescent="0.25">
      <c r="A140" s="1712"/>
      <c r="B140" s="1713"/>
      <c r="C140" s="1713"/>
      <c r="D140" s="1714"/>
    </row>
    <row r="141" spans="1:4" x14ac:dyDescent="0.25">
      <c r="A141" s="1712"/>
      <c r="B141" s="1713"/>
      <c r="C141" s="1713"/>
      <c r="D141" s="1714"/>
    </row>
    <row r="142" spans="1:4" x14ac:dyDescent="0.25">
      <c r="A142" s="1712"/>
      <c r="B142" s="1713"/>
      <c r="C142" s="1713"/>
      <c r="D142" s="1714"/>
    </row>
    <row r="143" spans="1:4" x14ac:dyDescent="0.25">
      <c r="A143" s="1712"/>
      <c r="B143" s="1713"/>
      <c r="C143" s="1713"/>
      <c r="D143" s="1714"/>
    </row>
    <row r="144" spans="1:4" x14ac:dyDescent="0.25">
      <c r="A144" s="1712"/>
      <c r="B144" s="1713"/>
      <c r="C144" s="1713"/>
      <c r="D144" s="1714"/>
    </row>
    <row r="145" spans="1:4" x14ac:dyDescent="0.25">
      <c r="A145" s="1712"/>
      <c r="B145" s="1713"/>
      <c r="C145" s="1713"/>
      <c r="D145" s="1714"/>
    </row>
    <row r="146" spans="1:4" ht="15.75" thickBot="1" x14ac:dyDescent="0.3">
      <c r="A146" s="1715"/>
      <c r="B146" s="1716"/>
      <c r="C146" s="1716"/>
      <c r="D146" s="1717"/>
    </row>
  </sheetData>
  <sheetProtection selectLockedCells="1" selectUnlockedCells="1"/>
  <mergeCells count="7">
    <mergeCell ref="M8:Q21"/>
    <mergeCell ref="A33:D33"/>
    <mergeCell ref="A1:G1"/>
    <mergeCell ref="A2:G2"/>
    <mergeCell ref="C4:D4"/>
    <mergeCell ref="A5:A6"/>
    <mergeCell ref="C5:D5"/>
  </mergeCells>
  <pageMargins left="0.7" right="0.7" top="0.75" bottom="0.75" header="0.3" footer="0.3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H68"/>
  <sheetViews>
    <sheetView view="pageBreakPreview" zoomScaleNormal="100" zoomScaleSheetLayoutView="100" workbookViewId="0">
      <selection sqref="A1:G1"/>
    </sheetView>
  </sheetViews>
  <sheetFormatPr defaultRowHeight="12.75" x14ac:dyDescent="0.2"/>
  <cols>
    <col min="1" max="1" width="4.7109375" style="1531" customWidth="1"/>
    <col min="2" max="2" width="28.42578125" style="1531" customWidth="1"/>
    <col min="3" max="3" width="10.5703125" style="1531" customWidth="1"/>
    <col min="4" max="4" width="9.85546875" style="1531" customWidth="1"/>
    <col min="5" max="5" width="9.7109375" style="1531" customWidth="1"/>
    <col min="6" max="6" width="9.42578125" style="1531" customWidth="1"/>
    <col min="7" max="7" width="12.28515625" style="1531" customWidth="1"/>
    <col min="8" max="8" width="9.140625" style="1531"/>
    <col min="9" max="256" width="9.140625" style="1483"/>
    <col min="257" max="257" width="4.7109375" style="1483" customWidth="1"/>
    <col min="258" max="258" width="28.42578125" style="1483" customWidth="1"/>
    <col min="259" max="259" width="10.5703125" style="1483" customWidth="1"/>
    <col min="260" max="260" width="9.85546875" style="1483" customWidth="1"/>
    <col min="261" max="261" width="9.7109375" style="1483" customWidth="1"/>
    <col min="262" max="262" width="9.42578125" style="1483" customWidth="1"/>
    <col min="263" max="263" width="12.28515625" style="1483" customWidth="1"/>
    <col min="264" max="512" width="9.140625" style="1483"/>
    <col min="513" max="513" width="4.7109375" style="1483" customWidth="1"/>
    <col min="514" max="514" width="28.42578125" style="1483" customWidth="1"/>
    <col min="515" max="515" width="10.5703125" style="1483" customWidth="1"/>
    <col min="516" max="516" width="9.85546875" style="1483" customWidth="1"/>
    <col min="517" max="517" width="9.7109375" style="1483" customWidth="1"/>
    <col min="518" max="518" width="9.42578125" style="1483" customWidth="1"/>
    <col min="519" max="519" width="12.28515625" style="1483" customWidth="1"/>
    <col min="520" max="768" width="9.140625" style="1483"/>
    <col min="769" max="769" width="4.7109375" style="1483" customWidth="1"/>
    <col min="770" max="770" width="28.42578125" style="1483" customWidth="1"/>
    <col min="771" max="771" width="10.5703125" style="1483" customWidth="1"/>
    <col min="772" max="772" width="9.85546875" style="1483" customWidth="1"/>
    <col min="773" max="773" width="9.7109375" style="1483" customWidth="1"/>
    <col min="774" max="774" width="9.42578125" style="1483" customWidth="1"/>
    <col min="775" max="775" width="12.28515625" style="1483" customWidth="1"/>
    <col min="776" max="1024" width="9.140625" style="1483"/>
    <col min="1025" max="1025" width="4.7109375" style="1483" customWidth="1"/>
    <col min="1026" max="1026" width="28.42578125" style="1483" customWidth="1"/>
    <col min="1027" max="1027" width="10.5703125" style="1483" customWidth="1"/>
    <col min="1028" max="1028" width="9.85546875" style="1483" customWidth="1"/>
    <col min="1029" max="1029" width="9.7109375" style="1483" customWidth="1"/>
    <col min="1030" max="1030" width="9.42578125" style="1483" customWidth="1"/>
    <col min="1031" max="1031" width="12.28515625" style="1483" customWidth="1"/>
    <col min="1032" max="1280" width="9.140625" style="1483"/>
    <col min="1281" max="1281" width="4.7109375" style="1483" customWidth="1"/>
    <col min="1282" max="1282" width="28.42578125" style="1483" customWidth="1"/>
    <col min="1283" max="1283" width="10.5703125" style="1483" customWidth="1"/>
    <col min="1284" max="1284" width="9.85546875" style="1483" customWidth="1"/>
    <col min="1285" max="1285" width="9.7109375" style="1483" customWidth="1"/>
    <col min="1286" max="1286" width="9.42578125" style="1483" customWidth="1"/>
    <col min="1287" max="1287" width="12.28515625" style="1483" customWidth="1"/>
    <col min="1288" max="1536" width="9.140625" style="1483"/>
    <col min="1537" max="1537" width="4.7109375" style="1483" customWidth="1"/>
    <col min="1538" max="1538" width="28.42578125" style="1483" customWidth="1"/>
    <col min="1539" max="1539" width="10.5703125" style="1483" customWidth="1"/>
    <col min="1540" max="1540" width="9.85546875" style="1483" customWidth="1"/>
    <col min="1541" max="1541" width="9.7109375" style="1483" customWidth="1"/>
    <col min="1542" max="1542" width="9.42578125" style="1483" customWidth="1"/>
    <col min="1543" max="1543" width="12.28515625" style="1483" customWidth="1"/>
    <col min="1544" max="1792" width="9.140625" style="1483"/>
    <col min="1793" max="1793" width="4.7109375" style="1483" customWidth="1"/>
    <col min="1794" max="1794" width="28.42578125" style="1483" customWidth="1"/>
    <col min="1795" max="1795" width="10.5703125" style="1483" customWidth="1"/>
    <col min="1796" max="1796" width="9.85546875" style="1483" customWidth="1"/>
    <col min="1797" max="1797" width="9.7109375" style="1483" customWidth="1"/>
    <col min="1798" max="1798" width="9.42578125" style="1483" customWidth="1"/>
    <col min="1799" max="1799" width="12.28515625" style="1483" customWidth="1"/>
    <col min="1800" max="2048" width="9.140625" style="1483"/>
    <col min="2049" max="2049" width="4.7109375" style="1483" customWidth="1"/>
    <col min="2050" max="2050" width="28.42578125" style="1483" customWidth="1"/>
    <col min="2051" max="2051" width="10.5703125" style="1483" customWidth="1"/>
    <col min="2052" max="2052" width="9.85546875" style="1483" customWidth="1"/>
    <col min="2053" max="2053" width="9.7109375" style="1483" customWidth="1"/>
    <col min="2054" max="2054" width="9.42578125" style="1483" customWidth="1"/>
    <col min="2055" max="2055" width="12.28515625" style="1483" customWidth="1"/>
    <col min="2056" max="2304" width="9.140625" style="1483"/>
    <col min="2305" max="2305" width="4.7109375" style="1483" customWidth="1"/>
    <col min="2306" max="2306" width="28.42578125" style="1483" customWidth="1"/>
    <col min="2307" max="2307" width="10.5703125" style="1483" customWidth="1"/>
    <col min="2308" max="2308" width="9.85546875" style="1483" customWidth="1"/>
    <col min="2309" max="2309" width="9.7109375" style="1483" customWidth="1"/>
    <col min="2310" max="2310" width="9.42578125" style="1483" customWidth="1"/>
    <col min="2311" max="2311" width="12.28515625" style="1483" customWidth="1"/>
    <col min="2312" max="2560" width="9.140625" style="1483"/>
    <col min="2561" max="2561" width="4.7109375" style="1483" customWidth="1"/>
    <col min="2562" max="2562" width="28.42578125" style="1483" customWidth="1"/>
    <col min="2563" max="2563" width="10.5703125" style="1483" customWidth="1"/>
    <col min="2564" max="2564" width="9.85546875" style="1483" customWidth="1"/>
    <col min="2565" max="2565" width="9.7109375" style="1483" customWidth="1"/>
    <col min="2566" max="2566" width="9.42578125" style="1483" customWidth="1"/>
    <col min="2567" max="2567" width="12.28515625" style="1483" customWidth="1"/>
    <col min="2568" max="2816" width="9.140625" style="1483"/>
    <col min="2817" max="2817" width="4.7109375" style="1483" customWidth="1"/>
    <col min="2818" max="2818" width="28.42578125" style="1483" customWidth="1"/>
    <col min="2819" max="2819" width="10.5703125" style="1483" customWidth="1"/>
    <col min="2820" max="2820" width="9.85546875" style="1483" customWidth="1"/>
    <col min="2821" max="2821" width="9.7109375" style="1483" customWidth="1"/>
    <col min="2822" max="2822" width="9.42578125" style="1483" customWidth="1"/>
    <col min="2823" max="2823" width="12.28515625" style="1483" customWidth="1"/>
    <col min="2824" max="3072" width="9.140625" style="1483"/>
    <col min="3073" max="3073" width="4.7109375" style="1483" customWidth="1"/>
    <col min="3074" max="3074" width="28.42578125" style="1483" customWidth="1"/>
    <col min="3075" max="3075" width="10.5703125" style="1483" customWidth="1"/>
    <col min="3076" max="3076" width="9.85546875" style="1483" customWidth="1"/>
    <col min="3077" max="3077" width="9.7109375" style="1483" customWidth="1"/>
    <col min="3078" max="3078" width="9.42578125" style="1483" customWidth="1"/>
    <col min="3079" max="3079" width="12.28515625" style="1483" customWidth="1"/>
    <col min="3080" max="3328" width="9.140625" style="1483"/>
    <col min="3329" max="3329" width="4.7109375" style="1483" customWidth="1"/>
    <col min="3330" max="3330" width="28.42578125" style="1483" customWidth="1"/>
    <col min="3331" max="3331" width="10.5703125" style="1483" customWidth="1"/>
    <col min="3332" max="3332" width="9.85546875" style="1483" customWidth="1"/>
    <col min="3333" max="3333" width="9.7109375" style="1483" customWidth="1"/>
    <col min="3334" max="3334" width="9.42578125" style="1483" customWidth="1"/>
    <col min="3335" max="3335" width="12.28515625" style="1483" customWidth="1"/>
    <col min="3336" max="3584" width="9.140625" style="1483"/>
    <col min="3585" max="3585" width="4.7109375" style="1483" customWidth="1"/>
    <col min="3586" max="3586" width="28.42578125" style="1483" customWidth="1"/>
    <col min="3587" max="3587" width="10.5703125" style="1483" customWidth="1"/>
    <col min="3588" max="3588" width="9.85546875" style="1483" customWidth="1"/>
    <col min="3589" max="3589" width="9.7109375" style="1483" customWidth="1"/>
    <col min="3590" max="3590" width="9.42578125" style="1483" customWidth="1"/>
    <col min="3591" max="3591" width="12.28515625" style="1483" customWidth="1"/>
    <col min="3592" max="3840" width="9.140625" style="1483"/>
    <col min="3841" max="3841" width="4.7109375" style="1483" customWidth="1"/>
    <col min="3842" max="3842" width="28.42578125" style="1483" customWidth="1"/>
    <col min="3843" max="3843" width="10.5703125" style="1483" customWidth="1"/>
    <col min="3844" max="3844" width="9.85546875" style="1483" customWidth="1"/>
    <col min="3845" max="3845" width="9.7109375" style="1483" customWidth="1"/>
    <col min="3846" max="3846" width="9.42578125" style="1483" customWidth="1"/>
    <col min="3847" max="3847" width="12.28515625" style="1483" customWidth="1"/>
    <col min="3848" max="4096" width="9.140625" style="1483"/>
    <col min="4097" max="4097" width="4.7109375" style="1483" customWidth="1"/>
    <col min="4098" max="4098" width="28.42578125" style="1483" customWidth="1"/>
    <col min="4099" max="4099" width="10.5703125" style="1483" customWidth="1"/>
    <col min="4100" max="4100" width="9.85546875" style="1483" customWidth="1"/>
    <col min="4101" max="4101" width="9.7109375" style="1483" customWidth="1"/>
    <col min="4102" max="4102" width="9.42578125" style="1483" customWidth="1"/>
    <col min="4103" max="4103" width="12.28515625" style="1483" customWidth="1"/>
    <col min="4104" max="4352" width="9.140625" style="1483"/>
    <col min="4353" max="4353" width="4.7109375" style="1483" customWidth="1"/>
    <col min="4354" max="4354" width="28.42578125" style="1483" customWidth="1"/>
    <col min="4355" max="4355" width="10.5703125" style="1483" customWidth="1"/>
    <col min="4356" max="4356" width="9.85546875" style="1483" customWidth="1"/>
    <col min="4357" max="4357" width="9.7109375" style="1483" customWidth="1"/>
    <col min="4358" max="4358" width="9.42578125" style="1483" customWidth="1"/>
    <col min="4359" max="4359" width="12.28515625" style="1483" customWidth="1"/>
    <col min="4360" max="4608" width="9.140625" style="1483"/>
    <col min="4609" max="4609" width="4.7109375" style="1483" customWidth="1"/>
    <col min="4610" max="4610" width="28.42578125" style="1483" customWidth="1"/>
    <col min="4611" max="4611" width="10.5703125" style="1483" customWidth="1"/>
    <col min="4612" max="4612" width="9.85546875" style="1483" customWidth="1"/>
    <col min="4613" max="4613" width="9.7109375" style="1483" customWidth="1"/>
    <col min="4614" max="4614" width="9.42578125" style="1483" customWidth="1"/>
    <col min="4615" max="4615" width="12.28515625" style="1483" customWidth="1"/>
    <col min="4616" max="4864" width="9.140625" style="1483"/>
    <col min="4865" max="4865" width="4.7109375" style="1483" customWidth="1"/>
    <col min="4866" max="4866" width="28.42578125" style="1483" customWidth="1"/>
    <col min="4867" max="4867" width="10.5703125" style="1483" customWidth="1"/>
    <col min="4868" max="4868" width="9.85546875" style="1483" customWidth="1"/>
    <col min="4869" max="4869" width="9.7109375" style="1483" customWidth="1"/>
    <col min="4870" max="4870" width="9.42578125" style="1483" customWidth="1"/>
    <col min="4871" max="4871" width="12.28515625" style="1483" customWidth="1"/>
    <col min="4872" max="5120" width="9.140625" style="1483"/>
    <col min="5121" max="5121" width="4.7109375" style="1483" customWidth="1"/>
    <col min="5122" max="5122" width="28.42578125" style="1483" customWidth="1"/>
    <col min="5123" max="5123" width="10.5703125" style="1483" customWidth="1"/>
    <col min="5124" max="5124" width="9.85546875" style="1483" customWidth="1"/>
    <col min="5125" max="5125" width="9.7109375" style="1483" customWidth="1"/>
    <col min="5126" max="5126" width="9.42578125" style="1483" customWidth="1"/>
    <col min="5127" max="5127" width="12.28515625" style="1483" customWidth="1"/>
    <col min="5128" max="5376" width="9.140625" style="1483"/>
    <col min="5377" max="5377" width="4.7109375" style="1483" customWidth="1"/>
    <col min="5378" max="5378" width="28.42578125" style="1483" customWidth="1"/>
    <col min="5379" max="5379" width="10.5703125" style="1483" customWidth="1"/>
    <col min="5380" max="5380" width="9.85546875" style="1483" customWidth="1"/>
    <col min="5381" max="5381" width="9.7109375" style="1483" customWidth="1"/>
    <col min="5382" max="5382" width="9.42578125" style="1483" customWidth="1"/>
    <col min="5383" max="5383" width="12.28515625" style="1483" customWidth="1"/>
    <col min="5384" max="5632" width="9.140625" style="1483"/>
    <col min="5633" max="5633" width="4.7109375" style="1483" customWidth="1"/>
    <col min="5634" max="5634" width="28.42578125" style="1483" customWidth="1"/>
    <col min="5635" max="5635" width="10.5703125" style="1483" customWidth="1"/>
    <col min="5636" max="5636" width="9.85546875" style="1483" customWidth="1"/>
    <col min="5637" max="5637" width="9.7109375" style="1483" customWidth="1"/>
    <col min="5638" max="5638" width="9.42578125" style="1483" customWidth="1"/>
    <col min="5639" max="5639" width="12.28515625" style="1483" customWidth="1"/>
    <col min="5640" max="5888" width="9.140625" style="1483"/>
    <col min="5889" max="5889" width="4.7109375" style="1483" customWidth="1"/>
    <col min="5890" max="5890" width="28.42578125" style="1483" customWidth="1"/>
    <col min="5891" max="5891" width="10.5703125" style="1483" customWidth="1"/>
    <col min="5892" max="5892" width="9.85546875" style="1483" customWidth="1"/>
    <col min="5893" max="5893" width="9.7109375" style="1483" customWidth="1"/>
    <col min="5894" max="5894" width="9.42578125" style="1483" customWidth="1"/>
    <col min="5895" max="5895" width="12.28515625" style="1483" customWidth="1"/>
    <col min="5896" max="6144" width="9.140625" style="1483"/>
    <col min="6145" max="6145" width="4.7109375" style="1483" customWidth="1"/>
    <col min="6146" max="6146" width="28.42578125" style="1483" customWidth="1"/>
    <col min="6147" max="6147" width="10.5703125" style="1483" customWidth="1"/>
    <col min="6148" max="6148" width="9.85546875" style="1483" customWidth="1"/>
    <col min="6149" max="6149" width="9.7109375" style="1483" customWidth="1"/>
    <col min="6150" max="6150" width="9.42578125" style="1483" customWidth="1"/>
    <col min="6151" max="6151" width="12.28515625" style="1483" customWidth="1"/>
    <col min="6152" max="6400" width="9.140625" style="1483"/>
    <col min="6401" max="6401" width="4.7109375" style="1483" customWidth="1"/>
    <col min="6402" max="6402" width="28.42578125" style="1483" customWidth="1"/>
    <col min="6403" max="6403" width="10.5703125" style="1483" customWidth="1"/>
    <col min="6404" max="6404" width="9.85546875" style="1483" customWidth="1"/>
    <col min="6405" max="6405" width="9.7109375" style="1483" customWidth="1"/>
    <col min="6406" max="6406" width="9.42578125" style="1483" customWidth="1"/>
    <col min="6407" max="6407" width="12.28515625" style="1483" customWidth="1"/>
    <col min="6408" max="6656" width="9.140625" style="1483"/>
    <col min="6657" max="6657" width="4.7109375" style="1483" customWidth="1"/>
    <col min="6658" max="6658" width="28.42578125" style="1483" customWidth="1"/>
    <col min="6659" max="6659" width="10.5703125" style="1483" customWidth="1"/>
    <col min="6660" max="6660" width="9.85546875" style="1483" customWidth="1"/>
    <col min="6661" max="6661" width="9.7109375" style="1483" customWidth="1"/>
    <col min="6662" max="6662" width="9.42578125" style="1483" customWidth="1"/>
    <col min="6663" max="6663" width="12.28515625" style="1483" customWidth="1"/>
    <col min="6664" max="6912" width="9.140625" style="1483"/>
    <col min="6913" max="6913" width="4.7109375" style="1483" customWidth="1"/>
    <col min="6914" max="6914" width="28.42578125" style="1483" customWidth="1"/>
    <col min="6915" max="6915" width="10.5703125" style="1483" customWidth="1"/>
    <col min="6916" max="6916" width="9.85546875" style="1483" customWidth="1"/>
    <col min="6917" max="6917" width="9.7109375" style="1483" customWidth="1"/>
    <col min="6918" max="6918" width="9.42578125" style="1483" customWidth="1"/>
    <col min="6919" max="6919" width="12.28515625" style="1483" customWidth="1"/>
    <col min="6920" max="7168" width="9.140625" style="1483"/>
    <col min="7169" max="7169" width="4.7109375" style="1483" customWidth="1"/>
    <col min="7170" max="7170" width="28.42578125" style="1483" customWidth="1"/>
    <col min="7171" max="7171" width="10.5703125" style="1483" customWidth="1"/>
    <col min="7172" max="7172" width="9.85546875" style="1483" customWidth="1"/>
    <col min="7173" max="7173" width="9.7109375" style="1483" customWidth="1"/>
    <col min="7174" max="7174" width="9.42578125" style="1483" customWidth="1"/>
    <col min="7175" max="7175" width="12.28515625" style="1483" customWidth="1"/>
    <col min="7176" max="7424" width="9.140625" style="1483"/>
    <col min="7425" max="7425" width="4.7109375" style="1483" customWidth="1"/>
    <col min="7426" max="7426" width="28.42578125" style="1483" customWidth="1"/>
    <col min="7427" max="7427" width="10.5703125" style="1483" customWidth="1"/>
    <col min="7428" max="7428" width="9.85546875" style="1483" customWidth="1"/>
    <col min="7429" max="7429" width="9.7109375" style="1483" customWidth="1"/>
    <col min="7430" max="7430" width="9.42578125" style="1483" customWidth="1"/>
    <col min="7431" max="7431" width="12.28515625" style="1483" customWidth="1"/>
    <col min="7432" max="7680" width="9.140625" style="1483"/>
    <col min="7681" max="7681" width="4.7109375" style="1483" customWidth="1"/>
    <col min="7682" max="7682" width="28.42578125" style="1483" customWidth="1"/>
    <col min="7683" max="7683" width="10.5703125" style="1483" customWidth="1"/>
    <col min="7684" max="7684" width="9.85546875" style="1483" customWidth="1"/>
    <col min="7685" max="7685" width="9.7109375" style="1483" customWidth="1"/>
    <col min="7686" max="7686" width="9.42578125" style="1483" customWidth="1"/>
    <col min="7687" max="7687" width="12.28515625" style="1483" customWidth="1"/>
    <col min="7688" max="7936" width="9.140625" style="1483"/>
    <col min="7937" max="7937" width="4.7109375" style="1483" customWidth="1"/>
    <col min="7938" max="7938" width="28.42578125" style="1483" customWidth="1"/>
    <col min="7939" max="7939" width="10.5703125" style="1483" customWidth="1"/>
    <col min="7940" max="7940" width="9.85546875" style="1483" customWidth="1"/>
    <col min="7941" max="7941" width="9.7109375" style="1483" customWidth="1"/>
    <col min="7942" max="7942" width="9.42578125" style="1483" customWidth="1"/>
    <col min="7943" max="7943" width="12.28515625" style="1483" customWidth="1"/>
    <col min="7944" max="8192" width="9.140625" style="1483"/>
    <col min="8193" max="8193" width="4.7109375" style="1483" customWidth="1"/>
    <col min="8194" max="8194" width="28.42578125" style="1483" customWidth="1"/>
    <col min="8195" max="8195" width="10.5703125" style="1483" customWidth="1"/>
    <col min="8196" max="8196" width="9.85546875" style="1483" customWidth="1"/>
    <col min="8197" max="8197" width="9.7109375" style="1483" customWidth="1"/>
    <col min="8198" max="8198" width="9.42578125" style="1483" customWidth="1"/>
    <col min="8199" max="8199" width="12.28515625" style="1483" customWidth="1"/>
    <col min="8200" max="8448" width="9.140625" style="1483"/>
    <col min="8449" max="8449" width="4.7109375" style="1483" customWidth="1"/>
    <col min="8450" max="8450" width="28.42578125" style="1483" customWidth="1"/>
    <col min="8451" max="8451" width="10.5703125" style="1483" customWidth="1"/>
    <col min="8452" max="8452" width="9.85546875" style="1483" customWidth="1"/>
    <col min="8453" max="8453" width="9.7109375" style="1483" customWidth="1"/>
    <col min="8454" max="8454" width="9.42578125" style="1483" customWidth="1"/>
    <col min="8455" max="8455" width="12.28515625" style="1483" customWidth="1"/>
    <col min="8456" max="8704" width="9.140625" style="1483"/>
    <col min="8705" max="8705" width="4.7109375" style="1483" customWidth="1"/>
    <col min="8706" max="8706" width="28.42578125" style="1483" customWidth="1"/>
    <col min="8707" max="8707" width="10.5703125" style="1483" customWidth="1"/>
    <col min="8708" max="8708" width="9.85546875" style="1483" customWidth="1"/>
    <col min="8709" max="8709" width="9.7109375" style="1483" customWidth="1"/>
    <col min="8710" max="8710" width="9.42578125" style="1483" customWidth="1"/>
    <col min="8711" max="8711" width="12.28515625" style="1483" customWidth="1"/>
    <col min="8712" max="8960" width="9.140625" style="1483"/>
    <col min="8961" max="8961" width="4.7109375" style="1483" customWidth="1"/>
    <col min="8962" max="8962" width="28.42578125" style="1483" customWidth="1"/>
    <col min="8963" max="8963" width="10.5703125" style="1483" customWidth="1"/>
    <col min="8964" max="8964" width="9.85546875" style="1483" customWidth="1"/>
    <col min="8965" max="8965" width="9.7109375" style="1483" customWidth="1"/>
    <col min="8966" max="8966" width="9.42578125" style="1483" customWidth="1"/>
    <col min="8967" max="8967" width="12.28515625" style="1483" customWidth="1"/>
    <col min="8968" max="9216" width="9.140625" style="1483"/>
    <col min="9217" max="9217" width="4.7109375" style="1483" customWidth="1"/>
    <col min="9218" max="9218" width="28.42578125" style="1483" customWidth="1"/>
    <col min="9219" max="9219" width="10.5703125" style="1483" customWidth="1"/>
    <col min="9220" max="9220" width="9.85546875" style="1483" customWidth="1"/>
    <col min="9221" max="9221" width="9.7109375" style="1483" customWidth="1"/>
    <col min="9222" max="9222" width="9.42578125" style="1483" customWidth="1"/>
    <col min="9223" max="9223" width="12.28515625" style="1483" customWidth="1"/>
    <col min="9224" max="9472" width="9.140625" style="1483"/>
    <col min="9473" max="9473" width="4.7109375" style="1483" customWidth="1"/>
    <col min="9474" max="9474" width="28.42578125" style="1483" customWidth="1"/>
    <col min="9475" max="9475" width="10.5703125" style="1483" customWidth="1"/>
    <col min="9476" max="9476" width="9.85546875" style="1483" customWidth="1"/>
    <col min="9477" max="9477" width="9.7109375" style="1483" customWidth="1"/>
    <col min="9478" max="9478" width="9.42578125" style="1483" customWidth="1"/>
    <col min="9479" max="9479" width="12.28515625" style="1483" customWidth="1"/>
    <col min="9480" max="9728" width="9.140625" style="1483"/>
    <col min="9729" max="9729" width="4.7109375" style="1483" customWidth="1"/>
    <col min="9730" max="9730" width="28.42578125" style="1483" customWidth="1"/>
    <col min="9731" max="9731" width="10.5703125" style="1483" customWidth="1"/>
    <col min="9732" max="9732" width="9.85546875" style="1483" customWidth="1"/>
    <col min="9733" max="9733" width="9.7109375" style="1483" customWidth="1"/>
    <col min="9734" max="9734" width="9.42578125" style="1483" customWidth="1"/>
    <col min="9735" max="9735" width="12.28515625" style="1483" customWidth="1"/>
    <col min="9736" max="9984" width="9.140625" style="1483"/>
    <col min="9985" max="9985" width="4.7109375" style="1483" customWidth="1"/>
    <col min="9986" max="9986" width="28.42578125" style="1483" customWidth="1"/>
    <col min="9987" max="9987" width="10.5703125" style="1483" customWidth="1"/>
    <col min="9988" max="9988" width="9.85546875" style="1483" customWidth="1"/>
    <col min="9989" max="9989" width="9.7109375" style="1483" customWidth="1"/>
    <col min="9990" max="9990" width="9.42578125" style="1483" customWidth="1"/>
    <col min="9991" max="9991" width="12.28515625" style="1483" customWidth="1"/>
    <col min="9992" max="10240" width="9.140625" style="1483"/>
    <col min="10241" max="10241" width="4.7109375" style="1483" customWidth="1"/>
    <col min="10242" max="10242" width="28.42578125" style="1483" customWidth="1"/>
    <col min="10243" max="10243" width="10.5703125" style="1483" customWidth="1"/>
    <col min="10244" max="10244" width="9.85546875" style="1483" customWidth="1"/>
    <col min="10245" max="10245" width="9.7109375" style="1483" customWidth="1"/>
    <col min="10246" max="10246" width="9.42578125" style="1483" customWidth="1"/>
    <col min="10247" max="10247" width="12.28515625" style="1483" customWidth="1"/>
    <col min="10248" max="10496" width="9.140625" style="1483"/>
    <col min="10497" max="10497" width="4.7109375" style="1483" customWidth="1"/>
    <col min="10498" max="10498" width="28.42578125" style="1483" customWidth="1"/>
    <col min="10499" max="10499" width="10.5703125" style="1483" customWidth="1"/>
    <col min="10500" max="10500" width="9.85546875" style="1483" customWidth="1"/>
    <col min="10501" max="10501" width="9.7109375" style="1483" customWidth="1"/>
    <col min="10502" max="10502" width="9.42578125" style="1483" customWidth="1"/>
    <col min="10503" max="10503" width="12.28515625" style="1483" customWidth="1"/>
    <col min="10504" max="10752" width="9.140625" style="1483"/>
    <col min="10753" max="10753" width="4.7109375" style="1483" customWidth="1"/>
    <col min="10754" max="10754" width="28.42578125" style="1483" customWidth="1"/>
    <col min="10755" max="10755" width="10.5703125" style="1483" customWidth="1"/>
    <col min="10756" max="10756" width="9.85546875" style="1483" customWidth="1"/>
    <col min="10757" max="10757" width="9.7109375" style="1483" customWidth="1"/>
    <col min="10758" max="10758" width="9.42578125" style="1483" customWidth="1"/>
    <col min="10759" max="10759" width="12.28515625" style="1483" customWidth="1"/>
    <col min="10760" max="11008" width="9.140625" style="1483"/>
    <col min="11009" max="11009" width="4.7109375" style="1483" customWidth="1"/>
    <col min="11010" max="11010" width="28.42578125" style="1483" customWidth="1"/>
    <col min="11011" max="11011" width="10.5703125" style="1483" customWidth="1"/>
    <col min="11012" max="11012" width="9.85546875" style="1483" customWidth="1"/>
    <col min="11013" max="11013" width="9.7109375" style="1483" customWidth="1"/>
    <col min="11014" max="11014" width="9.42578125" style="1483" customWidth="1"/>
    <col min="11015" max="11015" width="12.28515625" style="1483" customWidth="1"/>
    <col min="11016" max="11264" width="9.140625" style="1483"/>
    <col min="11265" max="11265" width="4.7109375" style="1483" customWidth="1"/>
    <col min="11266" max="11266" width="28.42578125" style="1483" customWidth="1"/>
    <col min="11267" max="11267" width="10.5703125" style="1483" customWidth="1"/>
    <col min="11268" max="11268" width="9.85546875" style="1483" customWidth="1"/>
    <col min="11269" max="11269" width="9.7109375" style="1483" customWidth="1"/>
    <col min="11270" max="11270" width="9.42578125" style="1483" customWidth="1"/>
    <col min="11271" max="11271" width="12.28515625" style="1483" customWidth="1"/>
    <col min="11272" max="11520" width="9.140625" style="1483"/>
    <col min="11521" max="11521" width="4.7109375" style="1483" customWidth="1"/>
    <col min="11522" max="11522" width="28.42578125" style="1483" customWidth="1"/>
    <col min="11523" max="11523" width="10.5703125" style="1483" customWidth="1"/>
    <col min="11524" max="11524" width="9.85546875" style="1483" customWidth="1"/>
    <col min="11525" max="11525" width="9.7109375" style="1483" customWidth="1"/>
    <col min="11526" max="11526" width="9.42578125" style="1483" customWidth="1"/>
    <col min="11527" max="11527" width="12.28515625" style="1483" customWidth="1"/>
    <col min="11528" max="11776" width="9.140625" style="1483"/>
    <col min="11777" max="11777" width="4.7109375" style="1483" customWidth="1"/>
    <col min="11778" max="11778" width="28.42578125" style="1483" customWidth="1"/>
    <col min="11779" max="11779" width="10.5703125" style="1483" customWidth="1"/>
    <col min="11780" max="11780" width="9.85546875" style="1483" customWidth="1"/>
    <col min="11781" max="11781" width="9.7109375" style="1483" customWidth="1"/>
    <col min="11782" max="11782" width="9.42578125" style="1483" customWidth="1"/>
    <col min="11783" max="11783" width="12.28515625" style="1483" customWidth="1"/>
    <col min="11784" max="12032" width="9.140625" style="1483"/>
    <col min="12033" max="12033" width="4.7109375" style="1483" customWidth="1"/>
    <col min="12034" max="12034" width="28.42578125" style="1483" customWidth="1"/>
    <col min="12035" max="12035" width="10.5703125" style="1483" customWidth="1"/>
    <col min="12036" max="12036" width="9.85546875" style="1483" customWidth="1"/>
    <col min="12037" max="12037" width="9.7109375" style="1483" customWidth="1"/>
    <col min="12038" max="12038" width="9.42578125" style="1483" customWidth="1"/>
    <col min="12039" max="12039" width="12.28515625" style="1483" customWidth="1"/>
    <col min="12040" max="12288" width="9.140625" style="1483"/>
    <col min="12289" max="12289" width="4.7109375" style="1483" customWidth="1"/>
    <col min="12290" max="12290" width="28.42578125" style="1483" customWidth="1"/>
    <col min="12291" max="12291" width="10.5703125" style="1483" customWidth="1"/>
    <col min="12292" max="12292" width="9.85546875" style="1483" customWidth="1"/>
    <col min="12293" max="12293" width="9.7109375" style="1483" customWidth="1"/>
    <col min="12294" max="12294" width="9.42578125" style="1483" customWidth="1"/>
    <col min="12295" max="12295" width="12.28515625" style="1483" customWidth="1"/>
    <col min="12296" max="12544" width="9.140625" style="1483"/>
    <col min="12545" max="12545" width="4.7109375" style="1483" customWidth="1"/>
    <col min="12546" max="12546" width="28.42578125" style="1483" customWidth="1"/>
    <col min="12547" max="12547" width="10.5703125" style="1483" customWidth="1"/>
    <col min="12548" max="12548" width="9.85546875" style="1483" customWidth="1"/>
    <col min="12549" max="12549" width="9.7109375" style="1483" customWidth="1"/>
    <col min="12550" max="12550" width="9.42578125" style="1483" customWidth="1"/>
    <col min="12551" max="12551" width="12.28515625" style="1483" customWidth="1"/>
    <col min="12552" max="12800" width="9.140625" style="1483"/>
    <col min="12801" max="12801" width="4.7109375" style="1483" customWidth="1"/>
    <col min="12802" max="12802" width="28.42578125" style="1483" customWidth="1"/>
    <col min="12803" max="12803" width="10.5703125" style="1483" customWidth="1"/>
    <col min="12804" max="12804" width="9.85546875" style="1483" customWidth="1"/>
    <col min="12805" max="12805" width="9.7109375" style="1483" customWidth="1"/>
    <col min="12806" max="12806" width="9.42578125" style="1483" customWidth="1"/>
    <col min="12807" max="12807" width="12.28515625" style="1483" customWidth="1"/>
    <col min="12808" max="13056" width="9.140625" style="1483"/>
    <col min="13057" max="13057" width="4.7109375" style="1483" customWidth="1"/>
    <col min="13058" max="13058" width="28.42578125" style="1483" customWidth="1"/>
    <col min="13059" max="13059" width="10.5703125" style="1483" customWidth="1"/>
    <col min="13060" max="13060" width="9.85546875" style="1483" customWidth="1"/>
    <col min="13061" max="13061" width="9.7109375" style="1483" customWidth="1"/>
    <col min="13062" max="13062" width="9.42578125" style="1483" customWidth="1"/>
    <col min="13063" max="13063" width="12.28515625" style="1483" customWidth="1"/>
    <col min="13064" max="13312" width="9.140625" style="1483"/>
    <col min="13313" max="13313" width="4.7109375" style="1483" customWidth="1"/>
    <col min="13314" max="13314" width="28.42578125" style="1483" customWidth="1"/>
    <col min="13315" max="13315" width="10.5703125" style="1483" customWidth="1"/>
    <col min="13316" max="13316" width="9.85546875" style="1483" customWidth="1"/>
    <col min="13317" max="13317" width="9.7109375" style="1483" customWidth="1"/>
    <col min="13318" max="13318" width="9.42578125" style="1483" customWidth="1"/>
    <col min="13319" max="13319" width="12.28515625" style="1483" customWidth="1"/>
    <col min="13320" max="13568" width="9.140625" style="1483"/>
    <col min="13569" max="13569" width="4.7109375" style="1483" customWidth="1"/>
    <col min="13570" max="13570" width="28.42578125" style="1483" customWidth="1"/>
    <col min="13571" max="13571" width="10.5703125" style="1483" customWidth="1"/>
    <col min="13572" max="13572" width="9.85546875" style="1483" customWidth="1"/>
    <col min="13573" max="13573" width="9.7109375" style="1483" customWidth="1"/>
    <col min="13574" max="13574" width="9.42578125" style="1483" customWidth="1"/>
    <col min="13575" max="13575" width="12.28515625" style="1483" customWidth="1"/>
    <col min="13576" max="13824" width="9.140625" style="1483"/>
    <col min="13825" max="13825" width="4.7109375" style="1483" customWidth="1"/>
    <col min="13826" max="13826" width="28.42578125" style="1483" customWidth="1"/>
    <col min="13827" max="13827" width="10.5703125" style="1483" customWidth="1"/>
    <col min="13828" max="13828" width="9.85546875" style="1483" customWidth="1"/>
    <col min="13829" max="13829" width="9.7109375" style="1483" customWidth="1"/>
    <col min="13830" max="13830" width="9.42578125" style="1483" customWidth="1"/>
    <col min="13831" max="13831" width="12.28515625" style="1483" customWidth="1"/>
    <col min="13832" max="14080" width="9.140625" style="1483"/>
    <col min="14081" max="14081" width="4.7109375" style="1483" customWidth="1"/>
    <col min="14082" max="14082" width="28.42578125" style="1483" customWidth="1"/>
    <col min="14083" max="14083" width="10.5703125" style="1483" customWidth="1"/>
    <col min="14084" max="14084" width="9.85546875" style="1483" customWidth="1"/>
    <col min="14085" max="14085" width="9.7109375" style="1483" customWidth="1"/>
    <col min="14086" max="14086" width="9.42578125" style="1483" customWidth="1"/>
    <col min="14087" max="14087" width="12.28515625" style="1483" customWidth="1"/>
    <col min="14088" max="14336" width="9.140625" style="1483"/>
    <col min="14337" max="14337" width="4.7109375" style="1483" customWidth="1"/>
    <col min="14338" max="14338" width="28.42578125" style="1483" customWidth="1"/>
    <col min="14339" max="14339" width="10.5703125" style="1483" customWidth="1"/>
    <col min="14340" max="14340" width="9.85546875" style="1483" customWidth="1"/>
    <col min="14341" max="14341" width="9.7109375" style="1483" customWidth="1"/>
    <col min="14342" max="14342" width="9.42578125" style="1483" customWidth="1"/>
    <col min="14343" max="14343" width="12.28515625" style="1483" customWidth="1"/>
    <col min="14344" max="14592" width="9.140625" style="1483"/>
    <col min="14593" max="14593" width="4.7109375" style="1483" customWidth="1"/>
    <col min="14594" max="14594" width="28.42578125" style="1483" customWidth="1"/>
    <col min="14595" max="14595" width="10.5703125" style="1483" customWidth="1"/>
    <col min="14596" max="14596" width="9.85546875" style="1483" customWidth="1"/>
    <col min="14597" max="14597" width="9.7109375" style="1483" customWidth="1"/>
    <col min="14598" max="14598" width="9.42578125" style="1483" customWidth="1"/>
    <col min="14599" max="14599" width="12.28515625" style="1483" customWidth="1"/>
    <col min="14600" max="14848" width="9.140625" style="1483"/>
    <col min="14849" max="14849" width="4.7109375" style="1483" customWidth="1"/>
    <col min="14850" max="14850" width="28.42578125" style="1483" customWidth="1"/>
    <col min="14851" max="14851" width="10.5703125" style="1483" customWidth="1"/>
    <col min="14852" max="14852" width="9.85546875" style="1483" customWidth="1"/>
    <col min="14853" max="14853" width="9.7109375" style="1483" customWidth="1"/>
    <col min="14854" max="14854" width="9.42578125" style="1483" customWidth="1"/>
    <col min="14855" max="14855" width="12.28515625" style="1483" customWidth="1"/>
    <col min="14856" max="15104" width="9.140625" style="1483"/>
    <col min="15105" max="15105" width="4.7109375" style="1483" customWidth="1"/>
    <col min="15106" max="15106" width="28.42578125" style="1483" customWidth="1"/>
    <col min="15107" max="15107" width="10.5703125" style="1483" customWidth="1"/>
    <col min="15108" max="15108" width="9.85546875" style="1483" customWidth="1"/>
    <col min="15109" max="15109" width="9.7109375" style="1483" customWidth="1"/>
    <col min="15110" max="15110" width="9.42578125" style="1483" customWidth="1"/>
    <col min="15111" max="15111" width="12.28515625" style="1483" customWidth="1"/>
    <col min="15112" max="15360" width="9.140625" style="1483"/>
    <col min="15361" max="15361" width="4.7109375" style="1483" customWidth="1"/>
    <col min="15362" max="15362" width="28.42578125" style="1483" customWidth="1"/>
    <col min="15363" max="15363" width="10.5703125" style="1483" customWidth="1"/>
    <col min="15364" max="15364" width="9.85546875" style="1483" customWidth="1"/>
    <col min="15365" max="15365" width="9.7109375" style="1483" customWidth="1"/>
    <col min="15366" max="15366" width="9.42578125" style="1483" customWidth="1"/>
    <col min="15367" max="15367" width="12.28515625" style="1483" customWidth="1"/>
    <col min="15368" max="15616" width="9.140625" style="1483"/>
    <col min="15617" max="15617" width="4.7109375" style="1483" customWidth="1"/>
    <col min="15618" max="15618" width="28.42578125" style="1483" customWidth="1"/>
    <col min="15619" max="15619" width="10.5703125" style="1483" customWidth="1"/>
    <col min="15620" max="15620" width="9.85546875" style="1483" customWidth="1"/>
    <col min="15621" max="15621" width="9.7109375" style="1483" customWidth="1"/>
    <col min="15622" max="15622" width="9.42578125" style="1483" customWidth="1"/>
    <col min="15623" max="15623" width="12.28515625" style="1483" customWidth="1"/>
    <col min="15624" max="15872" width="9.140625" style="1483"/>
    <col min="15873" max="15873" width="4.7109375" style="1483" customWidth="1"/>
    <col min="15874" max="15874" width="28.42578125" style="1483" customWidth="1"/>
    <col min="15875" max="15875" width="10.5703125" style="1483" customWidth="1"/>
    <col min="15876" max="15876" width="9.85546875" style="1483" customWidth="1"/>
    <col min="15877" max="15877" width="9.7109375" style="1483" customWidth="1"/>
    <col min="15878" max="15878" width="9.42578125" style="1483" customWidth="1"/>
    <col min="15879" max="15879" width="12.28515625" style="1483" customWidth="1"/>
    <col min="15880" max="16128" width="9.140625" style="1483"/>
    <col min="16129" max="16129" width="4.7109375" style="1483" customWidth="1"/>
    <col min="16130" max="16130" width="28.42578125" style="1483" customWidth="1"/>
    <col min="16131" max="16131" width="10.5703125" style="1483" customWidth="1"/>
    <col min="16132" max="16132" width="9.85546875" style="1483" customWidth="1"/>
    <col min="16133" max="16133" width="9.7109375" style="1483" customWidth="1"/>
    <col min="16134" max="16134" width="9.42578125" style="1483" customWidth="1"/>
    <col min="16135" max="16135" width="12.28515625" style="1483" customWidth="1"/>
    <col min="16136" max="16384" width="9.140625" style="1483"/>
  </cols>
  <sheetData>
    <row r="1" spans="1:8" ht="43.5" customHeight="1" x14ac:dyDescent="0.2">
      <c r="A1" s="1885" t="s">
        <v>1126</v>
      </c>
      <c r="B1" s="1885"/>
      <c r="C1" s="1885"/>
      <c r="D1" s="1885"/>
      <c r="E1" s="1885"/>
      <c r="F1" s="1885"/>
      <c r="G1" s="1885"/>
    </row>
    <row r="3" spans="1:8" s="1535" customFormat="1" ht="27" customHeight="1" x14ac:dyDescent="0.25">
      <c r="A3" s="1532" t="s">
        <v>1127</v>
      </c>
      <c r="B3" s="1533"/>
      <c r="C3" s="1884" t="s">
        <v>0</v>
      </c>
      <c r="D3" s="1884"/>
      <c r="E3" s="1884"/>
      <c r="F3" s="1884"/>
      <c r="G3" s="1884"/>
      <c r="H3" s="1534"/>
    </row>
    <row r="4" spans="1:8" s="1535" customFormat="1" ht="15.75" x14ac:dyDescent="0.25">
      <c r="A4" s="1533"/>
      <c r="B4" s="1533"/>
      <c r="C4" s="1533"/>
      <c r="D4" s="1533"/>
      <c r="E4" s="1533"/>
      <c r="F4" s="1533"/>
      <c r="G4" s="1533"/>
      <c r="H4" s="1534"/>
    </row>
    <row r="5" spans="1:8" s="1537" customFormat="1" x14ac:dyDescent="0.2">
      <c r="A5" s="1531"/>
      <c r="B5" s="1531"/>
      <c r="C5" s="1531"/>
      <c r="D5" s="1531"/>
      <c r="E5" s="1531"/>
      <c r="F5" s="1531"/>
      <c r="G5" s="1531"/>
      <c r="H5" s="1536"/>
    </row>
    <row r="6" spans="1:8" s="1540" customFormat="1" ht="15" customHeight="1" x14ac:dyDescent="0.25">
      <c r="A6" s="1538" t="s">
        <v>1128</v>
      </c>
      <c r="B6" s="1538"/>
      <c r="C6" s="1886">
        <f>'7.1 Önkormányzat'!C146</f>
        <v>383781399</v>
      </c>
      <c r="D6" s="1886"/>
      <c r="E6" s="1539"/>
      <c r="F6" s="1539"/>
      <c r="G6" s="1539"/>
      <c r="H6" s="1539"/>
    </row>
    <row r="7" spans="1:8" s="1540" customFormat="1" ht="33" customHeight="1" thickBot="1" x14ac:dyDescent="0.3">
      <c r="A7" s="1887" t="s">
        <v>1129</v>
      </c>
      <c r="B7" s="1887"/>
      <c r="C7" s="1541">
        <v>0</v>
      </c>
      <c r="D7" s="1539"/>
      <c r="E7" s="1539"/>
      <c r="F7" s="1539"/>
      <c r="G7" s="1539"/>
      <c r="H7" s="1539"/>
    </row>
    <row r="8" spans="1:8" s="1545" customFormat="1" ht="42" customHeight="1" thickBot="1" x14ac:dyDescent="0.3">
      <c r="A8" s="1542" t="s">
        <v>1071</v>
      </c>
      <c r="B8" s="1543" t="s">
        <v>1130</v>
      </c>
      <c r="C8" s="1543" t="s">
        <v>1131</v>
      </c>
      <c r="D8" s="1543" t="s">
        <v>1132</v>
      </c>
      <c r="E8" s="1543" t="s">
        <v>1133</v>
      </c>
      <c r="F8" s="1543" t="s">
        <v>1134</v>
      </c>
      <c r="G8" s="1544" t="s">
        <v>1135</v>
      </c>
    </row>
    <row r="9" spans="1:8" ht="24" customHeight="1" x14ac:dyDescent="0.2">
      <c r="A9" s="1546" t="s">
        <v>696</v>
      </c>
      <c r="B9" s="1547" t="s">
        <v>1136</v>
      </c>
      <c r="C9" s="1548"/>
      <c r="D9" s="1548"/>
      <c r="E9" s="1548"/>
      <c r="F9" s="1548"/>
      <c r="G9" s="1549">
        <f>SUM(C9:F9)</f>
        <v>0</v>
      </c>
    </row>
    <row r="10" spans="1:8" ht="24" customHeight="1" x14ac:dyDescent="0.2">
      <c r="A10" s="1550" t="s">
        <v>710</v>
      </c>
      <c r="B10" s="1551" t="s">
        <v>1137</v>
      </c>
      <c r="C10" s="1552"/>
      <c r="D10" s="1552"/>
      <c r="E10" s="1552"/>
      <c r="F10" s="1552"/>
      <c r="G10" s="1553">
        <f>SUM(C10:F10)</f>
        <v>0</v>
      </c>
    </row>
    <row r="11" spans="1:8" ht="24" customHeight="1" x14ac:dyDescent="0.2">
      <c r="A11" s="1550" t="s">
        <v>724</v>
      </c>
      <c r="B11" s="1551" t="s">
        <v>1138</v>
      </c>
      <c r="C11" s="1552"/>
      <c r="D11" s="1552"/>
      <c r="E11" s="1552"/>
      <c r="F11" s="1552"/>
      <c r="G11" s="1553">
        <f>SUM(C11:F11)</f>
        <v>0</v>
      </c>
    </row>
    <row r="12" spans="1:8" ht="24" customHeight="1" x14ac:dyDescent="0.2">
      <c r="A12" s="1550" t="s">
        <v>900</v>
      </c>
      <c r="B12" s="1551" t="s">
        <v>1139</v>
      </c>
      <c r="C12" s="1552"/>
      <c r="D12" s="1552"/>
      <c r="E12" s="1552"/>
      <c r="F12" s="1552"/>
      <c r="G12" s="1553">
        <f>SUM(C12:F12)</f>
        <v>0</v>
      </c>
    </row>
    <row r="13" spans="1:8" ht="24" customHeight="1" x14ac:dyDescent="0.2">
      <c r="A13" s="1550" t="s">
        <v>753</v>
      </c>
      <c r="B13" s="1551" t="s">
        <v>1140</v>
      </c>
      <c r="C13" s="1552"/>
      <c r="D13" s="1552"/>
      <c r="E13" s="1552"/>
      <c r="F13" s="1552"/>
      <c r="G13" s="1553">
        <f>SUM(C13:F13)</f>
        <v>0</v>
      </c>
    </row>
    <row r="14" spans="1:8" ht="24" customHeight="1" thickBot="1" x14ac:dyDescent="0.25">
      <c r="A14" s="1554" t="s">
        <v>775</v>
      </c>
      <c r="B14" s="1555" t="s">
        <v>1145</v>
      </c>
      <c r="C14" s="1556">
        <v>1361078</v>
      </c>
      <c r="D14" s="1556"/>
      <c r="E14" s="1556"/>
      <c r="F14" s="1556"/>
      <c r="G14" s="1557">
        <f>C14</f>
        <v>1361078</v>
      </c>
    </row>
    <row r="15" spans="1:8" s="1562" customFormat="1" ht="24" customHeight="1" thickBot="1" x14ac:dyDescent="0.25">
      <c r="A15" s="1558" t="s">
        <v>911</v>
      </c>
      <c r="B15" s="1559" t="s">
        <v>1135</v>
      </c>
      <c r="C15" s="1560">
        <f>SUM(C9:C14)</f>
        <v>1361078</v>
      </c>
      <c r="D15" s="1560">
        <f>SUM(D9:D14)</f>
        <v>0</v>
      </c>
      <c r="E15" s="1560">
        <f>SUM(E9:E14)</f>
        <v>0</v>
      </c>
      <c r="F15" s="1560">
        <f>SUM(F9:F14)</f>
        <v>0</v>
      </c>
      <c r="G15" s="1561">
        <f>SUM(C15:F15)</f>
        <v>1361078</v>
      </c>
      <c r="H15" s="1113"/>
    </row>
    <row r="16" spans="1:8" s="1537" customFormat="1" x14ac:dyDescent="0.2">
      <c r="A16" s="1531"/>
      <c r="B16" s="1531"/>
      <c r="C16" s="1531"/>
      <c r="D16" s="1531"/>
      <c r="E16" s="1531"/>
      <c r="F16" s="1531"/>
      <c r="G16" s="1531"/>
      <c r="H16" s="1536"/>
    </row>
    <row r="17" spans="1:8" s="1537" customFormat="1" x14ac:dyDescent="0.2">
      <c r="A17" s="1531"/>
      <c r="B17" s="1531"/>
      <c r="C17" s="1531"/>
      <c r="D17" s="1531"/>
      <c r="E17" s="1531"/>
      <c r="F17" s="1531"/>
      <c r="G17" s="1531"/>
      <c r="H17" s="1536"/>
    </row>
    <row r="18" spans="1:8" s="1537" customFormat="1" x14ac:dyDescent="0.2">
      <c r="A18" s="1531"/>
      <c r="B18" s="1531"/>
      <c r="C18" s="1531"/>
      <c r="D18" s="1531"/>
      <c r="E18" s="1531"/>
      <c r="F18" s="1531"/>
      <c r="G18" s="1531"/>
      <c r="H18" s="1536"/>
    </row>
    <row r="19" spans="1:8" s="1537" customFormat="1" ht="15.75" x14ac:dyDescent="0.2">
      <c r="A19" s="1884" t="s">
        <v>1146</v>
      </c>
      <c r="B19" s="1884"/>
      <c r="C19" s="1531"/>
      <c r="D19" s="1531"/>
      <c r="E19" s="1531"/>
      <c r="F19" s="1531"/>
      <c r="G19" s="1531"/>
      <c r="H19" s="1536"/>
    </row>
    <row r="20" spans="1:8" s="1537" customFormat="1" x14ac:dyDescent="0.2">
      <c r="A20" s="1531"/>
      <c r="B20" s="1531"/>
      <c r="C20" s="1531"/>
      <c r="D20" s="1531"/>
      <c r="E20" s="1531"/>
      <c r="F20" s="1531"/>
      <c r="G20" s="1531"/>
      <c r="H20" s="1536"/>
    </row>
    <row r="22" spans="1:8" x14ac:dyDescent="0.2">
      <c r="C22" s="1888" t="s">
        <v>1141</v>
      </c>
      <c r="D22" s="1888"/>
      <c r="E22" s="1888"/>
      <c r="F22" s="1888"/>
    </row>
    <row r="23" spans="1:8" ht="15" customHeight="1" x14ac:dyDescent="0.2">
      <c r="C23" s="1889" t="s">
        <v>1142</v>
      </c>
      <c r="D23" s="1889"/>
      <c r="E23" s="1889"/>
      <c r="F23" s="1889"/>
    </row>
    <row r="24" spans="1:8" ht="13.5" x14ac:dyDescent="0.2">
      <c r="D24" s="1563"/>
      <c r="E24" s="1563"/>
    </row>
    <row r="25" spans="1:8" ht="57" customHeight="1" x14ac:dyDescent="0.2">
      <c r="A25" s="1885" t="s">
        <v>1126</v>
      </c>
      <c r="B25" s="1885"/>
      <c r="C25" s="1885"/>
      <c r="D25" s="1885"/>
      <c r="E25" s="1885"/>
      <c r="F25" s="1885"/>
      <c r="G25" s="1885"/>
    </row>
    <row r="27" spans="1:8" ht="15.75" x14ac:dyDescent="0.2">
      <c r="A27" s="1532" t="s">
        <v>1127</v>
      </c>
      <c r="B27" s="1533"/>
      <c r="C27" s="1884" t="s">
        <v>253</v>
      </c>
      <c r="D27" s="1884"/>
      <c r="E27" s="1884"/>
      <c r="F27" s="1884"/>
      <c r="G27" s="1884"/>
    </row>
    <row r="28" spans="1:8" ht="15.75" x14ac:dyDescent="0.2">
      <c r="A28" s="1533"/>
      <c r="B28" s="1533"/>
      <c r="C28" s="1533"/>
      <c r="D28" s="1533"/>
      <c r="E28" s="1533"/>
      <c r="F28" s="1533"/>
      <c r="G28" s="1533"/>
    </row>
    <row r="30" spans="1:8" ht="15" x14ac:dyDescent="0.2">
      <c r="A30" s="1538" t="s">
        <v>1128</v>
      </c>
      <c r="B30" s="1538"/>
      <c r="C30" s="1886">
        <f>'7.2 Hivatal'!C55</f>
        <v>96417054</v>
      </c>
      <c r="D30" s="1886"/>
      <c r="E30" s="1539"/>
      <c r="F30" s="1539"/>
      <c r="G30" s="1539"/>
    </row>
    <row r="31" spans="1:8" ht="41.25" customHeight="1" thickBot="1" x14ac:dyDescent="0.25">
      <c r="A31" s="1887" t="s">
        <v>1129</v>
      </c>
      <c r="B31" s="1887"/>
      <c r="C31" s="1541">
        <v>0</v>
      </c>
      <c r="D31" s="1539"/>
      <c r="E31" s="1539"/>
      <c r="F31" s="1539"/>
      <c r="G31" s="1539"/>
    </row>
    <row r="32" spans="1:8" ht="36.75" thickBot="1" x14ac:dyDescent="0.25">
      <c r="A32" s="1542" t="s">
        <v>1071</v>
      </c>
      <c r="B32" s="1543" t="s">
        <v>1130</v>
      </c>
      <c r="C32" s="1543" t="s">
        <v>1131</v>
      </c>
      <c r="D32" s="1543" t="s">
        <v>1132</v>
      </c>
      <c r="E32" s="1543" t="s">
        <v>1133</v>
      </c>
      <c r="F32" s="1543" t="s">
        <v>1134</v>
      </c>
      <c r="G32" s="1544" t="s">
        <v>1135</v>
      </c>
    </row>
    <row r="33" spans="1:7" x14ac:dyDescent="0.2">
      <c r="A33" s="1546" t="s">
        <v>696</v>
      </c>
      <c r="B33" s="1547" t="s">
        <v>1136</v>
      </c>
      <c r="C33" s="1548"/>
      <c r="D33" s="1548"/>
      <c r="E33" s="1548"/>
      <c r="F33" s="1548"/>
      <c r="G33" s="1549">
        <f>SUM(C33:F33)</f>
        <v>0</v>
      </c>
    </row>
    <row r="34" spans="1:7" ht="22.5" x14ac:dyDescent="0.2">
      <c r="A34" s="1550" t="s">
        <v>710</v>
      </c>
      <c r="B34" s="1551" t="s">
        <v>1137</v>
      </c>
      <c r="C34" s="1552"/>
      <c r="D34" s="1552"/>
      <c r="E34" s="1552"/>
      <c r="F34" s="1552"/>
      <c r="G34" s="1553">
        <f>SUM(C34:F34)</f>
        <v>0</v>
      </c>
    </row>
    <row r="35" spans="1:7" ht="22.5" x14ac:dyDescent="0.2">
      <c r="A35" s="1550" t="s">
        <v>724</v>
      </c>
      <c r="B35" s="1551" t="s">
        <v>1138</v>
      </c>
      <c r="C35" s="1552"/>
      <c r="D35" s="1552"/>
      <c r="E35" s="1552"/>
      <c r="F35" s="1552"/>
      <c r="G35" s="1553">
        <f>SUM(C35:F35)</f>
        <v>0</v>
      </c>
    </row>
    <row r="36" spans="1:7" x14ac:dyDescent="0.2">
      <c r="A36" s="1550" t="s">
        <v>900</v>
      </c>
      <c r="B36" s="1551" t="s">
        <v>1139</v>
      </c>
      <c r="C36" s="1552"/>
      <c r="D36" s="1552"/>
      <c r="E36" s="1552"/>
      <c r="F36" s="1552"/>
      <c r="G36" s="1553">
        <f>SUM(C36:F36)</f>
        <v>0</v>
      </c>
    </row>
    <row r="37" spans="1:7" ht="22.5" x14ac:dyDescent="0.2">
      <c r="A37" s="1550" t="s">
        <v>753</v>
      </c>
      <c r="B37" s="1551" t="s">
        <v>1140</v>
      </c>
      <c r="C37" s="1552"/>
      <c r="D37" s="1552"/>
      <c r="E37" s="1552"/>
      <c r="F37" s="1552"/>
      <c r="G37" s="1553">
        <f>SUM(C37:F37)</f>
        <v>0</v>
      </c>
    </row>
    <row r="38" spans="1:7" ht="13.5" thickBot="1" x14ac:dyDescent="0.25">
      <c r="A38" s="1554" t="s">
        <v>775</v>
      </c>
      <c r="B38" s="1555" t="s">
        <v>1145</v>
      </c>
      <c r="C38" s="1556">
        <v>84491</v>
      </c>
      <c r="D38" s="1556"/>
      <c r="E38" s="1556"/>
      <c r="F38" s="1556"/>
      <c r="G38" s="1557">
        <f>C38</f>
        <v>84491</v>
      </c>
    </row>
    <row r="39" spans="1:7" ht="13.5" thickBot="1" x14ac:dyDescent="0.25">
      <c r="A39" s="1558" t="s">
        <v>911</v>
      </c>
      <c r="B39" s="1559" t="s">
        <v>1135</v>
      </c>
      <c r="C39" s="1560">
        <f>SUM(C33:C38)</f>
        <v>84491</v>
      </c>
      <c r="D39" s="1560">
        <f>SUM(D33:D38)</f>
        <v>0</v>
      </c>
      <c r="E39" s="1560">
        <f>SUM(E33:E38)</f>
        <v>0</v>
      </c>
      <c r="F39" s="1560">
        <f>SUM(F33:F38)</f>
        <v>0</v>
      </c>
      <c r="G39" s="1561">
        <f>SUM(C39:F39)</f>
        <v>84491</v>
      </c>
    </row>
    <row r="43" spans="1:7" ht="15.75" x14ac:dyDescent="0.2">
      <c r="A43" s="1884" t="s">
        <v>1146</v>
      </c>
      <c r="B43" s="1884"/>
    </row>
    <row r="46" spans="1:7" x14ac:dyDescent="0.2">
      <c r="C46" s="1888" t="s">
        <v>1143</v>
      </c>
      <c r="D46" s="1888"/>
      <c r="E46" s="1888"/>
      <c r="F46" s="1888"/>
    </row>
    <row r="47" spans="1:7" ht="13.5" x14ac:dyDescent="0.2">
      <c r="C47" s="1889" t="s">
        <v>1142</v>
      </c>
      <c r="D47" s="1889"/>
      <c r="E47" s="1889"/>
      <c r="F47" s="1889"/>
    </row>
    <row r="48" spans="1:7" ht="62.25" customHeight="1" x14ac:dyDescent="0.2">
      <c r="A48" s="1885" t="s">
        <v>1126</v>
      </c>
      <c r="B48" s="1885"/>
      <c r="C48" s="1885"/>
      <c r="D48" s="1885"/>
      <c r="E48" s="1885"/>
      <c r="F48" s="1885"/>
      <c r="G48" s="1885"/>
    </row>
    <row r="50" spans="1:7" ht="36" customHeight="1" x14ac:dyDescent="0.2">
      <c r="A50" s="1532" t="s">
        <v>1127</v>
      </c>
      <c r="B50" s="1533"/>
      <c r="C50" s="1890" t="s">
        <v>1094</v>
      </c>
      <c r="D50" s="1890"/>
      <c r="E50" s="1890"/>
      <c r="F50" s="1890"/>
      <c r="G50" s="1890"/>
    </row>
    <row r="51" spans="1:7" ht="15.75" x14ac:dyDescent="0.2">
      <c r="A51" s="1533"/>
      <c r="B51" s="1533"/>
      <c r="C51" s="1533"/>
      <c r="D51" s="1533"/>
      <c r="E51" s="1533"/>
      <c r="F51" s="1533"/>
      <c r="G51" s="1533"/>
    </row>
    <row r="53" spans="1:7" ht="15" x14ac:dyDescent="0.2">
      <c r="A53" s="1538" t="s">
        <v>1128</v>
      </c>
      <c r="B53" s="1538"/>
      <c r="C53" s="1886">
        <f>'7.3 Óvoda'!C55</f>
        <v>99781768</v>
      </c>
      <c r="D53" s="1886"/>
      <c r="E53" s="1539"/>
      <c r="F53" s="1539"/>
      <c r="G53" s="1539"/>
    </row>
    <row r="54" spans="1:7" ht="38.25" customHeight="1" thickBot="1" x14ac:dyDescent="0.25">
      <c r="A54" s="1887" t="s">
        <v>1129</v>
      </c>
      <c r="B54" s="1887"/>
      <c r="C54" s="1541">
        <v>0</v>
      </c>
      <c r="D54" s="1539"/>
      <c r="E54" s="1539"/>
      <c r="F54" s="1539"/>
      <c r="G54" s="1539"/>
    </row>
    <row r="55" spans="1:7" ht="36.75" thickBot="1" x14ac:dyDescent="0.25">
      <c r="A55" s="1542" t="s">
        <v>1071</v>
      </c>
      <c r="B55" s="1543" t="s">
        <v>1130</v>
      </c>
      <c r="C55" s="1543" t="s">
        <v>1131</v>
      </c>
      <c r="D55" s="1543" t="s">
        <v>1132</v>
      </c>
      <c r="E55" s="1543" t="s">
        <v>1133</v>
      </c>
      <c r="F55" s="1543" t="s">
        <v>1134</v>
      </c>
      <c r="G55" s="1544" t="s">
        <v>1135</v>
      </c>
    </row>
    <row r="56" spans="1:7" x14ac:dyDescent="0.2">
      <c r="A56" s="1546" t="s">
        <v>696</v>
      </c>
      <c r="B56" s="1547" t="s">
        <v>1136</v>
      </c>
      <c r="C56" s="1548"/>
      <c r="D56" s="1548"/>
      <c r="E56" s="1548"/>
      <c r="F56" s="1548"/>
      <c r="G56" s="1549">
        <f>SUM(C56:F56)</f>
        <v>0</v>
      </c>
    </row>
    <row r="57" spans="1:7" ht="22.5" x14ac:dyDescent="0.2">
      <c r="A57" s="1550" t="s">
        <v>710</v>
      </c>
      <c r="B57" s="1551" t="s">
        <v>1137</v>
      </c>
      <c r="C57" s="1552"/>
      <c r="D57" s="1552"/>
      <c r="E57" s="1552"/>
      <c r="F57" s="1552"/>
      <c r="G57" s="1553">
        <f>SUM(C57:F57)</f>
        <v>0</v>
      </c>
    </row>
    <row r="58" spans="1:7" ht="22.5" x14ac:dyDescent="0.2">
      <c r="A58" s="1550" t="s">
        <v>724</v>
      </c>
      <c r="B58" s="1551" t="s">
        <v>1138</v>
      </c>
      <c r="C58" s="1552"/>
      <c r="D58" s="1552"/>
      <c r="E58" s="1552"/>
      <c r="F58" s="1552"/>
      <c r="G58" s="1553">
        <f>SUM(C58:F58)</f>
        <v>0</v>
      </c>
    </row>
    <row r="59" spans="1:7" x14ac:dyDescent="0.2">
      <c r="A59" s="1550" t="s">
        <v>900</v>
      </c>
      <c r="B59" s="1551" t="s">
        <v>1139</v>
      </c>
      <c r="C59" s="1552"/>
      <c r="D59" s="1552"/>
      <c r="E59" s="1552"/>
      <c r="F59" s="1552"/>
      <c r="G59" s="1553">
        <f>SUM(C59:F59)</f>
        <v>0</v>
      </c>
    </row>
    <row r="60" spans="1:7" ht="22.5" x14ac:dyDescent="0.2">
      <c r="A60" s="1550" t="s">
        <v>753</v>
      </c>
      <c r="B60" s="1551" t="s">
        <v>1140</v>
      </c>
      <c r="C60" s="1552"/>
      <c r="D60" s="1552"/>
      <c r="E60" s="1552"/>
      <c r="F60" s="1552"/>
      <c r="G60" s="1553">
        <f>SUM(C60:F60)</f>
        <v>0</v>
      </c>
    </row>
    <row r="61" spans="1:7" ht="13.5" thickBot="1" x14ac:dyDescent="0.25">
      <c r="A61" s="1554" t="s">
        <v>775</v>
      </c>
      <c r="B61" s="1555" t="s">
        <v>1147</v>
      </c>
      <c r="C61" s="1556">
        <v>0</v>
      </c>
      <c r="D61" s="1556"/>
      <c r="E61" s="1556"/>
      <c r="F61" s="1556"/>
      <c r="G61" s="1557">
        <f>C61</f>
        <v>0</v>
      </c>
    </row>
    <row r="62" spans="1:7" ht="13.5" thickBot="1" x14ac:dyDescent="0.25">
      <c r="A62" s="1558" t="s">
        <v>911</v>
      </c>
      <c r="B62" s="1559" t="s">
        <v>1135</v>
      </c>
      <c r="C62" s="1560">
        <f>SUM(C56:C61)</f>
        <v>0</v>
      </c>
      <c r="D62" s="1560">
        <f>SUM(D56:D61)</f>
        <v>0</v>
      </c>
      <c r="E62" s="1560">
        <f>SUM(E56:E61)</f>
        <v>0</v>
      </c>
      <c r="F62" s="1560">
        <f>SUM(F56:F61)</f>
        <v>0</v>
      </c>
      <c r="G62" s="1561">
        <f>SUM(C62:F62)</f>
        <v>0</v>
      </c>
    </row>
    <row r="64" spans="1:7" ht="15.75" x14ac:dyDescent="0.2">
      <c r="A64" s="1884" t="s">
        <v>1146</v>
      </c>
      <c r="B64" s="1884"/>
    </row>
    <row r="67" spans="3:6" x14ac:dyDescent="0.2">
      <c r="C67" s="1888" t="s">
        <v>1144</v>
      </c>
      <c r="D67" s="1888"/>
      <c r="E67" s="1888"/>
      <c r="F67" s="1888"/>
    </row>
    <row r="68" spans="3:6" ht="13.5" x14ac:dyDescent="0.2">
      <c r="C68" s="1889" t="s">
        <v>1142</v>
      </c>
      <c r="D68" s="1889"/>
      <c r="E68" s="1889"/>
      <c r="F68" s="1889"/>
    </row>
  </sheetData>
  <sheetProtection selectLockedCells="1" selectUnlockedCells="1"/>
  <mergeCells count="21">
    <mergeCell ref="A64:B64"/>
    <mergeCell ref="C67:F67"/>
    <mergeCell ref="C68:F68"/>
    <mergeCell ref="C46:F46"/>
    <mergeCell ref="C47:F47"/>
    <mergeCell ref="A48:G48"/>
    <mergeCell ref="C50:G50"/>
    <mergeCell ref="C53:D53"/>
    <mergeCell ref="A54:B54"/>
    <mergeCell ref="A43:B43"/>
    <mergeCell ref="A1:G1"/>
    <mergeCell ref="C3:G3"/>
    <mergeCell ref="C6:D6"/>
    <mergeCell ref="A7:B7"/>
    <mergeCell ref="A19:B19"/>
    <mergeCell ref="C22:F22"/>
    <mergeCell ref="C23:F23"/>
    <mergeCell ref="A25:G25"/>
    <mergeCell ref="C27:G27"/>
    <mergeCell ref="C30:D30"/>
    <mergeCell ref="A31:B31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>
    <oddHeader>&amp;C&amp;"Times New Roman CE,Félkövér"&amp;12
&amp;R&amp;"Times New Roman CE,Félkövér dőlt" 9. melléklet a 2/2020. (II.28.) önkormányzati rendelethez</oddHeader>
  </headerFooter>
  <rowBreaks count="2" manualBreakCount="2">
    <brk id="24" max="16383" man="1"/>
    <brk id="4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2" tint="-0.499984740745262"/>
  </sheetPr>
  <dimension ref="A1:Q82"/>
  <sheetViews>
    <sheetView view="pageBreakPreview" zoomScaleNormal="100" zoomScaleSheetLayoutView="100" workbookViewId="0">
      <selection sqref="A1:O1"/>
    </sheetView>
  </sheetViews>
  <sheetFormatPr defaultRowHeight="15.75" x14ac:dyDescent="0.25"/>
  <cols>
    <col min="1" max="1" width="4.140625" style="1566" customWidth="1"/>
    <col min="2" max="2" width="26.7109375" style="1565" customWidth="1"/>
    <col min="3" max="3" width="11.7109375" style="1565" customWidth="1"/>
    <col min="4" max="4" width="10.42578125" style="1565" customWidth="1"/>
    <col min="5" max="6" width="8.7109375" style="1565" bestFit="1" customWidth="1"/>
    <col min="7" max="7" width="10.140625" style="1565" customWidth="1"/>
    <col min="8" max="8" width="11" style="1565" customWidth="1"/>
    <col min="9" max="9" width="11.140625" style="1565" customWidth="1"/>
    <col min="10" max="10" width="11.7109375" style="1565" customWidth="1"/>
    <col min="11" max="11" width="8.7109375" style="1565" bestFit="1" customWidth="1"/>
    <col min="12" max="12" width="10.5703125" style="1565" customWidth="1"/>
    <col min="13" max="14" width="8.7109375" style="1565" bestFit="1" customWidth="1"/>
    <col min="15" max="15" width="10.85546875" style="1566" customWidth="1"/>
    <col min="16" max="16" width="9.140625" style="1564" customWidth="1"/>
    <col min="17" max="17" width="9.140625" style="1564"/>
    <col min="18" max="254" width="9.140625" style="1565"/>
    <col min="255" max="255" width="4.140625" style="1565" customWidth="1"/>
    <col min="256" max="256" width="26.7109375" style="1565" customWidth="1"/>
    <col min="257" max="258" width="7.7109375" style="1565" customWidth="1"/>
    <col min="259" max="259" width="8.140625" style="1565" customWidth="1"/>
    <col min="260" max="260" width="7.5703125" style="1565" customWidth="1"/>
    <col min="261" max="261" width="7.42578125" style="1565" customWidth="1"/>
    <col min="262" max="262" width="7.5703125" style="1565" customWidth="1"/>
    <col min="263" max="263" width="7" style="1565" customWidth="1"/>
    <col min="264" max="268" width="8.140625" style="1565" customWidth="1"/>
    <col min="269" max="269" width="10.85546875" style="1565" customWidth="1"/>
    <col min="270" max="510" width="9.140625" style="1565"/>
    <col min="511" max="511" width="4.140625" style="1565" customWidth="1"/>
    <col min="512" max="512" width="26.7109375" style="1565" customWidth="1"/>
    <col min="513" max="514" width="7.7109375" style="1565" customWidth="1"/>
    <col min="515" max="515" width="8.140625" style="1565" customWidth="1"/>
    <col min="516" max="516" width="7.5703125" style="1565" customWidth="1"/>
    <col min="517" max="517" width="7.42578125" style="1565" customWidth="1"/>
    <col min="518" max="518" width="7.5703125" style="1565" customWidth="1"/>
    <col min="519" max="519" width="7" style="1565" customWidth="1"/>
    <col min="520" max="524" width="8.140625" style="1565" customWidth="1"/>
    <col min="525" max="525" width="10.85546875" style="1565" customWidth="1"/>
    <col min="526" max="766" width="9.140625" style="1565"/>
    <col min="767" max="767" width="4.140625" style="1565" customWidth="1"/>
    <col min="768" max="768" width="26.7109375" style="1565" customWidth="1"/>
    <col min="769" max="770" width="7.7109375" style="1565" customWidth="1"/>
    <col min="771" max="771" width="8.140625" style="1565" customWidth="1"/>
    <col min="772" max="772" width="7.5703125" style="1565" customWidth="1"/>
    <col min="773" max="773" width="7.42578125" style="1565" customWidth="1"/>
    <col min="774" max="774" width="7.5703125" style="1565" customWidth="1"/>
    <col min="775" max="775" width="7" style="1565" customWidth="1"/>
    <col min="776" max="780" width="8.140625" style="1565" customWidth="1"/>
    <col min="781" max="781" width="10.85546875" style="1565" customWidth="1"/>
    <col min="782" max="1022" width="9.140625" style="1565"/>
    <col min="1023" max="1023" width="4.140625" style="1565" customWidth="1"/>
    <col min="1024" max="1024" width="26.7109375" style="1565" customWidth="1"/>
    <col min="1025" max="1026" width="7.7109375" style="1565" customWidth="1"/>
    <col min="1027" max="1027" width="8.140625" style="1565" customWidth="1"/>
    <col min="1028" max="1028" width="7.5703125" style="1565" customWidth="1"/>
    <col min="1029" max="1029" width="7.42578125" style="1565" customWidth="1"/>
    <col min="1030" max="1030" width="7.5703125" style="1565" customWidth="1"/>
    <col min="1031" max="1031" width="7" style="1565" customWidth="1"/>
    <col min="1032" max="1036" width="8.140625" style="1565" customWidth="1"/>
    <col min="1037" max="1037" width="10.85546875" style="1565" customWidth="1"/>
    <col min="1038" max="1278" width="9.140625" style="1565"/>
    <col min="1279" max="1279" width="4.140625" style="1565" customWidth="1"/>
    <col min="1280" max="1280" width="26.7109375" style="1565" customWidth="1"/>
    <col min="1281" max="1282" width="7.7109375" style="1565" customWidth="1"/>
    <col min="1283" max="1283" width="8.140625" style="1565" customWidth="1"/>
    <col min="1284" max="1284" width="7.5703125" style="1565" customWidth="1"/>
    <col min="1285" max="1285" width="7.42578125" style="1565" customWidth="1"/>
    <col min="1286" max="1286" width="7.5703125" style="1565" customWidth="1"/>
    <col min="1287" max="1287" width="7" style="1565" customWidth="1"/>
    <col min="1288" max="1292" width="8.140625" style="1565" customWidth="1"/>
    <col min="1293" max="1293" width="10.85546875" style="1565" customWidth="1"/>
    <col min="1294" max="1534" width="9.140625" style="1565"/>
    <col min="1535" max="1535" width="4.140625" style="1565" customWidth="1"/>
    <col min="1536" max="1536" width="26.7109375" style="1565" customWidth="1"/>
    <col min="1537" max="1538" width="7.7109375" style="1565" customWidth="1"/>
    <col min="1539" max="1539" width="8.140625" style="1565" customWidth="1"/>
    <col min="1540" max="1540" width="7.5703125" style="1565" customWidth="1"/>
    <col min="1541" max="1541" width="7.42578125" style="1565" customWidth="1"/>
    <col min="1542" max="1542" width="7.5703125" style="1565" customWidth="1"/>
    <col min="1543" max="1543" width="7" style="1565" customWidth="1"/>
    <col min="1544" max="1548" width="8.140625" style="1565" customWidth="1"/>
    <col min="1549" max="1549" width="10.85546875" style="1565" customWidth="1"/>
    <col min="1550" max="1790" width="9.140625" style="1565"/>
    <col min="1791" max="1791" width="4.140625" style="1565" customWidth="1"/>
    <col min="1792" max="1792" width="26.7109375" style="1565" customWidth="1"/>
    <col min="1793" max="1794" width="7.7109375" style="1565" customWidth="1"/>
    <col min="1795" max="1795" width="8.140625" style="1565" customWidth="1"/>
    <col min="1796" max="1796" width="7.5703125" style="1565" customWidth="1"/>
    <col min="1797" max="1797" width="7.42578125" style="1565" customWidth="1"/>
    <col min="1798" max="1798" width="7.5703125" style="1565" customWidth="1"/>
    <col min="1799" max="1799" width="7" style="1565" customWidth="1"/>
    <col min="1800" max="1804" width="8.140625" style="1565" customWidth="1"/>
    <col min="1805" max="1805" width="10.85546875" style="1565" customWidth="1"/>
    <col min="1806" max="2046" width="9.140625" style="1565"/>
    <col min="2047" max="2047" width="4.140625" style="1565" customWidth="1"/>
    <col min="2048" max="2048" width="26.7109375" style="1565" customWidth="1"/>
    <col min="2049" max="2050" width="7.7109375" style="1565" customWidth="1"/>
    <col min="2051" max="2051" width="8.140625" style="1565" customWidth="1"/>
    <col min="2052" max="2052" width="7.5703125" style="1565" customWidth="1"/>
    <col min="2053" max="2053" width="7.42578125" style="1565" customWidth="1"/>
    <col min="2054" max="2054" width="7.5703125" style="1565" customWidth="1"/>
    <col min="2055" max="2055" width="7" style="1565" customWidth="1"/>
    <col min="2056" max="2060" width="8.140625" style="1565" customWidth="1"/>
    <col min="2061" max="2061" width="10.85546875" style="1565" customWidth="1"/>
    <col min="2062" max="2302" width="9.140625" style="1565"/>
    <col min="2303" max="2303" width="4.140625" style="1565" customWidth="1"/>
    <col min="2304" max="2304" width="26.7109375" style="1565" customWidth="1"/>
    <col min="2305" max="2306" width="7.7109375" style="1565" customWidth="1"/>
    <col min="2307" max="2307" width="8.140625" style="1565" customWidth="1"/>
    <col min="2308" max="2308" width="7.5703125" style="1565" customWidth="1"/>
    <col min="2309" max="2309" width="7.42578125" style="1565" customWidth="1"/>
    <col min="2310" max="2310" width="7.5703125" style="1565" customWidth="1"/>
    <col min="2311" max="2311" width="7" style="1565" customWidth="1"/>
    <col min="2312" max="2316" width="8.140625" style="1565" customWidth="1"/>
    <col min="2317" max="2317" width="10.85546875" style="1565" customWidth="1"/>
    <col min="2318" max="2558" width="9.140625" style="1565"/>
    <col min="2559" max="2559" width="4.140625" style="1565" customWidth="1"/>
    <col min="2560" max="2560" width="26.7109375" style="1565" customWidth="1"/>
    <col min="2561" max="2562" width="7.7109375" style="1565" customWidth="1"/>
    <col min="2563" max="2563" width="8.140625" style="1565" customWidth="1"/>
    <col min="2564" max="2564" width="7.5703125" style="1565" customWidth="1"/>
    <col min="2565" max="2565" width="7.42578125" style="1565" customWidth="1"/>
    <col min="2566" max="2566" width="7.5703125" style="1565" customWidth="1"/>
    <col min="2567" max="2567" width="7" style="1565" customWidth="1"/>
    <col min="2568" max="2572" width="8.140625" style="1565" customWidth="1"/>
    <col min="2573" max="2573" width="10.85546875" style="1565" customWidth="1"/>
    <col min="2574" max="2814" width="9.140625" style="1565"/>
    <col min="2815" max="2815" width="4.140625" style="1565" customWidth="1"/>
    <col min="2816" max="2816" width="26.7109375" style="1565" customWidth="1"/>
    <col min="2817" max="2818" width="7.7109375" style="1565" customWidth="1"/>
    <col min="2819" max="2819" width="8.140625" style="1565" customWidth="1"/>
    <col min="2820" max="2820" width="7.5703125" style="1565" customWidth="1"/>
    <col min="2821" max="2821" width="7.42578125" style="1565" customWidth="1"/>
    <col min="2822" max="2822" width="7.5703125" style="1565" customWidth="1"/>
    <col min="2823" max="2823" width="7" style="1565" customWidth="1"/>
    <col min="2824" max="2828" width="8.140625" style="1565" customWidth="1"/>
    <col min="2829" max="2829" width="10.85546875" style="1565" customWidth="1"/>
    <col min="2830" max="3070" width="9.140625" style="1565"/>
    <col min="3071" max="3071" width="4.140625" style="1565" customWidth="1"/>
    <col min="3072" max="3072" width="26.7109375" style="1565" customWidth="1"/>
    <col min="3073" max="3074" width="7.7109375" style="1565" customWidth="1"/>
    <col min="3075" max="3075" width="8.140625" style="1565" customWidth="1"/>
    <col min="3076" max="3076" width="7.5703125" style="1565" customWidth="1"/>
    <col min="3077" max="3077" width="7.42578125" style="1565" customWidth="1"/>
    <col min="3078" max="3078" width="7.5703125" style="1565" customWidth="1"/>
    <col min="3079" max="3079" width="7" style="1565" customWidth="1"/>
    <col min="3080" max="3084" width="8.140625" style="1565" customWidth="1"/>
    <col min="3085" max="3085" width="10.85546875" style="1565" customWidth="1"/>
    <col min="3086" max="3326" width="9.140625" style="1565"/>
    <col min="3327" max="3327" width="4.140625" style="1565" customWidth="1"/>
    <col min="3328" max="3328" width="26.7109375" style="1565" customWidth="1"/>
    <col min="3329" max="3330" width="7.7109375" style="1565" customWidth="1"/>
    <col min="3331" max="3331" width="8.140625" style="1565" customWidth="1"/>
    <col min="3332" max="3332" width="7.5703125" style="1565" customWidth="1"/>
    <col min="3333" max="3333" width="7.42578125" style="1565" customWidth="1"/>
    <col min="3334" max="3334" width="7.5703125" style="1565" customWidth="1"/>
    <col min="3335" max="3335" width="7" style="1565" customWidth="1"/>
    <col min="3336" max="3340" width="8.140625" style="1565" customWidth="1"/>
    <col min="3341" max="3341" width="10.85546875" style="1565" customWidth="1"/>
    <col min="3342" max="3582" width="9.140625" style="1565"/>
    <col min="3583" max="3583" width="4.140625" style="1565" customWidth="1"/>
    <col min="3584" max="3584" width="26.7109375" style="1565" customWidth="1"/>
    <col min="3585" max="3586" width="7.7109375" style="1565" customWidth="1"/>
    <col min="3587" max="3587" width="8.140625" style="1565" customWidth="1"/>
    <col min="3588" max="3588" width="7.5703125" style="1565" customWidth="1"/>
    <col min="3589" max="3589" width="7.42578125" style="1565" customWidth="1"/>
    <col min="3590" max="3590" width="7.5703125" style="1565" customWidth="1"/>
    <col min="3591" max="3591" width="7" style="1565" customWidth="1"/>
    <col min="3592" max="3596" width="8.140625" style="1565" customWidth="1"/>
    <col min="3597" max="3597" width="10.85546875" style="1565" customWidth="1"/>
    <col min="3598" max="3838" width="9.140625" style="1565"/>
    <col min="3839" max="3839" width="4.140625" style="1565" customWidth="1"/>
    <col min="3840" max="3840" width="26.7109375" style="1565" customWidth="1"/>
    <col min="3841" max="3842" width="7.7109375" style="1565" customWidth="1"/>
    <col min="3843" max="3843" width="8.140625" style="1565" customWidth="1"/>
    <col min="3844" max="3844" width="7.5703125" style="1565" customWidth="1"/>
    <col min="3845" max="3845" width="7.42578125" style="1565" customWidth="1"/>
    <col min="3846" max="3846" width="7.5703125" style="1565" customWidth="1"/>
    <col min="3847" max="3847" width="7" style="1565" customWidth="1"/>
    <col min="3848" max="3852" width="8.140625" style="1565" customWidth="1"/>
    <col min="3853" max="3853" width="10.85546875" style="1565" customWidth="1"/>
    <col min="3854" max="4094" width="9.140625" style="1565"/>
    <col min="4095" max="4095" width="4.140625" style="1565" customWidth="1"/>
    <col min="4096" max="4096" width="26.7109375" style="1565" customWidth="1"/>
    <col min="4097" max="4098" width="7.7109375" style="1565" customWidth="1"/>
    <col min="4099" max="4099" width="8.140625" style="1565" customWidth="1"/>
    <col min="4100" max="4100" width="7.5703125" style="1565" customWidth="1"/>
    <col min="4101" max="4101" width="7.42578125" style="1565" customWidth="1"/>
    <col min="4102" max="4102" width="7.5703125" style="1565" customWidth="1"/>
    <col min="4103" max="4103" width="7" style="1565" customWidth="1"/>
    <col min="4104" max="4108" width="8.140625" style="1565" customWidth="1"/>
    <col min="4109" max="4109" width="10.85546875" style="1565" customWidth="1"/>
    <col min="4110" max="4350" width="9.140625" style="1565"/>
    <col min="4351" max="4351" width="4.140625" style="1565" customWidth="1"/>
    <col min="4352" max="4352" width="26.7109375" style="1565" customWidth="1"/>
    <col min="4353" max="4354" width="7.7109375" style="1565" customWidth="1"/>
    <col min="4355" max="4355" width="8.140625" style="1565" customWidth="1"/>
    <col min="4356" max="4356" width="7.5703125" style="1565" customWidth="1"/>
    <col min="4357" max="4357" width="7.42578125" style="1565" customWidth="1"/>
    <col min="4358" max="4358" width="7.5703125" style="1565" customWidth="1"/>
    <col min="4359" max="4359" width="7" style="1565" customWidth="1"/>
    <col min="4360" max="4364" width="8.140625" style="1565" customWidth="1"/>
    <col min="4365" max="4365" width="10.85546875" style="1565" customWidth="1"/>
    <col min="4366" max="4606" width="9.140625" style="1565"/>
    <col min="4607" max="4607" width="4.140625" style="1565" customWidth="1"/>
    <col min="4608" max="4608" width="26.7109375" style="1565" customWidth="1"/>
    <col min="4609" max="4610" width="7.7109375" style="1565" customWidth="1"/>
    <col min="4611" max="4611" width="8.140625" style="1565" customWidth="1"/>
    <col min="4612" max="4612" width="7.5703125" style="1565" customWidth="1"/>
    <col min="4613" max="4613" width="7.42578125" style="1565" customWidth="1"/>
    <col min="4614" max="4614" width="7.5703125" style="1565" customWidth="1"/>
    <col min="4615" max="4615" width="7" style="1565" customWidth="1"/>
    <col min="4616" max="4620" width="8.140625" style="1565" customWidth="1"/>
    <col min="4621" max="4621" width="10.85546875" style="1565" customWidth="1"/>
    <col min="4622" max="4862" width="9.140625" style="1565"/>
    <col min="4863" max="4863" width="4.140625" style="1565" customWidth="1"/>
    <col min="4864" max="4864" width="26.7109375" style="1565" customWidth="1"/>
    <col min="4865" max="4866" width="7.7109375" style="1565" customWidth="1"/>
    <col min="4867" max="4867" width="8.140625" style="1565" customWidth="1"/>
    <col min="4868" max="4868" width="7.5703125" style="1565" customWidth="1"/>
    <col min="4869" max="4869" width="7.42578125" style="1565" customWidth="1"/>
    <col min="4870" max="4870" width="7.5703125" style="1565" customWidth="1"/>
    <col min="4871" max="4871" width="7" style="1565" customWidth="1"/>
    <col min="4872" max="4876" width="8.140625" style="1565" customWidth="1"/>
    <col min="4877" max="4877" width="10.85546875" style="1565" customWidth="1"/>
    <col min="4878" max="5118" width="9.140625" style="1565"/>
    <col min="5119" max="5119" width="4.140625" style="1565" customWidth="1"/>
    <col min="5120" max="5120" width="26.7109375" style="1565" customWidth="1"/>
    <col min="5121" max="5122" width="7.7109375" style="1565" customWidth="1"/>
    <col min="5123" max="5123" width="8.140625" style="1565" customWidth="1"/>
    <col min="5124" max="5124" width="7.5703125" style="1565" customWidth="1"/>
    <col min="5125" max="5125" width="7.42578125" style="1565" customWidth="1"/>
    <col min="5126" max="5126" width="7.5703125" style="1565" customWidth="1"/>
    <col min="5127" max="5127" width="7" style="1565" customWidth="1"/>
    <col min="5128" max="5132" width="8.140625" style="1565" customWidth="1"/>
    <col min="5133" max="5133" width="10.85546875" style="1565" customWidth="1"/>
    <col min="5134" max="5374" width="9.140625" style="1565"/>
    <col min="5375" max="5375" width="4.140625" style="1565" customWidth="1"/>
    <col min="5376" max="5376" width="26.7109375" style="1565" customWidth="1"/>
    <col min="5377" max="5378" width="7.7109375" style="1565" customWidth="1"/>
    <col min="5379" max="5379" width="8.140625" style="1565" customWidth="1"/>
    <col min="5380" max="5380" width="7.5703125" style="1565" customWidth="1"/>
    <col min="5381" max="5381" width="7.42578125" style="1565" customWidth="1"/>
    <col min="5382" max="5382" width="7.5703125" style="1565" customWidth="1"/>
    <col min="5383" max="5383" width="7" style="1565" customWidth="1"/>
    <col min="5384" max="5388" width="8.140625" style="1565" customWidth="1"/>
    <col min="5389" max="5389" width="10.85546875" style="1565" customWidth="1"/>
    <col min="5390" max="5630" width="9.140625" style="1565"/>
    <col min="5631" max="5631" width="4.140625" style="1565" customWidth="1"/>
    <col min="5632" max="5632" width="26.7109375" style="1565" customWidth="1"/>
    <col min="5633" max="5634" width="7.7109375" style="1565" customWidth="1"/>
    <col min="5635" max="5635" width="8.140625" style="1565" customWidth="1"/>
    <col min="5636" max="5636" width="7.5703125" style="1565" customWidth="1"/>
    <col min="5637" max="5637" width="7.42578125" style="1565" customWidth="1"/>
    <col min="5638" max="5638" width="7.5703125" style="1565" customWidth="1"/>
    <col min="5639" max="5639" width="7" style="1565" customWidth="1"/>
    <col min="5640" max="5644" width="8.140625" style="1565" customWidth="1"/>
    <col min="5645" max="5645" width="10.85546875" style="1565" customWidth="1"/>
    <col min="5646" max="5886" width="9.140625" style="1565"/>
    <col min="5887" max="5887" width="4.140625" style="1565" customWidth="1"/>
    <col min="5888" max="5888" width="26.7109375" style="1565" customWidth="1"/>
    <col min="5889" max="5890" width="7.7109375" style="1565" customWidth="1"/>
    <col min="5891" max="5891" width="8.140625" style="1565" customWidth="1"/>
    <col min="5892" max="5892" width="7.5703125" style="1565" customWidth="1"/>
    <col min="5893" max="5893" width="7.42578125" style="1565" customWidth="1"/>
    <col min="5894" max="5894" width="7.5703125" style="1565" customWidth="1"/>
    <col min="5895" max="5895" width="7" style="1565" customWidth="1"/>
    <col min="5896" max="5900" width="8.140625" style="1565" customWidth="1"/>
    <col min="5901" max="5901" width="10.85546875" style="1565" customWidth="1"/>
    <col min="5902" max="6142" width="9.140625" style="1565"/>
    <col min="6143" max="6143" width="4.140625" style="1565" customWidth="1"/>
    <col min="6144" max="6144" width="26.7109375" style="1565" customWidth="1"/>
    <col min="6145" max="6146" width="7.7109375" style="1565" customWidth="1"/>
    <col min="6147" max="6147" width="8.140625" style="1565" customWidth="1"/>
    <col min="6148" max="6148" width="7.5703125" style="1565" customWidth="1"/>
    <col min="6149" max="6149" width="7.42578125" style="1565" customWidth="1"/>
    <col min="6150" max="6150" width="7.5703125" style="1565" customWidth="1"/>
    <col min="6151" max="6151" width="7" style="1565" customWidth="1"/>
    <col min="6152" max="6156" width="8.140625" style="1565" customWidth="1"/>
    <col min="6157" max="6157" width="10.85546875" style="1565" customWidth="1"/>
    <col min="6158" max="6398" width="9.140625" style="1565"/>
    <col min="6399" max="6399" width="4.140625" style="1565" customWidth="1"/>
    <col min="6400" max="6400" width="26.7109375" style="1565" customWidth="1"/>
    <col min="6401" max="6402" width="7.7109375" style="1565" customWidth="1"/>
    <col min="6403" max="6403" width="8.140625" style="1565" customWidth="1"/>
    <col min="6404" max="6404" width="7.5703125" style="1565" customWidth="1"/>
    <col min="6405" max="6405" width="7.42578125" style="1565" customWidth="1"/>
    <col min="6406" max="6406" width="7.5703125" style="1565" customWidth="1"/>
    <col min="6407" max="6407" width="7" style="1565" customWidth="1"/>
    <col min="6408" max="6412" width="8.140625" style="1565" customWidth="1"/>
    <col min="6413" max="6413" width="10.85546875" style="1565" customWidth="1"/>
    <col min="6414" max="6654" width="9.140625" style="1565"/>
    <col min="6655" max="6655" width="4.140625" style="1565" customWidth="1"/>
    <col min="6656" max="6656" width="26.7109375" style="1565" customWidth="1"/>
    <col min="6657" max="6658" width="7.7109375" style="1565" customWidth="1"/>
    <col min="6659" max="6659" width="8.140625" style="1565" customWidth="1"/>
    <col min="6660" max="6660" width="7.5703125" style="1565" customWidth="1"/>
    <col min="6661" max="6661" width="7.42578125" style="1565" customWidth="1"/>
    <col min="6662" max="6662" width="7.5703125" style="1565" customWidth="1"/>
    <col min="6663" max="6663" width="7" style="1565" customWidth="1"/>
    <col min="6664" max="6668" width="8.140625" style="1565" customWidth="1"/>
    <col min="6669" max="6669" width="10.85546875" style="1565" customWidth="1"/>
    <col min="6670" max="6910" width="9.140625" style="1565"/>
    <col min="6911" max="6911" width="4.140625" style="1565" customWidth="1"/>
    <col min="6912" max="6912" width="26.7109375" style="1565" customWidth="1"/>
    <col min="6913" max="6914" width="7.7109375" style="1565" customWidth="1"/>
    <col min="6915" max="6915" width="8.140625" style="1565" customWidth="1"/>
    <col min="6916" max="6916" width="7.5703125" style="1565" customWidth="1"/>
    <col min="6917" max="6917" width="7.42578125" style="1565" customWidth="1"/>
    <col min="6918" max="6918" width="7.5703125" style="1565" customWidth="1"/>
    <col min="6919" max="6919" width="7" style="1565" customWidth="1"/>
    <col min="6920" max="6924" width="8.140625" style="1565" customWidth="1"/>
    <col min="6925" max="6925" width="10.85546875" style="1565" customWidth="1"/>
    <col min="6926" max="7166" width="9.140625" style="1565"/>
    <col min="7167" max="7167" width="4.140625" style="1565" customWidth="1"/>
    <col min="7168" max="7168" width="26.7109375" style="1565" customWidth="1"/>
    <col min="7169" max="7170" width="7.7109375" style="1565" customWidth="1"/>
    <col min="7171" max="7171" width="8.140625" style="1565" customWidth="1"/>
    <col min="7172" max="7172" width="7.5703125" style="1565" customWidth="1"/>
    <col min="7173" max="7173" width="7.42578125" style="1565" customWidth="1"/>
    <col min="7174" max="7174" width="7.5703125" style="1565" customWidth="1"/>
    <col min="7175" max="7175" width="7" style="1565" customWidth="1"/>
    <col min="7176" max="7180" width="8.140625" style="1565" customWidth="1"/>
    <col min="7181" max="7181" width="10.85546875" style="1565" customWidth="1"/>
    <col min="7182" max="7422" width="9.140625" style="1565"/>
    <col min="7423" max="7423" width="4.140625" style="1565" customWidth="1"/>
    <col min="7424" max="7424" width="26.7109375" style="1565" customWidth="1"/>
    <col min="7425" max="7426" width="7.7109375" style="1565" customWidth="1"/>
    <col min="7427" max="7427" width="8.140625" style="1565" customWidth="1"/>
    <col min="7428" max="7428" width="7.5703125" style="1565" customWidth="1"/>
    <col min="7429" max="7429" width="7.42578125" style="1565" customWidth="1"/>
    <col min="7430" max="7430" width="7.5703125" style="1565" customWidth="1"/>
    <col min="7431" max="7431" width="7" style="1565" customWidth="1"/>
    <col min="7432" max="7436" width="8.140625" style="1565" customWidth="1"/>
    <col min="7437" max="7437" width="10.85546875" style="1565" customWidth="1"/>
    <col min="7438" max="7678" width="9.140625" style="1565"/>
    <col min="7679" max="7679" width="4.140625" style="1565" customWidth="1"/>
    <col min="7680" max="7680" width="26.7109375" style="1565" customWidth="1"/>
    <col min="7681" max="7682" width="7.7109375" style="1565" customWidth="1"/>
    <col min="7683" max="7683" width="8.140625" style="1565" customWidth="1"/>
    <col min="7684" max="7684" width="7.5703125" style="1565" customWidth="1"/>
    <col min="7685" max="7685" width="7.42578125" style="1565" customWidth="1"/>
    <col min="7686" max="7686" width="7.5703125" style="1565" customWidth="1"/>
    <col min="7687" max="7687" width="7" style="1565" customWidth="1"/>
    <col min="7688" max="7692" width="8.140625" style="1565" customWidth="1"/>
    <col min="7693" max="7693" width="10.85546875" style="1565" customWidth="1"/>
    <col min="7694" max="7934" width="9.140625" style="1565"/>
    <col min="7935" max="7935" width="4.140625" style="1565" customWidth="1"/>
    <col min="7936" max="7936" width="26.7109375" style="1565" customWidth="1"/>
    <col min="7937" max="7938" width="7.7109375" style="1565" customWidth="1"/>
    <col min="7939" max="7939" width="8.140625" style="1565" customWidth="1"/>
    <col min="7940" max="7940" width="7.5703125" style="1565" customWidth="1"/>
    <col min="7941" max="7941" width="7.42578125" style="1565" customWidth="1"/>
    <col min="7942" max="7942" width="7.5703125" style="1565" customWidth="1"/>
    <col min="7943" max="7943" width="7" style="1565" customWidth="1"/>
    <col min="7944" max="7948" width="8.140625" style="1565" customWidth="1"/>
    <col min="7949" max="7949" width="10.85546875" style="1565" customWidth="1"/>
    <col min="7950" max="8190" width="9.140625" style="1565"/>
    <col min="8191" max="8191" width="4.140625" style="1565" customWidth="1"/>
    <col min="8192" max="8192" width="26.7109375" style="1565" customWidth="1"/>
    <col min="8193" max="8194" width="7.7109375" style="1565" customWidth="1"/>
    <col min="8195" max="8195" width="8.140625" style="1565" customWidth="1"/>
    <col min="8196" max="8196" width="7.5703125" style="1565" customWidth="1"/>
    <col min="8197" max="8197" width="7.42578125" style="1565" customWidth="1"/>
    <col min="8198" max="8198" width="7.5703125" style="1565" customWidth="1"/>
    <col min="8199" max="8199" width="7" style="1565" customWidth="1"/>
    <col min="8200" max="8204" width="8.140625" style="1565" customWidth="1"/>
    <col min="8205" max="8205" width="10.85546875" style="1565" customWidth="1"/>
    <col min="8206" max="8446" width="9.140625" style="1565"/>
    <col min="8447" max="8447" width="4.140625" style="1565" customWidth="1"/>
    <col min="8448" max="8448" width="26.7109375" style="1565" customWidth="1"/>
    <col min="8449" max="8450" width="7.7109375" style="1565" customWidth="1"/>
    <col min="8451" max="8451" width="8.140625" style="1565" customWidth="1"/>
    <col min="8452" max="8452" width="7.5703125" style="1565" customWidth="1"/>
    <col min="8453" max="8453" width="7.42578125" style="1565" customWidth="1"/>
    <col min="8454" max="8454" width="7.5703125" style="1565" customWidth="1"/>
    <col min="8455" max="8455" width="7" style="1565" customWidth="1"/>
    <col min="8456" max="8460" width="8.140625" style="1565" customWidth="1"/>
    <col min="8461" max="8461" width="10.85546875" style="1565" customWidth="1"/>
    <col min="8462" max="8702" width="9.140625" style="1565"/>
    <col min="8703" max="8703" width="4.140625" style="1565" customWidth="1"/>
    <col min="8704" max="8704" width="26.7109375" style="1565" customWidth="1"/>
    <col min="8705" max="8706" width="7.7109375" style="1565" customWidth="1"/>
    <col min="8707" max="8707" width="8.140625" style="1565" customWidth="1"/>
    <col min="8708" max="8708" width="7.5703125" style="1565" customWidth="1"/>
    <col min="8709" max="8709" width="7.42578125" style="1565" customWidth="1"/>
    <col min="8710" max="8710" width="7.5703125" style="1565" customWidth="1"/>
    <col min="8711" max="8711" width="7" style="1565" customWidth="1"/>
    <col min="8712" max="8716" width="8.140625" style="1565" customWidth="1"/>
    <col min="8717" max="8717" width="10.85546875" style="1565" customWidth="1"/>
    <col min="8718" max="8958" width="9.140625" style="1565"/>
    <col min="8959" max="8959" width="4.140625" style="1565" customWidth="1"/>
    <col min="8960" max="8960" width="26.7109375" style="1565" customWidth="1"/>
    <col min="8961" max="8962" width="7.7109375" style="1565" customWidth="1"/>
    <col min="8963" max="8963" width="8.140625" style="1565" customWidth="1"/>
    <col min="8964" max="8964" width="7.5703125" style="1565" customWidth="1"/>
    <col min="8965" max="8965" width="7.42578125" style="1565" customWidth="1"/>
    <col min="8966" max="8966" width="7.5703125" style="1565" customWidth="1"/>
    <col min="8967" max="8967" width="7" style="1565" customWidth="1"/>
    <col min="8968" max="8972" width="8.140625" style="1565" customWidth="1"/>
    <col min="8973" max="8973" width="10.85546875" style="1565" customWidth="1"/>
    <col min="8974" max="9214" width="9.140625" style="1565"/>
    <col min="9215" max="9215" width="4.140625" style="1565" customWidth="1"/>
    <col min="9216" max="9216" width="26.7109375" style="1565" customWidth="1"/>
    <col min="9217" max="9218" width="7.7109375" style="1565" customWidth="1"/>
    <col min="9219" max="9219" width="8.140625" style="1565" customWidth="1"/>
    <col min="9220" max="9220" width="7.5703125" style="1565" customWidth="1"/>
    <col min="9221" max="9221" width="7.42578125" style="1565" customWidth="1"/>
    <col min="9222" max="9222" width="7.5703125" style="1565" customWidth="1"/>
    <col min="9223" max="9223" width="7" style="1565" customWidth="1"/>
    <col min="9224" max="9228" width="8.140625" style="1565" customWidth="1"/>
    <col min="9229" max="9229" width="10.85546875" style="1565" customWidth="1"/>
    <col min="9230" max="9470" width="9.140625" style="1565"/>
    <col min="9471" max="9471" width="4.140625" style="1565" customWidth="1"/>
    <col min="9472" max="9472" width="26.7109375" style="1565" customWidth="1"/>
    <col min="9473" max="9474" width="7.7109375" style="1565" customWidth="1"/>
    <col min="9475" max="9475" width="8.140625" style="1565" customWidth="1"/>
    <col min="9476" max="9476" width="7.5703125" style="1565" customWidth="1"/>
    <col min="9477" max="9477" width="7.42578125" style="1565" customWidth="1"/>
    <col min="9478" max="9478" width="7.5703125" style="1565" customWidth="1"/>
    <col min="9479" max="9479" width="7" style="1565" customWidth="1"/>
    <col min="9480" max="9484" width="8.140625" style="1565" customWidth="1"/>
    <col min="9485" max="9485" width="10.85546875" style="1565" customWidth="1"/>
    <col min="9486" max="9726" width="9.140625" style="1565"/>
    <col min="9727" max="9727" width="4.140625" style="1565" customWidth="1"/>
    <col min="9728" max="9728" width="26.7109375" style="1565" customWidth="1"/>
    <col min="9729" max="9730" width="7.7109375" style="1565" customWidth="1"/>
    <col min="9731" max="9731" width="8.140625" style="1565" customWidth="1"/>
    <col min="9732" max="9732" width="7.5703125" style="1565" customWidth="1"/>
    <col min="9733" max="9733" width="7.42578125" style="1565" customWidth="1"/>
    <col min="9734" max="9734" width="7.5703125" style="1565" customWidth="1"/>
    <col min="9735" max="9735" width="7" style="1565" customWidth="1"/>
    <col min="9736" max="9740" width="8.140625" style="1565" customWidth="1"/>
    <col min="9741" max="9741" width="10.85546875" style="1565" customWidth="1"/>
    <col min="9742" max="9982" width="9.140625" style="1565"/>
    <col min="9983" max="9983" width="4.140625" style="1565" customWidth="1"/>
    <col min="9984" max="9984" width="26.7109375" style="1565" customWidth="1"/>
    <col min="9985" max="9986" width="7.7109375" style="1565" customWidth="1"/>
    <col min="9987" max="9987" width="8.140625" style="1565" customWidth="1"/>
    <col min="9988" max="9988" width="7.5703125" style="1565" customWidth="1"/>
    <col min="9989" max="9989" width="7.42578125" style="1565" customWidth="1"/>
    <col min="9990" max="9990" width="7.5703125" style="1565" customWidth="1"/>
    <col min="9991" max="9991" width="7" style="1565" customWidth="1"/>
    <col min="9992" max="9996" width="8.140625" style="1565" customWidth="1"/>
    <col min="9997" max="9997" width="10.85546875" style="1565" customWidth="1"/>
    <col min="9998" max="10238" width="9.140625" style="1565"/>
    <col min="10239" max="10239" width="4.140625" style="1565" customWidth="1"/>
    <col min="10240" max="10240" width="26.7109375" style="1565" customWidth="1"/>
    <col min="10241" max="10242" width="7.7109375" style="1565" customWidth="1"/>
    <col min="10243" max="10243" width="8.140625" style="1565" customWidth="1"/>
    <col min="10244" max="10244" width="7.5703125" style="1565" customWidth="1"/>
    <col min="10245" max="10245" width="7.42578125" style="1565" customWidth="1"/>
    <col min="10246" max="10246" width="7.5703125" style="1565" customWidth="1"/>
    <col min="10247" max="10247" width="7" style="1565" customWidth="1"/>
    <col min="10248" max="10252" width="8.140625" style="1565" customWidth="1"/>
    <col min="10253" max="10253" width="10.85546875" style="1565" customWidth="1"/>
    <col min="10254" max="10494" width="9.140625" style="1565"/>
    <col min="10495" max="10495" width="4.140625" style="1565" customWidth="1"/>
    <col min="10496" max="10496" width="26.7109375" style="1565" customWidth="1"/>
    <col min="10497" max="10498" width="7.7109375" style="1565" customWidth="1"/>
    <col min="10499" max="10499" width="8.140625" style="1565" customWidth="1"/>
    <col min="10500" max="10500" width="7.5703125" style="1565" customWidth="1"/>
    <col min="10501" max="10501" width="7.42578125" style="1565" customWidth="1"/>
    <col min="10502" max="10502" width="7.5703125" style="1565" customWidth="1"/>
    <col min="10503" max="10503" width="7" style="1565" customWidth="1"/>
    <col min="10504" max="10508" width="8.140625" style="1565" customWidth="1"/>
    <col min="10509" max="10509" width="10.85546875" style="1565" customWidth="1"/>
    <col min="10510" max="10750" width="9.140625" style="1565"/>
    <col min="10751" max="10751" width="4.140625" style="1565" customWidth="1"/>
    <col min="10752" max="10752" width="26.7109375" style="1565" customWidth="1"/>
    <col min="10753" max="10754" width="7.7109375" style="1565" customWidth="1"/>
    <col min="10755" max="10755" width="8.140625" style="1565" customWidth="1"/>
    <col min="10756" max="10756" width="7.5703125" style="1565" customWidth="1"/>
    <col min="10757" max="10757" width="7.42578125" style="1565" customWidth="1"/>
    <col min="10758" max="10758" width="7.5703125" style="1565" customWidth="1"/>
    <col min="10759" max="10759" width="7" style="1565" customWidth="1"/>
    <col min="10760" max="10764" width="8.140625" style="1565" customWidth="1"/>
    <col min="10765" max="10765" width="10.85546875" style="1565" customWidth="1"/>
    <col min="10766" max="11006" width="9.140625" style="1565"/>
    <col min="11007" max="11007" width="4.140625" style="1565" customWidth="1"/>
    <col min="11008" max="11008" width="26.7109375" style="1565" customWidth="1"/>
    <col min="11009" max="11010" width="7.7109375" style="1565" customWidth="1"/>
    <col min="11011" max="11011" width="8.140625" style="1565" customWidth="1"/>
    <col min="11012" max="11012" width="7.5703125" style="1565" customWidth="1"/>
    <col min="11013" max="11013" width="7.42578125" style="1565" customWidth="1"/>
    <col min="11014" max="11014" width="7.5703125" style="1565" customWidth="1"/>
    <col min="11015" max="11015" width="7" style="1565" customWidth="1"/>
    <col min="11016" max="11020" width="8.140625" style="1565" customWidth="1"/>
    <col min="11021" max="11021" width="10.85546875" style="1565" customWidth="1"/>
    <col min="11022" max="11262" width="9.140625" style="1565"/>
    <col min="11263" max="11263" width="4.140625" style="1565" customWidth="1"/>
    <col min="11264" max="11264" width="26.7109375" style="1565" customWidth="1"/>
    <col min="11265" max="11266" width="7.7109375" style="1565" customWidth="1"/>
    <col min="11267" max="11267" width="8.140625" style="1565" customWidth="1"/>
    <col min="11268" max="11268" width="7.5703125" style="1565" customWidth="1"/>
    <col min="11269" max="11269" width="7.42578125" style="1565" customWidth="1"/>
    <col min="11270" max="11270" width="7.5703125" style="1565" customWidth="1"/>
    <col min="11271" max="11271" width="7" style="1565" customWidth="1"/>
    <col min="11272" max="11276" width="8.140625" style="1565" customWidth="1"/>
    <col min="11277" max="11277" width="10.85546875" style="1565" customWidth="1"/>
    <col min="11278" max="11518" width="9.140625" style="1565"/>
    <col min="11519" max="11519" width="4.140625" style="1565" customWidth="1"/>
    <col min="11520" max="11520" width="26.7109375" style="1565" customWidth="1"/>
    <col min="11521" max="11522" width="7.7109375" style="1565" customWidth="1"/>
    <col min="11523" max="11523" width="8.140625" style="1565" customWidth="1"/>
    <col min="11524" max="11524" width="7.5703125" style="1565" customWidth="1"/>
    <col min="11525" max="11525" width="7.42578125" style="1565" customWidth="1"/>
    <col min="11526" max="11526" width="7.5703125" style="1565" customWidth="1"/>
    <col min="11527" max="11527" width="7" style="1565" customWidth="1"/>
    <col min="11528" max="11532" width="8.140625" style="1565" customWidth="1"/>
    <col min="11533" max="11533" width="10.85546875" style="1565" customWidth="1"/>
    <col min="11534" max="11774" width="9.140625" style="1565"/>
    <col min="11775" max="11775" width="4.140625" style="1565" customWidth="1"/>
    <col min="11776" max="11776" width="26.7109375" style="1565" customWidth="1"/>
    <col min="11777" max="11778" width="7.7109375" style="1565" customWidth="1"/>
    <col min="11779" max="11779" width="8.140625" style="1565" customWidth="1"/>
    <col min="11780" max="11780" width="7.5703125" style="1565" customWidth="1"/>
    <col min="11781" max="11781" width="7.42578125" style="1565" customWidth="1"/>
    <col min="11782" max="11782" width="7.5703125" style="1565" customWidth="1"/>
    <col min="11783" max="11783" width="7" style="1565" customWidth="1"/>
    <col min="11784" max="11788" width="8.140625" style="1565" customWidth="1"/>
    <col min="11789" max="11789" width="10.85546875" style="1565" customWidth="1"/>
    <col min="11790" max="12030" width="9.140625" style="1565"/>
    <col min="12031" max="12031" width="4.140625" style="1565" customWidth="1"/>
    <col min="12032" max="12032" width="26.7109375" style="1565" customWidth="1"/>
    <col min="12033" max="12034" width="7.7109375" style="1565" customWidth="1"/>
    <col min="12035" max="12035" width="8.140625" style="1565" customWidth="1"/>
    <col min="12036" max="12036" width="7.5703125" style="1565" customWidth="1"/>
    <col min="12037" max="12037" width="7.42578125" style="1565" customWidth="1"/>
    <col min="12038" max="12038" width="7.5703125" style="1565" customWidth="1"/>
    <col min="12039" max="12039" width="7" style="1565" customWidth="1"/>
    <col min="12040" max="12044" width="8.140625" style="1565" customWidth="1"/>
    <col min="12045" max="12045" width="10.85546875" style="1565" customWidth="1"/>
    <col min="12046" max="12286" width="9.140625" style="1565"/>
    <col min="12287" max="12287" width="4.140625" style="1565" customWidth="1"/>
    <col min="12288" max="12288" width="26.7109375" style="1565" customWidth="1"/>
    <col min="12289" max="12290" width="7.7109375" style="1565" customWidth="1"/>
    <col min="12291" max="12291" width="8.140625" style="1565" customWidth="1"/>
    <col min="12292" max="12292" width="7.5703125" style="1565" customWidth="1"/>
    <col min="12293" max="12293" width="7.42578125" style="1565" customWidth="1"/>
    <col min="12294" max="12294" width="7.5703125" style="1565" customWidth="1"/>
    <col min="12295" max="12295" width="7" style="1565" customWidth="1"/>
    <col min="12296" max="12300" width="8.140625" style="1565" customWidth="1"/>
    <col min="12301" max="12301" width="10.85546875" style="1565" customWidth="1"/>
    <col min="12302" max="12542" width="9.140625" style="1565"/>
    <col min="12543" max="12543" width="4.140625" style="1565" customWidth="1"/>
    <col min="12544" max="12544" width="26.7109375" style="1565" customWidth="1"/>
    <col min="12545" max="12546" width="7.7109375" style="1565" customWidth="1"/>
    <col min="12547" max="12547" width="8.140625" style="1565" customWidth="1"/>
    <col min="12548" max="12548" width="7.5703125" style="1565" customWidth="1"/>
    <col min="12549" max="12549" width="7.42578125" style="1565" customWidth="1"/>
    <col min="12550" max="12550" width="7.5703125" style="1565" customWidth="1"/>
    <col min="12551" max="12551" width="7" style="1565" customWidth="1"/>
    <col min="12552" max="12556" width="8.140625" style="1565" customWidth="1"/>
    <col min="12557" max="12557" width="10.85546875" style="1565" customWidth="1"/>
    <col min="12558" max="12798" width="9.140625" style="1565"/>
    <col min="12799" max="12799" width="4.140625" style="1565" customWidth="1"/>
    <col min="12800" max="12800" width="26.7109375" style="1565" customWidth="1"/>
    <col min="12801" max="12802" width="7.7109375" style="1565" customWidth="1"/>
    <col min="12803" max="12803" width="8.140625" style="1565" customWidth="1"/>
    <col min="12804" max="12804" width="7.5703125" style="1565" customWidth="1"/>
    <col min="12805" max="12805" width="7.42578125" style="1565" customWidth="1"/>
    <col min="12806" max="12806" width="7.5703125" style="1565" customWidth="1"/>
    <col min="12807" max="12807" width="7" style="1565" customWidth="1"/>
    <col min="12808" max="12812" width="8.140625" style="1565" customWidth="1"/>
    <col min="12813" max="12813" width="10.85546875" style="1565" customWidth="1"/>
    <col min="12814" max="13054" width="9.140625" style="1565"/>
    <col min="13055" max="13055" width="4.140625" style="1565" customWidth="1"/>
    <col min="13056" max="13056" width="26.7109375" style="1565" customWidth="1"/>
    <col min="13057" max="13058" width="7.7109375" style="1565" customWidth="1"/>
    <col min="13059" max="13059" width="8.140625" style="1565" customWidth="1"/>
    <col min="13060" max="13060" width="7.5703125" style="1565" customWidth="1"/>
    <col min="13061" max="13061" width="7.42578125" style="1565" customWidth="1"/>
    <col min="13062" max="13062" width="7.5703125" style="1565" customWidth="1"/>
    <col min="13063" max="13063" width="7" style="1565" customWidth="1"/>
    <col min="13064" max="13068" width="8.140625" style="1565" customWidth="1"/>
    <col min="13069" max="13069" width="10.85546875" style="1565" customWidth="1"/>
    <col min="13070" max="13310" width="9.140625" style="1565"/>
    <col min="13311" max="13311" width="4.140625" style="1565" customWidth="1"/>
    <col min="13312" max="13312" width="26.7109375" style="1565" customWidth="1"/>
    <col min="13313" max="13314" width="7.7109375" style="1565" customWidth="1"/>
    <col min="13315" max="13315" width="8.140625" style="1565" customWidth="1"/>
    <col min="13316" max="13316" width="7.5703125" style="1565" customWidth="1"/>
    <col min="13317" max="13317" width="7.42578125" style="1565" customWidth="1"/>
    <col min="13318" max="13318" width="7.5703125" style="1565" customWidth="1"/>
    <col min="13319" max="13319" width="7" style="1565" customWidth="1"/>
    <col min="13320" max="13324" width="8.140625" style="1565" customWidth="1"/>
    <col min="13325" max="13325" width="10.85546875" style="1565" customWidth="1"/>
    <col min="13326" max="13566" width="9.140625" style="1565"/>
    <col min="13567" max="13567" width="4.140625" style="1565" customWidth="1"/>
    <col min="13568" max="13568" width="26.7109375" style="1565" customWidth="1"/>
    <col min="13569" max="13570" width="7.7109375" style="1565" customWidth="1"/>
    <col min="13571" max="13571" width="8.140625" style="1565" customWidth="1"/>
    <col min="13572" max="13572" width="7.5703125" style="1565" customWidth="1"/>
    <col min="13573" max="13573" width="7.42578125" style="1565" customWidth="1"/>
    <col min="13574" max="13574" width="7.5703125" style="1565" customWidth="1"/>
    <col min="13575" max="13575" width="7" style="1565" customWidth="1"/>
    <col min="13576" max="13580" width="8.140625" style="1565" customWidth="1"/>
    <col min="13581" max="13581" width="10.85546875" style="1565" customWidth="1"/>
    <col min="13582" max="13822" width="9.140625" style="1565"/>
    <col min="13823" max="13823" width="4.140625" style="1565" customWidth="1"/>
    <col min="13824" max="13824" width="26.7109375" style="1565" customWidth="1"/>
    <col min="13825" max="13826" width="7.7109375" style="1565" customWidth="1"/>
    <col min="13827" max="13827" width="8.140625" style="1565" customWidth="1"/>
    <col min="13828" max="13828" width="7.5703125" style="1565" customWidth="1"/>
    <col min="13829" max="13829" width="7.42578125" style="1565" customWidth="1"/>
    <col min="13830" max="13830" width="7.5703125" style="1565" customWidth="1"/>
    <col min="13831" max="13831" width="7" style="1565" customWidth="1"/>
    <col min="13832" max="13836" width="8.140625" style="1565" customWidth="1"/>
    <col min="13837" max="13837" width="10.85546875" style="1565" customWidth="1"/>
    <col min="13838" max="14078" width="9.140625" style="1565"/>
    <col min="14079" max="14079" width="4.140625" style="1565" customWidth="1"/>
    <col min="14080" max="14080" width="26.7109375" style="1565" customWidth="1"/>
    <col min="14081" max="14082" width="7.7109375" style="1565" customWidth="1"/>
    <col min="14083" max="14083" width="8.140625" style="1565" customWidth="1"/>
    <col min="14084" max="14084" width="7.5703125" style="1565" customWidth="1"/>
    <col min="14085" max="14085" width="7.42578125" style="1565" customWidth="1"/>
    <col min="14086" max="14086" width="7.5703125" style="1565" customWidth="1"/>
    <col min="14087" max="14087" width="7" style="1565" customWidth="1"/>
    <col min="14088" max="14092" width="8.140625" style="1565" customWidth="1"/>
    <col min="14093" max="14093" width="10.85546875" style="1565" customWidth="1"/>
    <col min="14094" max="14334" width="9.140625" style="1565"/>
    <col min="14335" max="14335" width="4.140625" style="1565" customWidth="1"/>
    <col min="14336" max="14336" width="26.7109375" style="1565" customWidth="1"/>
    <col min="14337" max="14338" width="7.7109375" style="1565" customWidth="1"/>
    <col min="14339" max="14339" width="8.140625" style="1565" customWidth="1"/>
    <col min="14340" max="14340" width="7.5703125" style="1565" customWidth="1"/>
    <col min="14341" max="14341" width="7.42578125" style="1565" customWidth="1"/>
    <col min="14342" max="14342" width="7.5703125" style="1565" customWidth="1"/>
    <col min="14343" max="14343" width="7" style="1565" customWidth="1"/>
    <col min="14344" max="14348" width="8.140625" style="1565" customWidth="1"/>
    <col min="14349" max="14349" width="10.85546875" style="1565" customWidth="1"/>
    <col min="14350" max="14590" width="9.140625" style="1565"/>
    <col min="14591" max="14591" width="4.140625" style="1565" customWidth="1"/>
    <col min="14592" max="14592" width="26.7109375" style="1565" customWidth="1"/>
    <col min="14593" max="14594" width="7.7109375" style="1565" customWidth="1"/>
    <col min="14595" max="14595" width="8.140625" style="1565" customWidth="1"/>
    <col min="14596" max="14596" width="7.5703125" style="1565" customWidth="1"/>
    <col min="14597" max="14597" width="7.42578125" style="1565" customWidth="1"/>
    <col min="14598" max="14598" width="7.5703125" style="1565" customWidth="1"/>
    <col min="14599" max="14599" width="7" style="1565" customWidth="1"/>
    <col min="14600" max="14604" width="8.140625" style="1565" customWidth="1"/>
    <col min="14605" max="14605" width="10.85546875" style="1565" customWidth="1"/>
    <col min="14606" max="14846" width="9.140625" style="1565"/>
    <col min="14847" max="14847" width="4.140625" style="1565" customWidth="1"/>
    <col min="14848" max="14848" width="26.7109375" style="1565" customWidth="1"/>
    <col min="14849" max="14850" width="7.7109375" style="1565" customWidth="1"/>
    <col min="14851" max="14851" width="8.140625" style="1565" customWidth="1"/>
    <col min="14852" max="14852" width="7.5703125" style="1565" customWidth="1"/>
    <col min="14853" max="14853" width="7.42578125" style="1565" customWidth="1"/>
    <col min="14854" max="14854" width="7.5703125" style="1565" customWidth="1"/>
    <col min="14855" max="14855" width="7" style="1565" customWidth="1"/>
    <col min="14856" max="14860" width="8.140625" style="1565" customWidth="1"/>
    <col min="14861" max="14861" width="10.85546875" style="1565" customWidth="1"/>
    <col min="14862" max="15102" width="9.140625" style="1565"/>
    <col min="15103" max="15103" width="4.140625" style="1565" customWidth="1"/>
    <col min="15104" max="15104" width="26.7109375" style="1565" customWidth="1"/>
    <col min="15105" max="15106" width="7.7109375" style="1565" customWidth="1"/>
    <col min="15107" max="15107" width="8.140625" style="1565" customWidth="1"/>
    <col min="15108" max="15108" width="7.5703125" style="1565" customWidth="1"/>
    <col min="15109" max="15109" width="7.42578125" style="1565" customWidth="1"/>
    <col min="15110" max="15110" width="7.5703125" style="1565" customWidth="1"/>
    <col min="15111" max="15111" width="7" style="1565" customWidth="1"/>
    <col min="15112" max="15116" width="8.140625" style="1565" customWidth="1"/>
    <col min="15117" max="15117" width="10.85546875" style="1565" customWidth="1"/>
    <col min="15118" max="15358" width="9.140625" style="1565"/>
    <col min="15359" max="15359" width="4.140625" style="1565" customWidth="1"/>
    <col min="15360" max="15360" width="26.7109375" style="1565" customWidth="1"/>
    <col min="15361" max="15362" width="7.7109375" style="1565" customWidth="1"/>
    <col min="15363" max="15363" width="8.140625" style="1565" customWidth="1"/>
    <col min="15364" max="15364" width="7.5703125" style="1565" customWidth="1"/>
    <col min="15365" max="15365" width="7.42578125" style="1565" customWidth="1"/>
    <col min="15366" max="15366" width="7.5703125" style="1565" customWidth="1"/>
    <col min="15367" max="15367" width="7" style="1565" customWidth="1"/>
    <col min="15368" max="15372" width="8.140625" style="1565" customWidth="1"/>
    <col min="15373" max="15373" width="10.85546875" style="1565" customWidth="1"/>
    <col min="15374" max="15614" width="9.140625" style="1565"/>
    <col min="15615" max="15615" width="4.140625" style="1565" customWidth="1"/>
    <col min="15616" max="15616" width="26.7109375" style="1565" customWidth="1"/>
    <col min="15617" max="15618" width="7.7109375" style="1565" customWidth="1"/>
    <col min="15619" max="15619" width="8.140625" style="1565" customWidth="1"/>
    <col min="15620" max="15620" width="7.5703125" style="1565" customWidth="1"/>
    <col min="15621" max="15621" width="7.42578125" style="1565" customWidth="1"/>
    <col min="15622" max="15622" width="7.5703125" style="1565" customWidth="1"/>
    <col min="15623" max="15623" width="7" style="1565" customWidth="1"/>
    <col min="15624" max="15628" width="8.140625" style="1565" customWidth="1"/>
    <col min="15629" max="15629" width="10.85546875" style="1565" customWidth="1"/>
    <col min="15630" max="15870" width="9.140625" style="1565"/>
    <col min="15871" max="15871" width="4.140625" style="1565" customWidth="1"/>
    <col min="15872" max="15872" width="26.7109375" style="1565" customWidth="1"/>
    <col min="15873" max="15874" width="7.7109375" style="1565" customWidth="1"/>
    <col min="15875" max="15875" width="8.140625" style="1565" customWidth="1"/>
    <col min="15876" max="15876" width="7.5703125" style="1565" customWidth="1"/>
    <col min="15877" max="15877" width="7.42578125" style="1565" customWidth="1"/>
    <col min="15878" max="15878" width="7.5703125" style="1565" customWidth="1"/>
    <col min="15879" max="15879" width="7" style="1565" customWidth="1"/>
    <col min="15880" max="15884" width="8.140625" style="1565" customWidth="1"/>
    <col min="15885" max="15885" width="10.85546875" style="1565" customWidth="1"/>
    <col min="15886" max="16126" width="9.140625" style="1565"/>
    <col min="16127" max="16127" width="4.140625" style="1565" customWidth="1"/>
    <col min="16128" max="16128" width="26.7109375" style="1565" customWidth="1"/>
    <col min="16129" max="16130" width="7.7109375" style="1565" customWidth="1"/>
    <col min="16131" max="16131" width="8.140625" style="1565" customWidth="1"/>
    <col min="16132" max="16132" width="7.5703125" style="1565" customWidth="1"/>
    <col min="16133" max="16133" width="7.42578125" style="1565" customWidth="1"/>
    <col min="16134" max="16134" width="7.5703125" style="1565" customWidth="1"/>
    <col min="16135" max="16135" width="7" style="1565" customWidth="1"/>
    <col min="16136" max="16140" width="8.140625" style="1565" customWidth="1"/>
    <col min="16141" max="16141" width="10.85546875" style="1565" customWidth="1"/>
    <col min="16142" max="16384" width="9.140625" style="1565"/>
  </cols>
  <sheetData>
    <row r="1" spans="1:17" ht="31.5" customHeight="1" x14ac:dyDescent="0.25">
      <c r="A1" s="1891" t="s">
        <v>1167</v>
      </c>
      <c r="B1" s="1892"/>
      <c r="C1" s="1892"/>
      <c r="D1" s="1892"/>
      <c r="E1" s="1892"/>
      <c r="F1" s="1892"/>
      <c r="G1" s="1892"/>
      <c r="H1" s="1892"/>
      <c r="I1" s="1892"/>
      <c r="J1" s="1892"/>
      <c r="K1" s="1892"/>
      <c r="L1" s="1892"/>
      <c r="M1" s="1892"/>
      <c r="N1" s="1892"/>
      <c r="O1" s="1892"/>
    </row>
    <row r="2" spans="1:17" ht="16.5" thickBot="1" x14ac:dyDescent="0.3">
      <c r="O2" s="1567" t="s">
        <v>654</v>
      </c>
    </row>
    <row r="3" spans="1:17" s="1566" customFormat="1" ht="26.1" customHeight="1" thickBot="1" x14ac:dyDescent="0.3">
      <c r="A3" s="1568" t="s">
        <v>1148</v>
      </c>
      <c r="B3" s="1569" t="s">
        <v>649</v>
      </c>
      <c r="C3" s="1569" t="s">
        <v>1149</v>
      </c>
      <c r="D3" s="1569" t="s">
        <v>1150</v>
      </c>
      <c r="E3" s="1569" t="s">
        <v>1151</v>
      </c>
      <c r="F3" s="1569" t="s">
        <v>1152</v>
      </c>
      <c r="G3" s="1569" t="s">
        <v>1153</v>
      </c>
      <c r="H3" s="1569" t="s">
        <v>1154</v>
      </c>
      <c r="I3" s="1569" t="s">
        <v>1155</v>
      </c>
      <c r="J3" s="1569" t="s">
        <v>1156</v>
      </c>
      <c r="K3" s="1569" t="s">
        <v>1157</v>
      </c>
      <c r="L3" s="1569" t="s">
        <v>1158</v>
      </c>
      <c r="M3" s="1569" t="s">
        <v>1159</v>
      </c>
      <c r="N3" s="1569" t="s">
        <v>1160</v>
      </c>
      <c r="O3" s="1570" t="s">
        <v>1135</v>
      </c>
      <c r="P3" s="1571"/>
      <c r="Q3" s="1571"/>
    </row>
    <row r="4" spans="1:17" s="1574" customFormat="1" ht="15" customHeight="1" thickBot="1" x14ac:dyDescent="0.3">
      <c r="A4" s="1572" t="s">
        <v>696</v>
      </c>
      <c r="B4" s="1893" t="s">
        <v>657</v>
      </c>
      <c r="C4" s="1894"/>
      <c r="D4" s="1894"/>
      <c r="E4" s="1894"/>
      <c r="F4" s="1894"/>
      <c r="G4" s="1894"/>
      <c r="H4" s="1894"/>
      <c r="I4" s="1894"/>
      <c r="J4" s="1894"/>
      <c r="K4" s="1894"/>
      <c r="L4" s="1894"/>
      <c r="M4" s="1894"/>
      <c r="N4" s="1894"/>
      <c r="O4" s="1895"/>
      <c r="P4" s="1573"/>
      <c r="Q4" s="1573"/>
    </row>
    <row r="5" spans="1:17" s="1574" customFormat="1" ht="22.5" x14ac:dyDescent="0.25">
      <c r="A5" s="1575" t="s">
        <v>710</v>
      </c>
      <c r="B5" s="1576" t="s">
        <v>990</v>
      </c>
      <c r="C5" s="1577">
        <v>14586424</v>
      </c>
      <c r="D5" s="1577">
        <v>14586424</v>
      </c>
      <c r="E5" s="1577">
        <v>14586424</v>
      </c>
      <c r="F5" s="1577">
        <v>14586424</v>
      </c>
      <c r="G5" s="1577">
        <v>14586424</v>
      </c>
      <c r="H5" s="1577">
        <v>14586424</v>
      </c>
      <c r="I5" s="1577">
        <v>14586424</v>
      </c>
      <c r="J5" s="1577">
        <v>14586424</v>
      </c>
      <c r="K5" s="1577">
        <v>14586424</v>
      </c>
      <c r="L5" s="1577">
        <v>14586424</v>
      </c>
      <c r="M5" s="1577">
        <v>14586424</v>
      </c>
      <c r="N5" s="1577">
        <v>14586422</v>
      </c>
      <c r="O5" s="1578">
        <f t="shared" ref="O5:O14" si="0">SUM(C5:N5)</f>
        <v>175037086</v>
      </c>
      <c r="P5" s="1573"/>
      <c r="Q5" s="1573"/>
    </row>
    <row r="6" spans="1:17" s="1584" customFormat="1" ht="22.5" x14ac:dyDescent="0.25">
      <c r="A6" s="1579" t="s">
        <v>724</v>
      </c>
      <c r="B6" s="1580" t="s">
        <v>1161</v>
      </c>
      <c r="C6" s="1581">
        <v>483300</v>
      </c>
      <c r="D6" s="1581">
        <v>483300</v>
      </c>
      <c r="E6" s="1581">
        <v>483300</v>
      </c>
      <c r="F6" s="1581">
        <v>689767</v>
      </c>
      <c r="G6" s="1581">
        <v>689767</v>
      </c>
      <c r="H6" s="1581">
        <v>689767</v>
      </c>
      <c r="I6" s="1581">
        <v>689767</v>
      </c>
      <c r="J6" s="1581">
        <v>689767</v>
      </c>
      <c r="K6" s="1581">
        <v>689767</v>
      </c>
      <c r="L6" s="1581">
        <v>689767</v>
      </c>
      <c r="M6" s="1581">
        <v>689767</v>
      </c>
      <c r="N6" s="1581">
        <v>689764</v>
      </c>
      <c r="O6" s="1582">
        <f t="shared" si="0"/>
        <v>7657800</v>
      </c>
      <c r="P6" s="1583"/>
      <c r="Q6" s="1583"/>
    </row>
    <row r="7" spans="1:17" s="1584" customFormat="1" ht="22.5" x14ac:dyDescent="0.25">
      <c r="A7" s="1579" t="s">
        <v>900</v>
      </c>
      <c r="B7" s="1585" t="s">
        <v>1162</v>
      </c>
      <c r="C7" s="1586"/>
      <c r="D7" s="1586"/>
      <c r="E7" s="1586"/>
      <c r="F7" s="1586"/>
      <c r="G7" s="1586"/>
      <c r="H7" s="1586"/>
      <c r="I7" s="1586"/>
      <c r="J7" s="1586"/>
      <c r="K7" s="1586"/>
      <c r="L7" s="1586"/>
      <c r="M7" s="1586"/>
      <c r="N7" s="1586"/>
      <c r="O7" s="1587">
        <f t="shared" si="0"/>
        <v>0</v>
      </c>
      <c r="P7" s="1583"/>
      <c r="Q7" s="1583"/>
    </row>
    <row r="8" spans="1:17" s="1584" customFormat="1" ht="14.1" customHeight="1" x14ac:dyDescent="0.25">
      <c r="A8" s="1579" t="s">
        <v>753</v>
      </c>
      <c r="B8" s="1588" t="s">
        <v>250</v>
      </c>
      <c r="C8" s="1581">
        <v>3657600</v>
      </c>
      <c r="D8" s="1581">
        <v>3657600</v>
      </c>
      <c r="E8" s="1581">
        <v>27432000</v>
      </c>
      <c r="F8" s="1581">
        <v>3657600</v>
      </c>
      <c r="G8" s="1581">
        <v>3657600</v>
      </c>
      <c r="H8" s="1581">
        <v>3657600</v>
      </c>
      <c r="I8" s="1581">
        <v>3657600</v>
      </c>
      <c r="J8" s="1581">
        <v>3657600</v>
      </c>
      <c r="K8" s="1581">
        <v>27432000</v>
      </c>
      <c r="L8" s="1581">
        <v>3657600</v>
      </c>
      <c r="M8" s="1581">
        <v>3657600</v>
      </c>
      <c r="N8" s="1581">
        <v>3657600</v>
      </c>
      <c r="O8" s="1582">
        <f t="shared" si="0"/>
        <v>91440000</v>
      </c>
      <c r="P8" s="1583"/>
      <c r="Q8" s="1583"/>
    </row>
    <row r="9" spans="1:17" s="1584" customFormat="1" ht="14.1" customHeight="1" x14ac:dyDescent="0.25">
      <c r="A9" s="1579" t="s">
        <v>775</v>
      </c>
      <c r="B9" s="1588" t="s">
        <v>79</v>
      </c>
      <c r="C9" s="1581">
        <v>3341216</v>
      </c>
      <c r="D9" s="1581">
        <v>3341216</v>
      </c>
      <c r="E9" s="1581">
        <v>3341216</v>
      </c>
      <c r="F9" s="1581">
        <v>3341220</v>
      </c>
      <c r="G9" s="1581">
        <v>3341216</v>
      </c>
      <c r="H9" s="1581">
        <v>4245954</v>
      </c>
      <c r="I9" s="1581">
        <v>3341216</v>
      </c>
      <c r="J9" s="1581">
        <v>3341220</v>
      </c>
      <c r="K9" s="1581">
        <v>3341216</v>
      </c>
      <c r="L9" s="1581">
        <v>3341216</v>
      </c>
      <c r="M9" s="1581">
        <v>3341216</v>
      </c>
      <c r="N9" s="1581">
        <v>3341216</v>
      </c>
      <c r="O9" s="1582">
        <f t="shared" si="0"/>
        <v>40999338</v>
      </c>
      <c r="P9" s="1583"/>
      <c r="Q9" s="1583"/>
    </row>
    <row r="10" spans="1:17" s="1584" customFormat="1" ht="14.1" customHeight="1" x14ac:dyDescent="0.25">
      <c r="A10" s="1579" t="s">
        <v>911</v>
      </c>
      <c r="B10" s="1588" t="s">
        <v>149</v>
      </c>
      <c r="C10" s="1581"/>
      <c r="D10" s="1581"/>
      <c r="E10" s="1581"/>
      <c r="F10" s="1581"/>
      <c r="G10" s="1581"/>
      <c r="H10" s="1581">
        <v>152362</v>
      </c>
      <c r="I10" s="1581"/>
      <c r="J10" s="1581"/>
      <c r="K10" s="1581"/>
      <c r="L10" s="1581"/>
      <c r="M10" s="1581"/>
      <c r="N10" s="1581"/>
      <c r="O10" s="1582">
        <f t="shared" si="0"/>
        <v>152362</v>
      </c>
      <c r="P10" s="1583"/>
      <c r="Q10" s="1583"/>
    </row>
    <row r="11" spans="1:17" s="1584" customFormat="1" ht="14.1" customHeight="1" x14ac:dyDescent="0.25">
      <c r="A11" s="1579" t="s">
        <v>796</v>
      </c>
      <c r="B11" s="1588" t="s">
        <v>960</v>
      </c>
      <c r="C11" s="1581"/>
      <c r="D11" s="1581"/>
      <c r="E11" s="1581"/>
      <c r="F11" s="1581"/>
      <c r="G11" s="1581"/>
      <c r="H11" s="1581"/>
      <c r="I11" s="1581"/>
      <c r="J11" s="1581"/>
      <c r="K11" s="1581"/>
      <c r="L11" s="1581"/>
      <c r="M11" s="1581"/>
      <c r="N11" s="1581"/>
      <c r="O11" s="1582">
        <f t="shared" si="0"/>
        <v>0</v>
      </c>
      <c r="P11" s="1583"/>
      <c r="Q11" s="1583"/>
    </row>
    <row r="12" spans="1:17" s="1584" customFormat="1" ht="22.5" x14ac:dyDescent="0.25">
      <c r="A12" s="1579" t="s">
        <v>806</v>
      </c>
      <c r="B12" s="1580" t="s">
        <v>961</v>
      </c>
      <c r="C12" s="1581"/>
      <c r="D12" s="1581"/>
      <c r="E12" s="1581"/>
      <c r="F12" s="1581"/>
      <c r="G12" s="1581"/>
      <c r="H12" s="1581"/>
      <c r="I12" s="1581"/>
      <c r="J12" s="1581"/>
      <c r="K12" s="1581"/>
      <c r="L12" s="1581"/>
      <c r="M12" s="1581"/>
      <c r="N12" s="1581"/>
      <c r="O12" s="1582">
        <f t="shared" si="0"/>
        <v>0</v>
      </c>
      <c r="P12" s="1583"/>
      <c r="Q12" s="1583"/>
    </row>
    <row r="13" spans="1:17" s="1584" customFormat="1" ht="14.1" customHeight="1" thickBot="1" x14ac:dyDescent="0.3">
      <c r="A13" s="1579" t="s">
        <v>923</v>
      </c>
      <c r="B13" s="1588" t="s">
        <v>132</v>
      </c>
      <c r="C13" s="1581">
        <v>97354513</v>
      </c>
      <c r="D13" s="1581"/>
      <c r="E13" s="1581"/>
      <c r="F13" s="1581"/>
      <c r="G13" s="1581"/>
      <c r="H13" s="1581"/>
      <c r="I13" s="1581"/>
      <c r="J13" s="1581"/>
      <c r="K13" s="1581"/>
      <c r="L13" s="1581"/>
      <c r="M13" s="1581"/>
      <c r="N13" s="1581"/>
      <c r="O13" s="1582">
        <f t="shared" si="0"/>
        <v>97354513</v>
      </c>
      <c r="P13" s="1583"/>
      <c r="Q13" s="1583"/>
    </row>
    <row r="14" spans="1:17" s="1574" customFormat="1" ht="15.95" customHeight="1" thickBot="1" x14ac:dyDescent="0.3">
      <c r="A14" s="1572" t="s">
        <v>996</v>
      </c>
      <c r="B14" s="1589" t="s">
        <v>1163</v>
      </c>
      <c r="C14" s="1590">
        <f t="shared" ref="C14:N14" si="1">SUM(C5:C13)</f>
        <v>119423053</v>
      </c>
      <c r="D14" s="1590">
        <f t="shared" si="1"/>
        <v>22068540</v>
      </c>
      <c r="E14" s="1590">
        <f t="shared" si="1"/>
        <v>45842940</v>
      </c>
      <c r="F14" s="1590">
        <f t="shared" si="1"/>
        <v>22275011</v>
      </c>
      <c r="G14" s="1590">
        <f t="shared" si="1"/>
        <v>22275007</v>
      </c>
      <c r="H14" s="1590">
        <f t="shared" si="1"/>
        <v>23332107</v>
      </c>
      <c r="I14" s="1590">
        <f t="shared" si="1"/>
        <v>22275007</v>
      </c>
      <c r="J14" s="1590">
        <f t="shared" si="1"/>
        <v>22275011</v>
      </c>
      <c r="K14" s="1590">
        <f t="shared" si="1"/>
        <v>46049407</v>
      </c>
      <c r="L14" s="1590">
        <f t="shared" si="1"/>
        <v>22275007</v>
      </c>
      <c r="M14" s="1590">
        <f t="shared" si="1"/>
        <v>22275007</v>
      </c>
      <c r="N14" s="1590">
        <f t="shared" si="1"/>
        <v>22275002</v>
      </c>
      <c r="O14" s="1591">
        <f t="shared" si="0"/>
        <v>412641099</v>
      </c>
      <c r="P14" s="1573"/>
      <c r="Q14" s="1573"/>
    </row>
    <row r="15" spans="1:17" s="1574" customFormat="1" ht="15" customHeight="1" thickBot="1" x14ac:dyDescent="0.3">
      <c r="A15" s="1572" t="s">
        <v>997</v>
      </c>
      <c r="B15" s="1893" t="s">
        <v>856</v>
      </c>
      <c r="C15" s="1894"/>
      <c r="D15" s="1894"/>
      <c r="E15" s="1894"/>
      <c r="F15" s="1894"/>
      <c r="G15" s="1894"/>
      <c r="H15" s="1894"/>
      <c r="I15" s="1894"/>
      <c r="J15" s="1894"/>
      <c r="K15" s="1894"/>
      <c r="L15" s="1894"/>
      <c r="M15" s="1894"/>
      <c r="N15" s="1894"/>
      <c r="O15" s="1895"/>
      <c r="P15" s="1573"/>
      <c r="Q15" s="1573"/>
    </row>
    <row r="16" spans="1:17" s="1584" customFormat="1" ht="14.1" customHeight="1" x14ac:dyDescent="0.25">
      <c r="A16" s="1592" t="s">
        <v>998</v>
      </c>
      <c r="B16" s="1593" t="s">
        <v>20</v>
      </c>
      <c r="C16" s="1586">
        <v>12934092</v>
      </c>
      <c r="D16" s="1586">
        <v>12934092</v>
      </c>
      <c r="E16" s="1586">
        <v>12934092</v>
      </c>
      <c r="F16" s="1586">
        <v>12934092</v>
      </c>
      <c r="G16" s="1586">
        <v>12934092</v>
      </c>
      <c r="H16" s="1586">
        <v>12934092</v>
      </c>
      <c r="I16" s="1586">
        <v>12934092</v>
      </c>
      <c r="J16" s="1586">
        <v>12934092</v>
      </c>
      <c r="K16" s="1586">
        <v>12934092</v>
      </c>
      <c r="L16" s="1586">
        <v>12934092</v>
      </c>
      <c r="M16" s="1586">
        <v>12934092</v>
      </c>
      <c r="N16" s="1586">
        <v>12934089</v>
      </c>
      <c r="O16" s="1587">
        <f t="shared" ref="O16:O26" si="2">SUM(C16:N16)</f>
        <v>155209101</v>
      </c>
      <c r="P16" s="1583"/>
      <c r="Q16" s="1583"/>
    </row>
    <row r="17" spans="1:17" s="1584" customFormat="1" ht="27" customHeight="1" x14ac:dyDescent="0.25">
      <c r="A17" s="1579" t="s">
        <v>1001</v>
      </c>
      <c r="B17" s="1580" t="s">
        <v>25</v>
      </c>
      <c r="C17" s="1581">
        <v>2449854</v>
      </c>
      <c r="D17" s="1581">
        <v>2449854</v>
      </c>
      <c r="E17" s="1581">
        <v>2449854</v>
      </c>
      <c r="F17" s="1581">
        <v>2449854</v>
      </c>
      <c r="G17" s="1581">
        <v>2449854</v>
      </c>
      <c r="H17" s="1581">
        <v>2449854</v>
      </c>
      <c r="I17" s="1581">
        <v>2449854</v>
      </c>
      <c r="J17" s="1581">
        <v>2449854</v>
      </c>
      <c r="K17" s="1581">
        <v>2449854</v>
      </c>
      <c r="L17" s="1581">
        <v>2449854</v>
      </c>
      <c r="M17" s="1581">
        <v>2449854</v>
      </c>
      <c r="N17" s="1581">
        <v>2449854</v>
      </c>
      <c r="O17" s="1582">
        <f t="shared" si="2"/>
        <v>29398248</v>
      </c>
      <c r="P17" s="1583"/>
      <c r="Q17" s="1583"/>
    </row>
    <row r="18" spans="1:17" s="1584" customFormat="1" ht="14.1" customHeight="1" x14ac:dyDescent="0.25">
      <c r="A18" s="1579" t="s">
        <v>1004</v>
      </c>
      <c r="B18" s="1588" t="s">
        <v>859</v>
      </c>
      <c r="C18" s="1581">
        <v>7776702</v>
      </c>
      <c r="D18" s="1581">
        <v>7776702</v>
      </c>
      <c r="E18" s="1581">
        <v>7776702</v>
      </c>
      <c r="F18" s="1581">
        <v>7776702</v>
      </c>
      <c r="G18" s="1581">
        <v>7776702</v>
      </c>
      <c r="H18" s="1581">
        <v>8198802</v>
      </c>
      <c r="I18" s="1581">
        <v>7776702</v>
      </c>
      <c r="J18" s="1581">
        <v>7776702</v>
      </c>
      <c r="K18" s="1581">
        <v>7776702</v>
      </c>
      <c r="L18" s="1581">
        <v>7776702</v>
      </c>
      <c r="M18" s="1581">
        <v>7776702</v>
      </c>
      <c r="N18" s="1581">
        <v>7776705</v>
      </c>
      <c r="O18" s="1582">
        <f t="shared" si="2"/>
        <v>93742527</v>
      </c>
      <c r="P18" s="1583"/>
      <c r="Q18" s="1583"/>
    </row>
    <row r="19" spans="1:17" s="1584" customFormat="1" ht="14.1" customHeight="1" x14ac:dyDescent="0.25">
      <c r="A19" s="1579" t="s">
        <v>1007</v>
      </c>
      <c r="B19" s="1588" t="s">
        <v>216</v>
      </c>
      <c r="C19" s="1581">
        <v>5000</v>
      </c>
      <c r="D19" s="1581">
        <v>10000</v>
      </c>
      <c r="E19" s="1581">
        <v>1003000</v>
      </c>
      <c r="F19" s="1581">
        <v>5000</v>
      </c>
      <c r="G19" s="1581">
        <v>10000</v>
      </c>
      <c r="H19" s="1581">
        <v>5000</v>
      </c>
      <c r="I19" s="1581">
        <v>10000</v>
      </c>
      <c r="J19" s="1581">
        <v>10000</v>
      </c>
      <c r="K19" s="1581">
        <v>800000</v>
      </c>
      <c r="L19" s="1581">
        <v>400000</v>
      </c>
      <c r="M19" s="1581"/>
      <c r="N19" s="1581">
        <v>500000</v>
      </c>
      <c r="O19" s="1582">
        <f t="shared" si="2"/>
        <v>2758000</v>
      </c>
      <c r="P19" s="1583"/>
      <c r="Q19" s="1583"/>
    </row>
    <row r="20" spans="1:17" s="1584" customFormat="1" ht="14.1" customHeight="1" x14ac:dyDescent="0.25">
      <c r="A20" s="1579" t="s">
        <v>1010</v>
      </c>
      <c r="B20" s="1588" t="s">
        <v>1164</v>
      </c>
      <c r="C20" s="1581"/>
      <c r="D20" s="1581"/>
      <c r="E20" s="1581">
        <v>7000000</v>
      </c>
      <c r="F20" s="1581"/>
      <c r="G20" s="1581">
        <v>4255000</v>
      </c>
      <c r="H20" s="1581"/>
      <c r="I20" s="1581">
        <v>500000</v>
      </c>
      <c r="J20" s="1581"/>
      <c r="K20" s="1581">
        <v>5000000</v>
      </c>
      <c r="L20" s="1581">
        <v>240000</v>
      </c>
      <c r="M20" s="1581">
        <v>500000</v>
      </c>
      <c r="N20" s="1581">
        <v>1000000</v>
      </c>
      <c r="O20" s="1582">
        <f t="shared" si="2"/>
        <v>18495000</v>
      </c>
      <c r="P20" s="1583"/>
      <c r="Q20" s="1583"/>
    </row>
    <row r="21" spans="1:17" s="1584" customFormat="1" ht="14.1" customHeight="1" x14ac:dyDescent="0.25">
      <c r="A21" s="1579" t="s">
        <v>1013</v>
      </c>
      <c r="B21" s="1588" t="s">
        <v>63</v>
      </c>
      <c r="C21" s="1581"/>
      <c r="D21" s="1581"/>
      <c r="E21" s="1581"/>
      <c r="F21" s="1581"/>
      <c r="G21" s="1581">
        <v>1622552</v>
      </c>
      <c r="H21" s="1581"/>
      <c r="I21" s="1581"/>
      <c r="J21" s="1581">
        <v>1080490</v>
      </c>
      <c r="K21" s="1581">
        <v>2176750</v>
      </c>
      <c r="L21" s="1581">
        <v>428500</v>
      </c>
      <c r="M21" s="1581"/>
      <c r="N21" s="1581"/>
      <c r="O21" s="1582">
        <f t="shared" si="2"/>
        <v>5308292</v>
      </c>
      <c r="P21" s="1583"/>
      <c r="Q21" s="1583"/>
    </row>
    <row r="22" spans="1:17" s="1584" customFormat="1" x14ac:dyDescent="0.25">
      <c r="A22" s="1579" t="s">
        <v>1016</v>
      </c>
      <c r="B22" s="1580" t="s">
        <v>153</v>
      </c>
      <c r="C22" s="1581"/>
      <c r="D22" s="1581"/>
      <c r="E22" s="1581">
        <v>13077465</v>
      </c>
      <c r="F22" s="1581"/>
      <c r="G22" s="1581">
        <v>13077465</v>
      </c>
      <c r="H22" s="1581">
        <v>1296494</v>
      </c>
      <c r="I22" s="1581"/>
      <c r="J22" s="1581">
        <v>13077465</v>
      </c>
      <c r="K22" s="1581"/>
      <c r="L22" s="1581">
        <v>12676467</v>
      </c>
      <c r="M22" s="1581"/>
      <c r="N22" s="1581"/>
      <c r="O22" s="1582">
        <f t="shared" si="2"/>
        <v>53205356</v>
      </c>
      <c r="P22" s="1583"/>
      <c r="Q22" s="1583"/>
    </row>
    <row r="23" spans="1:17" s="1584" customFormat="1" ht="14.1" customHeight="1" x14ac:dyDescent="0.25">
      <c r="A23" s="1579" t="s">
        <v>1019</v>
      </c>
      <c r="B23" s="1588" t="s">
        <v>883</v>
      </c>
      <c r="C23" s="1581"/>
      <c r="D23" s="1581"/>
      <c r="E23" s="1581"/>
      <c r="F23" s="1581"/>
      <c r="G23" s="1581"/>
      <c r="H23" s="1581"/>
      <c r="I23" s="1581"/>
      <c r="J23" s="1581"/>
      <c r="K23" s="1581"/>
      <c r="L23" s="1581"/>
      <c r="M23" s="1581"/>
      <c r="N23" s="1581"/>
      <c r="O23" s="1582">
        <f t="shared" si="2"/>
        <v>0</v>
      </c>
      <c r="P23" s="1583"/>
      <c r="Q23" s="1583"/>
    </row>
    <row r="24" spans="1:17" s="1584" customFormat="1" ht="14.1" customHeight="1" x14ac:dyDescent="0.25">
      <c r="A24" s="1579" t="s">
        <v>1022</v>
      </c>
      <c r="B24" s="1588" t="s">
        <v>994</v>
      </c>
      <c r="C24" s="1581">
        <v>42149499</v>
      </c>
      <c r="D24" s="1581"/>
      <c r="E24" s="1581"/>
      <c r="F24" s="1581"/>
      <c r="G24" s="1581"/>
      <c r="H24" s="1581"/>
      <c r="I24" s="1581"/>
      <c r="J24" s="1581"/>
      <c r="K24" s="1581"/>
      <c r="L24" s="1581"/>
      <c r="M24" s="1581"/>
      <c r="N24" s="1581">
        <v>5661481</v>
      </c>
      <c r="O24" s="1582">
        <f t="shared" si="2"/>
        <v>47810980</v>
      </c>
      <c r="P24" s="1583"/>
      <c r="Q24" s="1583"/>
    </row>
    <row r="25" spans="1:17" s="1584" customFormat="1" ht="14.1" customHeight="1" thickBot="1" x14ac:dyDescent="0.3">
      <c r="A25" s="1579" t="s">
        <v>1025</v>
      </c>
      <c r="B25" s="1588" t="s">
        <v>138</v>
      </c>
      <c r="C25" s="1581">
        <v>6713595</v>
      </c>
      <c r="D25" s="1581"/>
      <c r="E25" s="1581"/>
      <c r="F25" s="1581"/>
      <c r="G25" s="1581"/>
      <c r="H25" s="1581"/>
      <c r="I25" s="1581"/>
      <c r="J25" s="1581"/>
      <c r="K25" s="1581"/>
      <c r="L25" s="1581"/>
      <c r="M25" s="1581"/>
      <c r="N25" s="1581"/>
      <c r="O25" s="1582">
        <f t="shared" si="2"/>
        <v>6713595</v>
      </c>
      <c r="P25" s="1583"/>
      <c r="Q25" s="1583"/>
    </row>
    <row r="26" spans="1:17" s="1574" customFormat="1" ht="15.95" customHeight="1" thickBot="1" x14ac:dyDescent="0.3">
      <c r="A26" s="1579" t="s">
        <v>1028</v>
      </c>
      <c r="B26" s="1589" t="s">
        <v>1165</v>
      </c>
      <c r="C26" s="1590">
        <f t="shared" ref="C26:N26" si="3">SUM(C16:C25)</f>
        <v>72028742</v>
      </c>
      <c r="D26" s="1590">
        <f t="shared" si="3"/>
        <v>23170648</v>
      </c>
      <c r="E26" s="1590">
        <f t="shared" si="3"/>
        <v>44241113</v>
      </c>
      <c r="F26" s="1590">
        <f t="shared" si="3"/>
        <v>23165648</v>
      </c>
      <c r="G26" s="1590">
        <f t="shared" si="3"/>
        <v>42125665</v>
      </c>
      <c r="H26" s="1590">
        <f t="shared" si="3"/>
        <v>24884242</v>
      </c>
      <c r="I26" s="1590">
        <f t="shared" si="3"/>
        <v>23670648</v>
      </c>
      <c r="J26" s="1590">
        <f t="shared" si="3"/>
        <v>37328603</v>
      </c>
      <c r="K26" s="1590">
        <f t="shared" si="3"/>
        <v>31137398</v>
      </c>
      <c r="L26" s="1590">
        <f t="shared" si="3"/>
        <v>36905615</v>
      </c>
      <c r="M26" s="1590">
        <f t="shared" si="3"/>
        <v>23660648</v>
      </c>
      <c r="N26" s="1590">
        <f t="shared" si="3"/>
        <v>30322129</v>
      </c>
      <c r="O26" s="1591">
        <f t="shared" si="2"/>
        <v>412641099</v>
      </c>
      <c r="P26" s="1573"/>
      <c r="Q26" s="1573"/>
    </row>
    <row r="27" spans="1:17" ht="16.5" thickBot="1" x14ac:dyDescent="0.3">
      <c r="A27" s="1579" t="s">
        <v>1031</v>
      </c>
      <c r="B27" s="1594" t="s">
        <v>1166</v>
      </c>
      <c r="C27" s="1595">
        <f t="shared" ref="C27:O27" si="4">C14-C26</f>
        <v>47394311</v>
      </c>
      <c r="D27" s="1595">
        <f t="shared" si="4"/>
        <v>-1102108</v>
      </c>
      <c r="E27" s="1595">
        <f t="shared" si="4"/>
        <v>1601827</v>
      </c>
      <c r="F27" s="1595">
        <f t="shared" si="4"/>
        <v>-890637</v>
      </c>
      <c r="G27" s="1595">
        <f t="shared" si="4"/>
        <v>-19850658</v>
      </c>
      <c r="H27" s="1595">
        <f t="shared" si="4"/>
        <v>-1552135</v>
      </c>
      <c r="I27" s="1595">
        <f t="shared" si="4"/>
        <v>-1395641</v>
      </c>
      <c r="J27" s="1595">
        <f t="shared" si="4"/>
        <v>-15053592</v>
      </c>
      <c r="K27" s="1595">
        <f t="shared" si="4"/>
        <v>14912009</v>
      </c>
      <c r="L27" s="1595">
        <f t="shared" si="4"/>
        <v>-14630608</v>
      </c>
      <c r="M27" s="1595">
        <f t="shared" si="4"/>
        <v>-1385641</v>
      </c>
      <c r="N27" s="1595"/>
      <c r="O27" s="1596">
        <f t="shared" si="4"/>
        <v>0</v>
      </c>
    </row>
    <row r="28" spans="1:17" x14ac:dyDescent="0.25">
      <c r="A28" s="1597"/>
    </row>
    <row r="29" spans="1:17" x14ac:dyDescent="0.25">
      <c r="B29" s="1598"/>
      <c r="C29" s="1599"/>
      <c r="D29" s="1599"/>
      <c r="O29" s="1565"/>
    </row>
    <row r="30" spans="1:17" x14ac:dyDescent="0.25">
      <c r="O30" s="1565"/>
    </row>
    <row r="31" spans="1:17" x14ac:dyDescent="0.25">
      <c r="O31" s="1565"/>
    </row>
    <row r="32" spans="1:17" x14ac:dyDescent="0.25">
      <c r="O32" s="1565"/>
    </row>
    <row r="33" spans="15:15" x14ac:dyDescent="0.25">
      <c r="O33" s="1565"/>
    </row>
    <row r="34" spans="15:15" x14ac:dyDescent="0.25">
      <c r="O34" s="1565"/>
    </row>
    <row r="35" spans="15:15" x14ac:dyDescent="0.25">
      <c r="O35" s="1565"/>
    </row>
    <row r="36" spans="15:15" x14ac:dyDescent="0.25">
      <c r="O36" s="1565"/>
    </row>
    <row r="37" spans="15:15" x14ac:dyDescent="0.25">
      <c r="O37" s="1565"/>
    </row>
    <row r="38" spans="15:15" x14ac:dyDescent="0.25">
      <c r="O38" s="1565"/>
    </row>
    <row r="39" spans="15:15" x14ac:dyDescent="0.25">
      <c r="O39" s="1565"/>
    </row>
    <row r="40" spans="15:15" x14ac:dyDescent="0.25">
      <c r="O40" s="1565"/>
    </row>
    <row r="41" spans="15:15" x14ac:dyDescent="0.25">
      <c r="O41" s="1565"/>
    </row>
    <row r="42" spans="15:15" x14ac:dyDescent="0.25">
      <c r="O42" s="1565"/>
    </row>
    <row r="43" spans="15:15" x14ac:dyDescent="0.25">
      <c r="O43" s="1565"/>
    </row>
    <row r="44" spans="15:15" x14ac:dyDescent="0.25">
      <c r="O44" s="1565"/>
    </row>
    <row r="45" spans="15:15" x14ac:dyDescent="0.25">
      <c r="O45" s="1565"/>
    </row>
    <row r="46" spans="15:15" x14ac:dyDescent="0.25">
      <c r="O46" s="1565"/>
    </row>
    <row r="47" spans="15:15" x14ac:dyDescent="0.25">
      <c r="O47" s="1565"/>
    </row>
    <row r="48" spans="15:15" x14ac:dyDescent="0.25">
      <c r="O48" s="1565"/>
    </row>
    <row r="49" spans="15:15" x14ac:dyDescent="0.25">
      <c r="O49" s="1565"/>
    </row>
    <row r="50" spans="15:15" x14ac:dyDescent="0.25">
      <c r="O50" s="1565"/>
    </row>
    <row r="51" spans="15:15" x14ac:dyDescent="0.25">
      <c r="O51" s="1565"/>
    </row>
    <row r="52" spans="15:15" x14ac:dyDescent="0.25">
      <c r="O52" s="1565"/>
    </row>
    <row r="53" spans="15:15" x14ac:dyDescent="0.25">
      <c r="O53" s="1565"/>
    </row>
    <row r="54" spans="15:15" x14ac:dyDescent="0.25">
      <c r="O54" s="1565"/>
    </row>
    <row r="55" spans="15:15" x14ac:dyDescent="0.25">
      <c r="O55" s="1565"/>
    </row>
    <row r="56" spans="15:15" x14ac:dyDescent="0.25">
      <c r="O56" s="1565"/>
    </row>
    <row r="57" spans="15:15" x14ac:dyDescent="0.25">
      <c r="O57" s="1565"/>
    </row>
    <row r="58" spans="15:15" x14ac:dyDescent="0.25">
      <c r="O58" s="1565"/>
    </row>
    <row r="59" spans="15:15" x14ac:dyDescent="0.25">
      <c r="O59" s="1565"/>
    </row>
    <row r="60" spans="15:15" x14ac:dyDescent="0.25">
      <c r="O60" s="1565"/>
    </row>
    <row r="61" spans="15:15" x14ac:dyDescent="0.25">
      <c r="O61" s="1565"/>
    </row>
    <row r="62" spans="15:15" x14ac:dyDescent="0.25">
      <c r="O62" s="1565"/>
    </row>
    <row r="63" spans="15:15" x14ac:dyDescent="0.25">
      <c r="O63" s="1565"/>
    </row>
    <row r="64" spans="15:15" x14ac:dyDescent="0.25">
      <c r="O64" s="1565"/>
    </row>
    <row r="65" spans="15:15" x14ac:dyDescent="0.25">
      <c r="O65" s="1565"/>
    </row>
    <row r="66" spans="15:15" x14ac:dyDescent="0.25">
      <c r="O66" s="1565"/>
    </row>
    <row r="67" spans="15:15" x14ac:dyDescent="0.25">
      <c r="O67" s="1565"/>
    </row>
    <row r="68" spans="15:15" x14ac:dyDescent="0.25">
      <c r="O68" s="1565"/>
    </row>
    <row r="69" spans="15:15" x14ac:dyDescent="0.25">
      <c r="O69" s="1565"/>
    </row>
    <row r="70" spans="15:15" x14ac:dyDescent="0.25">
      <c r="O70" s="1565"/>
    </row>
    <row r="71" spans="15:15" x14ac:dyDescent="0.25">
      <c r="O71" s="1565"/>
    </row>
    <row r="72" spans="15:15" x14ac:dyDescent="0.25">
      <c r="O72" s="1565"/>
    </row>
    <row r="73" spans="15:15" x14ac:dyDescent="0.25">
      <c r="O73" s="1565"/>
    </row>
    <row r="74" spans="15:15" x14ac:dyDescent="0.25">
      <c r="O74" s="1565"/>
    </row>
    <row r="75" spans="15:15" x14ac:dyDescent="0.25">
      <c r="O75" s="1565"/>
    </row>
    <row r="76" spans="15:15" x14ac:dyDescent="0.25">
      <c r="O76" s="1565"/>
    </row>
    <row r="77" spans="15:15" x14ac:dyDescent="0.25">
      <c r="O77" s="1565"/>
    </row>
    <row r="78" spans="15:15" x14ac:dyDescent="0.25">
      <c r="O78" s="1565"/>
    </row>
    <row r="79" spans="15:15" x14ac:dyDescent="0.25">
      <c r="O79" s="1565"/>
    </row>
    <row r="80" spans="15:15" x14ac:dyDescent="0.25">
      <c r="O80" s="1565"/>
    </row>
    <row r="81" spans="15:15" x14ac:dyDescent="0.25">
      <c r="O81" s="1565"/>
    </row>
    <row r="82" spans="15:15" x14ac:dyDescent="0.25">
      <c r="O82" s="1565"/>
    </row>
  </sheetData>
  <sheetProtection selectLockedCells="1" selectUnlockedCells="1"/>
  <mergeCells count="3">
    <mergeCell ref="A1:O1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80" orientation="landscape" r:id="rId1"/>
  <headerFooter alignWithMargins="0">
    <oddHeader>&amp;R&amp;"Times New Roman CE,Félkövér dőlt"10. melléklet a 2/2020.(II.28.)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2" tint="-0.499984740745262"/>
  </sheetPr>
  <dimension ref="A1:O82"/>
  <sheetViews>
    <sheetView view="pageBreakPreview" zoomScaleNormal="100" zoomScaleSheetLayoutView="100" workbookViewId="0">
      <selection sqref="A1:O1"/>
    </sheetView>
  </sheetViews>
  <sheetFormatPr defaultRowHeight="15.75" x14ac:dyDescent="0.25"/>
  <cols>
    <col min="1" max="1" width="4.140625" style="1566" customWidth="1"/>
    <col min="2" max="2" width="26.7109375" style="1565" customWidth="1"/>
    <col min="3" max="3" width="11.28515625" style="1565" customWidth="1"/>
    <col min="4" max="4" width="12.85546875" style="1565" customWidth="1"/>
    <col min="5" max="14" width="10.85546875" style="1565" bestFit="1" customWidth="1"/>
    <col min="15" max="15" width="10.85546875" style="1566" bestFit="1" customWidth="1"/>
    <col min="16" max="255" width="9.140625" style="1565"/>
    <col min="256" max="256" width="4.140625" style="1565" customWidth="1"/>
    <col min="257" max="257" width="26.7109375" style="1565" customWidth="1"/>
    <col min="258" max="259" width="7.7109375" style="1565" customWidth="1"/>
    <col min="260" max="260" width="8.140625" style="1565" customWidth="1"/>
    <col min="261" max="261" width="7.5703125" style="1565" customWidth="1"/>
    <col min="262" max="262" width="7.42578125" style="1565" customWidth="1"/>
    <col min="263" max="263" width="7.5703125" style="1565" customWidth="1"/>
    <col min="264" max="264" width="9.28515625" style="1565" customWidth="1"/>
    <col min="265" max="269" width="8.140625" style="1565" customWidth="1"/>
    <col min="270" max="270" width="10.85546875" style="1565" customWidth="1"/>
    <col min="271" max="511" width="9.140625" style="1565"/>
    <col min="512" max="512" width="4.140625" style="1565" customWidth="1"/>
    <col min="513" max="513" width="26.7109375" style="1565" customWidth="1"/>
    <col min="514" max="515" width="7.7109375" style="1565" customWidth="1"/>
    <col min="516" max="516" width="8.140625" style="1565" customWidth="1"/>
    <col min="517" max="517" width="7.5703125" style="1565" customWidth="1"/>
    <col min="518" max="518" width="7.42578125" style="1565" customWidth="1"/>
    <col min="519" max="519" width="7.5703125" style="1565" customWidth="1"/>
    <col min="520" max="520" width="9.28515625" style="1565" customWidth="1"/>
    <col min="521" max="525" width="8.140625" style="1565" customWidth="1"/>
    <col min="526" max="526" width="10.85546875" style="1565" customWidth="1"/>
    <col min="527" max="767" width="9.140625" style="1565"/>
    <col min="768" max="768" width="4.140625" style="1565" customWidth="1"/>
    <col min="769" max="769" width="26.7109375" style="1565" customWidth="1"/>
    <col min="770" max="771" width="7.7109375" style="1565" customWidth="1"/>
    <col min="772" max="772" width="8.140625" style="1565" customWidth="1"/>
    <col min="773" max="773" width="7.5703125" style="1565" customWidth="1"/>
    <col min="774" max="774" width="7.42578125" style="1565" customWidth="1"/>
    <col min="775" max="775" width="7.5703125" style="1565" customWidth="1"/>
    <col min="776" max="776" width="9.28515625" style="1565" customWidth="1"/>
    <col min="777" max="781" width="8.140625" style="1565" customWidth="1"/>
    <col min="782" max="782" width="10.85546875" style="1565" customWidth="1"/>
    <col min="783" max="1023" width="9.140625" style="1565"/>
    <col min="1024" max="1024" width="4.140625" style="1565" customWidth="1"/>
    <col min="1025" max="1025" width="26.7109375" style="1565" customWidth="1"/>
    <col min="1026" max="1027" width="7.7109375" style="1565" customWidth="1"/>
    <col min="1028" max="1028" width="8.140625" style="1565" customWidth="1"/>
    <col min="1029" max="1029" width="7.5703125" style="1565" customWidth="1"/>
    <col min="1030" max="1030" width="7.42578125" style="1565" customWidth="1"/>
    <col min="1031" max="1031" width="7.5703125" style="1565" customWidth="1"/>
    <col min="1032" max="1032" width="9.28515625" style="1565" customWidth="1"/>
    <col min="1033" max="1037" width="8.140625" style="1565" customWidth="1"/>
    <col min="1038" max="1038" width="10.85546875" style="1565" customWidth="1"/>
    <col min="1039" max="1279" width="9.140625" style="1565"/>
    <col min="1280" max="1280" width="4.140625" style="1565" customWidth="1"/>
    <col min="1281" max="1281" width="26.7109375" style="1565" customWidth="1"/>
    <col min="1282" max="1283" width="7.7109375" style="1565" customWidth="1"/>
    <col min="1284" max="1284" width="8.140625" style="1565" customWidth="1"/>
    <col min="1285" max="1285" width="7.5703125" style="1565" customWidth="1"/>
    <col min="1286" max="1286" width="7.42578125" style="1565" customWidth="1"/>
    <col min="1287" max="1287" width="7.5703125" style="1565" customWidth="1"/>
    <col min="1288" max="1288" width="9.28515625" style="1565" customWidth="1"/>
    <col min="1289" max="1293" width="8.140625" style="1565" customWidth="1"/>
    <col min="1294" max="1294" width="10.85546875" style="1565" customWidth="1"/>
    <col min="1295" max="1535" width="9.140625" style="1565"/>
    <col min="1536" max="1536" width="4.140625" style="1565" customWidth="1"/>
    <col min="1537" max="1537" width="26.7109375" style="1565" customWidth="1"/>
    <col min="1538" max="1539" width="7.7109375" style="1565" customWidth="1"/>
    <col min="1540" max="1540" width="8.140625" style="1565" customWidth="1"/>
    <col min="1541" max="1541" width="7.5703125" style="1565" customWidth="1"/>
    <col min="1542" max="1542" width="7.42578125" style="1565" customWidth="1"/>
    <col min="1543" max="1543" width="7.5703125" style="1565" customWidth="1"/>
    <col min="1544" max="1544" width="9.28515625" style="1565" customWidth="1"/>
    <col min="1545" max="1549" width="8.140625" style="1565" customWidth="1"/>
    <col min="1550" max="1550" width="10.85546875" style="1565" customWidth="1"/>
    <col min="1551" max="1791" width="9.140625" style="1565"/>
    <col min="1792" max="1792" width="4.140625" style="1565" customWidth="1"/>
    <col min="1793" max="1793" width="26.7109375" style="1565" customWidth="1"/>
    <col min="1794" max="1795" width="7.7109375" style="1565" customWidth="1"/>
    <col min="1796" max="1796" width="8.140625" style="1565" customWidth="1"/>
    <col min="1797" max="1797" width="7.5703125" style="1565" customWidth="1"/>
    <col min="1798" max="1798" width="7.42578125" style="1565" customWidth="1"/>
    <col min="1799" max="1799" width="7.5703125" style="1565" customWidth="1"/>
    <col min="1800" max="1800" width="9.28515625" style="1565" customWidth="1"/>
    <col min="1801" max="1805" width="8.140625" style="1565" customWidth="1"/>
    <col min="1806" max="1806" width="10.85546875" style="1565" customWidth="1"/>
    <col min="1807" max="2047" width="9.140625" style="1565"/>
    <col min="2048" max="2048" width="4.140625" style="1565" customWidth="1"/>
    <col min="2049" max="2049" width="26.7109375" style="1565" customWidth="1"/>
    <col min="2050" max="2051" width="7.7109375" style="1565" customWidth="1"/>
    <col min="2052" max="2052" width="8.140625" style="1565" customWidth="1"/>
    <col min="2053" max="2053" width="7.5703125" style="1565" customWidth="1"/>
    <col min="2054" max="2054" width="7.42578125" style="1565" customWidth="1"/>
    <col min="2055" max="2055" width="7.5703125" style="1565" customWidth="1"/>
    <col min="2056" max="2056" width="9.28515625" style="1565" customWidth="1"/>
    <col min="2057" max="2061" width="8.140625" style="1565" customWidth="1"/>
    <col min="2062" max="2062" width="10.85546875" style="1565" customWidth="1"/>
    <col min="2063" max="2303" width="9.140625" style="1565"/>
    <col min="2304" max="2304" width="4.140625" style="1565" customWidth="1"/>
    <col min="2305" max="2305" width="26.7109375" style="1565" customWidth="1"/>
    <col min="2306" max="2307" width="7.7109375" style="1565" customWidth="1"/>
    <col min="2308" max="2308" width="8.140625" style="1565" customWidth="1"/>
    <col min="2309" max="2309" width="7.5703125" style="1565" customWidth="1"/>
    <col min="2310" max="2310" width="7.42578125" style="1565" customWidth="1"/>
    <col min="2311" max="2311" width="7.5703125" style="1565" customWidth="1"/>
    <col min="2312" max="2312" width="9.28515625" style="1565" customWidth="1"/>
    <col min="2313" max="2317" width="8.140625" style="1565" customWidth="1"/>
    <col min="2318" max="2318" width="10.85546875" style="1565" customWidth="1"/>
    <col min="2319" max="2559" width="9.140625" style="1565"/>
    <col min="2560" max="2560" width="4.140625" style="1565" customWidth="1"/>
    <col min="2561" max="2561" width="26.7109375" style="1565" customWidth="1"/>
    <col min="2562" max="2563" width="7.7109375" style="1565" customWidth="1"/>
    <col min="2564" max="2564" width="8.140625" style="1565" customWidth="1"/>
    <col min="2565" max="2565" width="7.5703125" style="1565" customWidth="1"/>
    <col min="2566" max="2566" width="7.42578125" style="1565" customWidth="1"/>
    <col min="2567" max="2567" width="7.5703125" style="1565" customWidth="1"/>
    <col min="2568" max="2568" width="9.28515625" style="1565" customWidth="1"/>
    <col min="2569" max="2573" width="8.140625" style="1565" customWidth="1"/>
    <col min="2574" max="2574" width="10.85546875" style="1565" customWidth="1"/>
    <col min="2575" max="2815" width="9.140625" style="1565"/>
    <col min="2816" max="2816" width="4.140625" style="1565" customWidth="1"/>
    <col min="2817" max="2817" width="26.7109375" style="1565" customWidth="1"/>
    <col min="2818" max="2819" width="7.7109375" style="1565" customWidth="1"/>
    <col min="2820" max="2820" width="8.140625" style="1565" customWidth="1"/>
    <col min="2821" max="2821" width="7.5703125" style="1565" customWidth="1"/>
    <col min="2822" max="2822" width="7.42578125" style="1565" customWidth="1"/>
    <col min="2823" max="2823" width="7.5703125" style="1565" customWidth="1"/>
    <col min="2824" max="2824" width="9.28515625" style="1565" customWidth="1"/>
    <col min="2825" max="2829" width="8.140625" style="1565" customWidth="1"/>
    <col min="2830" max="2830" width="10.85546875" style="1565" customWidth="1"/>
    <col min="2831" max="3071" width="9.140625" style="1565"/>
    <col min="3072" max="3072" width="4.140625" style="1565" customWidth="1"/>
    <col min="3073" max="3073" width="26.7109375" style="1565" customWidth="1"/>
    <col min="3074" max="3075" width="7.7109375" style="1565" customWidth="1"/>
    <col min="3076" max="3076" width="8.140625" style="1565" customWidth="1"/>
    <col min="3077" max="3077" width="7.5703125" style="1565" customWidth="1"/>
    <col min="3078" max="3078" width="7.42578125" style="1565" customWidth="1"/>
    <col min="3079" max="3079" width="7.5703125" style="1565" customWidth="1"/>
    <col min="3080" max="3080" width="9.28515625" style="1565" customWidth="1"/>
    <col min="3081" max="3085" width="8.140625" style="1565" customWidth="1"/>
    <col min="3086" max="3086" width="10.85546875" style="1565" customWidth="1"/>
    <col min="3087" max="3327" width="9.140625" style="1565"/>
    <col min="3328" max="3328" width="4.140625" style="1565" customWidth="1"/>
    <col min="3329" max="3329" width="26.7109375" style="1565" customWidth="1"/>
    <col min="3330" max="3331" width="7.7109375" style="1565" customWidth="1"/>
    <col min="3332" max="3332" width="8.140625" style="1565" customWidth="1"/>
    <col min="3333" max="3333" width="7.5703125" style="1565" customWidth="1"/>
    <col min="3334" max="3334" width="7.42578125" style="1565" customWidth="1"/>
    <col min="3335" max="3335" width="7.5703125" style="1565" customWidth="1"/>
    <col min="3336" max="3336" width="9.28515625" style="1565" customWidth="1"/>
    <col min="3337" max="3341" width="8.140625" style="1565" customWidth="1"/>
    <col min="3342" max="3342" width="10.85546875" style="1565" customWidth="1"/>
    <col min="3343" max="3583" width="9.140625" style="1565"/>
    <col min="3584" max="3584" width="4.140625" style="1565" customWidth="1"/>
    <col min="3585" max="3585" width="26.7109375" style="1565" customWidth="1"/>
    <col min="3586" max="3587" width="7.7109375" style="1565" customWidth="1"/>
    <col min="3588" max="3588" width="8.140625" style="1565" customWidth="1"/>
    <col min="3589" max="3589" width="7.5703125" style="1565" customWidth="1"/>
    <col min="3590" max="3590" width="7.42578125" style="1565" customWidth="1"/>
    <col min="3591" max="3591" width="7.5703125" style="1565" customWidth="1"/>
    <col min="3592" max="3592" width="9.28515625" style="1565" customWidth="1"/>
    <col min="3593" max="3597" width="8.140625" style="1565" customWidth="1"/>
    <col min="3598" max="3598" width="10.85546875" style="1565" customWidth="1"/>
    <col min="3599" max="3839" width="9.140625" style="1565"/>
    <col min="3840" max="3840" width="4.140625" style="1565" customWidth="1"/>
    <col min="3841" max="3841" width="26.7109375" style="1565" customWidth="1"/>
    <col min="3842" max="3843" width="7.7109375" style="1565" customWidth="1"/>
    <col min="3844" max="3844" width="8.140625" style="1565" customWidth="1"/>
    <col min="3845" max="3845" width="7.5703125" style="1565" customWidth="1"/>
    <col min="3846" max="3846" width="7.42578125" style="1565" customWidth="1"/>
    <col min="3847" max="3847" width="7.5703125" style="1565" customWidth="1"/>
    <col min="3848" max="3848" width="9.28515625" style="1565" customWidth="1"/>
    <col min="3849" max="3853" width="8.140625" style="1565" customWidth="1"/>
    <col min="3854" max="3854" width="10.85546875" style="1565" customWidth="1"/>
    <col min="3855" max="4095" width="9.140625" style="1565"/>
    <col min="4096" max="4096" width="4.140625" style="1565" customWidth="1"/>
    <col min="4097" max="4097" width="26.7109375" style="1565" customWidth="1"/>
    <col min="4098" max="4099" width="7.7109375" style="1565" customWidth="1"/>
    <col min="4100" max="4100" width="8.140625" style="1565" customWidth="1"/>
    <col min="4101" max="4101" width="7.5703125" style="1565" customWidth="1"/>
    <col min="4102" max="4102" width="7.42578125" style="1565" customWidth="1"/>
    <col min="4103" max="4103" width="7.5703125" style="1565" customWidth="1"/>
    <col min="4104" max="4104" width="9.28515625" style="1565" customWidth="1"/>
    <col min="4105" max="4109" width="8.140625" style="1565" customWidth="1"/>
    <col min="4110" max="4110" width="10.85546875" style="1565" customWidth="1"/>
    <col min="4111" max="4351" width="9.140625" style="1565"/>
    <col min="4352" max="4352" width="4.140625" style="1565" customWidth="1"/>
    <col min="4353" max="4353" width="26.7109375" style="1565" customWidth="1"/>
    <col min="4354" max="4355" width="7.7109375" style="1565" customWidth="1"/>
    <col min="4356" max="4356" width="8.140625" style="1565" customWidth="1"/>
    <col min="4357" max="4357" width="7.5703125" style="1565" customWidth="1"/>
    <col min="4358" max="4358" width="7.42578125" style="1565" customWidth="1"/>
    <col min="4359" max="4359" width="7.5703125" style="1565" customWidth="1"/>
    <col min="4360" max="4360" width="9.28515625" style="1565" customWidth="1"/>
    <col min="4361" max="4365" width="8.140625" style="1565" customWidth="1"/>
    <col min="4366" max="4366" width="10.85546875" style="1565" customWidth="1"/>
    <col min="4367" max="4607" width="9.140625" style="1565"/>
    <col min="4608" max="4608" width="4.140625" style="1565" customWidth="1"/>
    <col min="4609" max="4609" width="26.7109375" style="1565" customWidth="1"/>
    <col min="4610" max="4611" width="7.7109375" style="1565" customWidth="1"/>
    <col min="4612" max="4612" width="8.140625" style="1565" customWidth="1"/>
    <col min="4613" max="4613" width="7.5703125" style="1565" customWidth="1"/>
    <col min="4614" max="4614" width="7.42578125" style="1565" customWidth="1"/>
    <col min="4615" max="4615" width="7.5703125" style="1565" customWidth="1"/>
    <col min="4616" max="4616" width="9.28515625" style="1565" customWidth="1"/>
    <col min="4617" max="4621" width="8.140625" style="1565" customWidth="1"/>
    <col min="4622" max="4622" width="10.85546875" style="1565" customWidth="1"/>
    <col min="4623" max="4863" width="9.140625" style="1565"/>
    <col min="4864" max="4864" width="4.140625" style="1565" customWidth="1"/>
    <col min="4865" max="4865" width="26.7109375" style="1565" customWidth="1"/>
    <col min="4866" max="4867" width="7.7109375" style="1565" customWidth="1"/>
    <col min="4868" max="4868" width="8.140625" style="1565" customWidth="1"/>
    <col min="4869" max="4869" width="7.5703125" style="1565" customWidth="1"/>
    <col min="4870" max="4870" width="7.42578125" style="1565" customWidth="1"/>
    <col min="4871" max="4871" width="7.5703125" style="1565" customWidth="1"/>
    <col min="4872" max="4872" width="9.28515625" style="1565" customWidth="1"/>
    <col min="4873" max="4877" width="8.140625" style="1565" customWidth="1"/>
    <col min="4878" max="4878" width="10.85546875" style="1565" customWidth="1"/>
    <col min="4879" max="5119" width="9.140625" style="1565"/>
    <col min="5120" max="5120" width="4.140625" style="1565" customWidth="1"/>
    <col min="5121" max="5121" width="26.7109375" style="1565" customWidth="1"/>
    <col min="5122" max="5123" width="7.7109375" style="1565" customWidth="1"/>
    <col min="5124" max="5124" width="8.140625" style="1565" customWidth="1"/>
    <col min="5125" max="5125" width="7.5703125" style="1565" customWidth="1"/>
    <col min="5126" max="5126" width="7.42578125" style="1565" customWidth="1"/>
    <col min="5127" max="5127" width="7.5703125" style="1565" customWidth="1"/>
    <col min="5128" max="5128" width="9.28515625" style="1565" customWidth="1"/>
    <col min="5129" max="5133" width="8.140625" style="1565" customWidth="1"/>
    <col min="5134" max="5134" width="10.85546875" style="1565" customWidth="1"/>
    <col min="5135" max="5375" width="9.140625" style="1565"/>
    <col min="5376" max="5376" width="4.140625" style="1565" customWidth="1"/>
    <col min="5377" max="5377" width="26.7109375" style="1565" customWidth="1"/>
    <col min="5378" max="5379" width="7.7109375" style="1565" customWidth="1"/>
    <col min="5380" max="5380" width="8.140625" style="1565" customWidth="1"/>
    <col min="5381" max="5381" width="7.5703125" style="1565" customWidth="1"/>
    <col min="5382" max="5382" width="7.42578125" style="1565" customWidth="1"/>
    <col min="5383" max="5383" width="7.5703125" style="1565" customWidth="1"/>
    <col min="5384" max="5384" width="9.28515625" style="1565" customWidth="1"/>
    <col min="5385" max="5389" width="8.140625" style="1565" customWidth="1"/>
    <col min="5390" max="5390" width="10.85546875" style="1565" customWidth="1"/>
    <col min="5391" max="5631" width="9.140625" style="1565"/>
    <col min="5632" max="5632" width="4.140625" style="1565" customWidth="1"/>
    <col min="5633" max="5633" width="26.7109375" style="1565" customWidth="1"/>
    <col min="5634" max="5635" width="7.7109375" style="1565" customWidth="1"/>
    <col min="5636" max="5636" width="8.140625" style="1565" customWidth="1"/>
    <col min="5637" max="5637" width="7.5703125" style="1565" customWidth="1"/>
    <col min="5638" max="5638" width="7.42578125" style="1565" customWidth="1"/>
    <col min="5639" max="5639" width="7.5703125" style="1565" customWidth="1"/>
    <col min="5640" max="5640" width="9.28515625" style="1565" customWidth="1"/>
    <col min="5641" max="5645" width="8.140625" style="1565" customWidth="1"/>
    <col min="5646" max="5646" width="10.85546875" style="1565" customWidth="1"/>
    <col min="5647" max="5887" width="9.140625" style="1565"/>
    <col min="5888" max="5888" width="4.140625" style="1565" customWidth="1"/>
    <col min="5889" max="5889" width="26.7109375" style="1565" customWidth="1"/>
    <col min="5890" max="5891" width="7.7109375" style="1565" customWidth="1"/>
    <col min="5892" max="5892" width="8.140625" style="1565" customWidth="1"/>
    <col min="5893" max="5893" width="7.5703125" style="1565" customWidth="1"/>
    <col min="5894" max="5894" width="7.42578125" style="1565" customWidth="1"/>
    <col min="5895" max="5895" width="7.5703125" style="1565" customWidth="1"/>
    <col min="5896" max="5896" width="9.28515625" style="1565" customWidth="1"/>
    <col min="5897" max="5901" width="8.140625" style="1565" customWidth="1"/>
    <col min="5902" max="5902" width="10.85546875" style="1565" customWidth="1"/>
    <col min="5903" max="6143" width="9.140625" style="1565"/>
    <col min="6144" max="6144" width="4.140625" style="1565" customWidth="1"/>
    <col min="6145" max="6145" width="26.7109375" style="1565" customWidth="1"/>
    <col min="6146" max="6147" width="7.7109375" style="1565" customWidth="1"/>
    <col min="6148" max="6148" width="8.140625" style="1565" customWidth="1"/>
    <col min="6149" max="6149" width="7.5703125" style="1565" customWidth="1"/>
    <col min="6150" max="6150" width="7.42578125" style="1565" customWidth="1"/>
    <col min="6151" max="6151" width="7.5703125" style="1565" customWidth="1"/>
    <col min="6152" max="6152" width="9.28515625" style="1565" customWidth="1"/>
    <col min="6153" max="6157" width="8.140625" style="1565" customWidth="1"/>
    <col min="6158" max="6158" width="10.85546875" style="1565" customWidth="1"/>
    <col min="6159" max="6399" width="9.140625" style="1565"/>
    <col min="6400" max="6400" width="4.140625" style="1565" customWidth="1"/>
    <col min="6401" max="6401" width="26.7109375" style="1565" customWidth="1"/>
    <col min="6402" max="6403" width="7.7109375" style="1565" customWidth="1"/>
    <col min="6404" max="6404" width="8.140625" style="1565" customWidth="1"/>
    <col min="6405" max="6405" width="7.5703125" style="1565" customWidth="1"/>
    <col min="6406" max="6406" width="7.42578125" style="1565" customWidth="1"/>
    <col min="6407" max="6407" width="7.5703125" style="1565" customWidth="1"/>
    <col min="6408" max="6408" width="9.28515625" style="1565" customWidth="1"/>
    <col min="6409" max="6413" width="8.140625" style="1565" customWidth="1"/>
    <col min="6414" max="6414" width="10.85546875" style="1565" customWidth="1"/>
    <col min="6415" max="6655" width="9.140625" style="1565"/>
    <col min="6656" max="6656" width="4.140625" style="1565" customWidth="1"/>
    <col min="6657" max="6657" width="26.7109375" style="1565" customWidth="1"/>
    <col min="6658" max="6659" width="7.7109375" style="1565" customWidth="1"/>
    <col min="6660" max="6660" width="8.140625" style="1565" customWidth="1"/>
    <col min="6661" max="6661" width="7.5703125" style="1565" customWidth="1"/>
    <col min="6662" max="6662" width="7.42578125" style="1565" customWidth="1"/>
    <col min="6663" max="6663" width="7.5703125" style="1565" customWidth="1"/>
    <col min="6664" max="6664" width="9.28515625" style="1565" customWidth="1"/>
    <col min="6665" max="6669" width="8.140625" style="1565" customWidth="1"/>
    <col min="6670" max="6670" width="10.85546875" style="1565" customWidth="1"/>
    <col min="6671" max="6911" width="9.140625" style="1565"/>
    <col min="6912" max="6912" width="4.140625" style="1565" customWidth="1"/>
    <col min="6913" max="6913" width="26.7109375" style="1565" customWidth="1"/>
    <col min="6914" max="6915" width="7.7109375" style="1565" customWidth="1"/>
    <col min="6916" max="6916" width="8.140625" style="1565" customWidth="1"/>
    <col min="6917" max="6917" width="7.5703125" style="1565" customWidth="1"/>
    <col min="6918" max="6918" width="7.42578125" style="1565" customWidth="1"/>
    <col min="6919" max="6919" width="7.5703125" style="1565" customWidth="1"/>
    <col min="6920" max="6920" width="9.28515625" style="1565" customWidth="1"/>
    <col min="6921" max="6925" width="8.140625" style="1565" customWidth="1"/>
    <col min="6926" max="6926" width="10.85546875" style="1565" customWidth="1"/>
    <col min="6927" max="7167" width="9.140625" style="1565"/>
    <col min="7168" max="7168" width="4.140625" style="1565" customWidth="1"/>
    <col min="7169" max="7169" width="26.7109375" style="1565" customWidth="1"/>
    <col min="7170" max="7171" width="7.7109375" style="1565" customWidth="1"/>
    <col min="7172" max="7172" width="8.140625" style="1565" customWidth="1"/>
    <col min="7173" max="7173" width="7.5703125" style="1565" customWidth="1"/>
    <col min="7174" max="7174" width="7.42578125" style="1565" customWidth="1"/>
    <col min="7175" max="7175" width="7.5703125" style="1565" customWidth="1"/>
    <col min="7176" max="7176" width="9.28515625" style="1565" customWidth="1"/>
    <col min="7177" max="7181" width="8.140625" style="1565" customWidth="1"/>
    <col min="7182" max="7182" width="10.85546875" style="1565" customWidth="1"/>
    <col min="7183" max="7423" width="9.140625" style="1565"/>
    <col min="7424" max="7424" width="4.140625" style="1565" customWidth="1"/>
    <col min="7425" max="7425" width="26.7109375" style="1565" customWidth="1"/>
    <col min="7426" max="7427" width="7.7109375" style="1565" customWidth="1"/>
    <col min="7428" max="7428" width="8.140625" style="1565" customWidth="1"/>
    <col min="7429" max="7429" width="7.5703125" style="1565" customWidth="1"/>
    <col min="7430" max="7430" width="7.42578125" style="1565" customWidth="1"/>
    <col min="7431" max="7431" width="7.5703125" style="1565" customWidth="1"/>
    <col min="7432" max="7432" width="9.28515625" style="1565" customWidth="1"/>
    <col min="7433" max="7437" width="8.140625" style="1565" customWidth="1"/>
    <col min="7438" max="7438" width="10.85546875" style="1565" customWidth="1"/>
    <col min="7439" max="7679" width="9.140625" style="1565"/>
    <col min="7680" max="7680" width="4.140625" style="1565" customWidth="1"/>
    <col min="7681" max="7681" width="26.7109375" style="1565" customWidth="1"/>
    <col min="7682" max="7683" width="7.7109375" style="1565" customWidth="1"/>
    <col min="7684" max="7684" width="8.140625" style="1565" customWidth="1"/>
    <col min="7685" max="7685" width="7.5703125" style="1565" customWidth="1"/>
    <col min="7686" max="7686" width="7.42578125" style="1565" customWidth="1"/>
    <col min="7687" max="7687" width="7.5703125" style="1565" customWidth="1"/>
    <col min="7688" max="7688" width="9.28515625" style="1565" customWidth="1"/>
    <col min="7689" max="7693" width="8.140625" style="1565" customWidth="1"/>
    <col min="7694" max="7694" width="10.85546875" style="1565" customWidth="1"/>
    <col min="7695" max="7935" width="9.140625" style="1565"/>
    <col min="7936" max="7936" width="4.140625" style="1565" customWidth="1"/>
    <col min="7937" max="7937" width="26.7109375" style="1565" customWidth="1"/>
    <col min="7938" max="7939" width="7.7109375" style="1565" customWidth="1"/>
    <col min="7940" max="7940" width="8.140625" style="1565" customWidth="1"/>
    <col min="7941" max="7941" width="7.5703125" style="1565" customWidth="1"/>
    <col min="7942" max="7942" width="7.42578125" style="1565" customWidth="1"/>
    <col min="7943" max="7943" width="7.5703125" style="1565" customWidth="1"/>
    <col min="7944" max="7944" width="9.28515625" style="1565" customWidth="1"/>
    <col min="7945" max="7949" width="8.140625" style="1565" customWidth="1"/>
    <col min="7950" max="7950" width="10.85546875" style="1565" customWidth="1"/>
    <col min="7951" max="8191" width="9.140625" style="1565"/>
    <col min="8192" max="8192" width="4.140625" style="1565" customWidth="1"/>
    <col min="8193" max="8193" width="26.7109375" style="1565" customWidth="1"/>
    <col min="8194" max="8195" width="7.7109375" style="1565" customWidth="1"/>
    <col min="8196" max="8196" width="8.140625" style="1565" customWidth="1"/>
    <col min="8197" max="8197" width="7.5703125" style="1565" customWidth="1"/>
    <col min="8198" max="8198" width="7.42578125" style="1565" customWidth="1"/>
    <col min="8199" max="8199" width="7.5703125" style="1565" customWidth="1"/>
    <col min="8200" max="8200" width="9.28515625" style="1565" customWidth="1"/>
    <col min="8201" max="8205" width="8.140625" style="1565" customWidth="1"/>
    <col min="8206" max="8206" width="10.85546875" style="1565" customWidth="1"/>
    <col min="8207" max="8447" width="9.140625" style="1565"/>
    <col min="8448" max="8448" width="4.140625" style="1565" customWidth="1"/>
    <col min="8449" max="8449" width="26.7109375" style="1565" customWidth="1"/>
    <col min="8450" max="8451" width="7.7109375" style="1565" customWidth="1"/>
    <col min="8452" max="8452" width="8.140625" style="1565" customWidth="1"/>
    <col min="8453" max="8453" width="7.5703125" style="1565" customWidth="1"/>
    <col min="8454" max="8454" width="7.42578125" style="1565" customWidth="1"/>
    <col min="8455" max="8455" width="7.5703125" style="1565" customWidth="1"/>
    <col min="8456" max="8456" width="9.28515625" style="1565" customWidth="1"/>
    <col min="8457" max="8461" width="8.140625" style="1565" customWidth="1"/>
    <col min="8462" max="8462" width="10.85546875" style="1565" customWidth="1"/>
    <col min="8463" max="8703" width="9.140625" style="1565"/>
    <col min="8704" max="8704" width="4.140625" style="1565" customWidth="1"/>
    <col min="8705" max="8705" width="26.7109375" style="1565" customWidth="1"/>
    <col min="8706" max="8707" width="7.7109375" style="1565" customWidth="1"/>
    <col min="8708" max="8708" width="8.140625" style="1565" customWidth="1"/>
    <col min="8709" max="8709" width="7.5703125" style="1565" customWidth="1"/>
    <col min="8710" max="8710" width="7.42578125" style="1565" customWidth="1"/>
    <col min="8711" max="8711" width="7.5703125" style="1565" customWidth="1"/>
    <col min="8712" max="8712" width="9.28515625" style="1565" customWidth="1"/>
    <col min="8713" max="8717" width="8.140625" style="1565" customWidth="1"/>
    <col min="8718" max="8718" width="10.85546875" style="1565" customWidth="1"/>
    <col min="8719" max="8959" width="9.140625" style="1565"/>
    <col min="8960" max="8960" width="4.140625" style="1565" customWidth="1"/>
    <col min="8961" max="8961" width="26.7109375" style="1565" customWidth="1"/>
    <col min="8962" max="8963" width="7.7109375" style="1565" customWidth="1"/>
    <col min="8964" max="8964" width="8.140625" style="1565" customWidth="1"/>
    <col min="8965" max="8965" width="7.5703125" style="1565" customWidth="1"/>
    <col min="8966" max="8966" width="7.42578125" style="1565" customWidth="1"/>
    <col min="8967" max="8967" width="7.5703125" style="1565" customWidth="1"/>
    <col min="8968" max="8968" width="9.28515625" style="1565" customWidth="1"/>
    <col min="8969" max="8973" width="8.140625" style="1565" customWidth="1"/>
    <col min="8974" max="8974" width="10.85546875" style="1565" customWidth="1"/>
    <col min="8975" max="9215" width="9.140625" style="1565"/>
    <col min="9216" max="9216" width="4.140625" style="1565" customWidth="1"/>
    <col min="9217" max="9217" width="26.7109375" style="1565" customWidth="1"/>
    <col min="9218" max="9219" width="7.7109375" style="1565" customWidth="1"/>
    <col min="9220" max="9220" width="8.140625" style="1565" customWidth="1"/>
    <col min="9221" max="9221" width="7.5703125" style="1565" customWidth="1"/>
    <col min="9222" max="9222" width="7.42578125" style="1565" customWidth="1"/>
    <col min="9223" max="9223" width="7.5703125" style="1565" customWidth="1"/>
    <col min="9224" max="9224" width="9.28515625" style="1565" customWidth="1"/>
    <col min="9225" max="9229" width="8.140625" style="1565" customWidth="1"/>
    <col min="9230" max="9230" width="10.85546875" style="1565" customWidth="1"/>
    <col min="9231" max="9471" width="9.140625" style="1565"/>
    <col min="9472" max="9472" width="4.140625" style="1565" customWidth="1"/>
    <col min="9473" max="9473" width="26.7109375" style="1565" customWidth="1"/>
    <col min="9474" max="9475" width="7.7109375" style="1565" customWidth="1"/>
    <col min="9476" max="9476" width="8.140625" style="1565" customWidth="1"/>
    <col min="9477" max="9477" width="7.5703125" style="1565" customWidth="1"/>
    <col min="9478" max="9478" width="7.42578125" style="1565" customWidth="1"/>
    <col min="9479" max="9479" width="7.5703125" style="1565" customWidth="1"/>
    <col min="9480" max="9480" width="9.28515625" style="1565" customWidth="1"/>
    <col min="9481" max="9485" width="8.140625" style="1565" customWidth="1"/>
    <col min="9486" max="9486" width="10.85546875" style="1565" customWidth="1"/>
    <col min="9487" max="9727" width="9.140625" style="1565"/>
    <col min="9728" max="9728" width="4.140625" style="1565" customWidth="1"/>
    <col min="9729" max="9729" width="26.7109375" style="1565" customWidth="1"/>
    <col min="9730" max="9731" width="7.7109375" style="1565" customWidth="1"/>
    <col min="9732" max="9732" width="8.140625" style="1565" customWidth="1"/>
    <col min="9733" max="9733" width="7.5703125" style="1565" customWidth="1"/>
    <col min="9734" max="9734" width="7.42578125" style="1565" customWidth="1"/>
    <col min="9735" max="9735" width="7.5703125" style="1565" customWidth="1"/>
    <col min="9736" max="9736" width="9.28515625" style="1565" customWidth="1"/>
    <col min="9737" max="9741" width="8.140625" style="1565" customWidth="1"/>
    <col min="9742" max="9742" width="10.85546875" style="1565" customWidth="1"/>
    <col min="9743" max="9983" width="9.140625" style="1565"/>
    <col min="9984" max="9984" width="4.140625" style="1565" customWidth="1"/>
    <col min="9985" max="9985" width="26.7109375" style="1565" customWidth="1"/>
    <col min="9986" max="9987" width="7.7109375" style="1565" customWidth="1"/>
    <col min="9988" max="9988" width="8.140625" style="1565" customWidth="1"/>
    <col min="9989" max="9989" width="7.5703125" style="1565" customWidth="1"/>
    <col min="9990" max="9990" width="7.42578125" style="1565" customWidth="1"/>
    <col min="9991" max="9991" width="7.5703125" style="1565" customWidth="1"/>
    <col min="9992" max="9992" width="9.28515625" style="1565" customWidth="1"/>
    <col min="9993" max="9997" width="8.140625" style="1565" customWidth="1"/>
    <col min="9998" max="9998" width="10.85546875" style="1565" customWidth="1"/>
    <col min="9999" max="10239" width="9.140625" style="1565"/>
    <col min="10240" max="10240" width="4.140625" style="1565" customWidth="1"/>
    <col min="10241" max="10241" width="26.7109375" style="1565" customWidth="1"/>
    <col min="10242" max="10243" width="7.7109375" style="1565" customWidth="1"/>
    <col min="10244" max="10244" width="8.140625" style="1565" customWidth="1"/>
    <col min="10245" max="10245" width="7.5703125" style="1565" customWidth="1"/>
    <col min="10246" max="10246" width="7.42578125" style="1565" customWidth="1"/>
    <col min="10247" max="10247" width="7.5703125" style="1565" customWidth="1"/>
    <col min="10248" max="10248" width="9.28515625" style="1565" customWidth="1"/>
    <col min="10249" max="10253" width="8.140625" style="1565" customWidth="1"/>
    <col min="10254" max="10254" width="10.85546875" style="1565" customWidth="1"/>
    <col min="10255" max="10495" width="9.140625" style="1565"/>
    <col min="10496" max="10496" width="4.140625" style="1565" customWidth="1"/>
    <col min="10497" max="10497" width="26.7109375" style="1565" customWidth="1"/>
    <col min="10498" max="10499" width="7.7109375" style="1565" customWidth="1"/>
    <col min="10500" max="10500" width="8.140625" style="1565" customWidth="1"/>
    <col min="10501" max="10501" width="7.5703125" style="1565" customWidth="1"/>
    <col min="10502" max="10502" width="7.42578125" style="1565" customWidth="1"/>
    <col min="10503" max="10503" width="7.5703125" style="1565" customWidth="1"/>
    <col min="10504" max="10504" width="9.28515625" style="1565" customWidth="1"/>
    <col min="10505" max="10509" width="8.140625" style="1565" customWidth="1"/>
    <col min="10510" max="10510" width="10.85546875" style="1565" customWidth="1"/>
    <col min="10511" max="10751" width="9.140625" style="1565"/>
    <col min="10752" max="10752" width="4.140625" style="1565" customWidth="1"/>
    <col min="10753" max="10753" width="26.7109375" style="1565" customWidth="1"/>
    <col min="10754" max="10755" width="7.7109375" style="1565" customWidth="1"/>
    <col min="10756" max="10756" width="8.140625" style="1565" customWidth="1"/>
    <col min="10757" max="10757" width="7.5703125" style="1565" customWidth="1"/>
    <col min="10758" max="10758" width="7.42578125" style="1565" customWidth="1"/>
    <col min="10759" max="10759" width="7.5703125" style="1565" customWidth="1"/>
    <col min="10760" max="10760" width="9.28515625" style="1565" customWidth="1"/>
    <col min="10761" max="10765" width="8.140625" style="1565" customWidth="1"/>
    <col min="10766" max="10766" width="10.85546875" style="1565" customWidth="1"/>
    <col min="10767" max="11007" width="9.140625" style="1565"/>
    <col min="11008" max="11008" width="4.140625" style="1565" customWidth="1"/>
    <col min="11009" max="11009" width="26.7109375" style="1565" customWidth="1"/>
    <col min="11010" max="11011" width="7.7109375" style="1565" customWidth="1"/>
    <col min="11012" max="11012" width="8.140625" style="1565" customWidth="1"/>
    <col min="11013" max="11013" width="7.5703125" style="1565" customWidth="1"/>
    <col min="11014" max="11014" width="7.42578125" style="1565" customWidth="1"/>
    <col min="11015" max="11015" width="7.5703125" style="1565" customWidth="1"/>
    <col min="11016" max="11016" width="9.28515625" style="1565" customWidth="1"/>
    <col min="11017" max="11021" width="8.140625" style="1565" customWidth="1"/>
    <col min="11022" max="11022" width="10.85546875" style="1565" customWidth="1"/>
    <col min="11023" max="11263" width="9.140625" style="1565"/>
    <col min="11264" max="11264" width="4.140625" style="1565" customWidth="1"/>
    <col min="11265" max="11265" width="26.7109375" style="1565" customWidth="1"/>
    <col min="11266" max="11267" width="7.7109375" style="1565" customWidth="1"/>
    <col min="11268" max="11268" width="8.140625" style="1565" customWidth="1"/>
    <col min="11269" max="11269" width="7.5703125" style="1565" customWidth="1"/>
    <col min="11270" max="11270" width="7.42578125" style="1565" customWidth="1"/>
    <col min="11271" max="11271" width="7.5703125" style="1565" customWidth="1"/>
    <col min="11272" max="11272" width="9.28515625" style="1565" customWidth="1"/>
    <col min="11273" max="11277" width="8.140625" style="1565" customWidth="1"/>
    <col min="11278" max="11278" width="10.85546875" style="1565" customWidth="1"/>
    <col min="11279" max="11519" width="9.140625" style="1565"/>
    <col min="11520" max="11520" width="4.140625" style="1565" customWidth="1"/>
    <col min="11521" max="11521" width="26.7109375" style="1565" customWidth="1"/>
    <col min="11522" max="11523" width="7.7109375" style="1565" customWidth="1"/>
    <col min="11524" max="11524" width="8.140625" style="1565" customWidth="1"/>
    <col min="11525" max="11525" width="7.5703125" style="1565" customWidth="1"/>
    <col min="11526" max="11526" width="7.42578125" style="1565" customWidth="1"/>
    <col min="11527" max="11527" width="7.5703125" style="1565" customWidth="1"/>
    <col min="11528" max="11528" width="9.28515625" style="1565" customWidth="1"/>
    <col min="11529" max="11533" width="8.140625" style="1565" customWidth="1"/>
    <col min="11534" max="11534" width="10.85546875" style="1565" customWidth="1"/>
    <col min="11535" max="11775" width="9.140625" style="1565"/>
    <col min="11776" max="11776" width="4.140625" style="1565" customWidth="1"/>
    <col min="11777" max="11777" width="26.7109375" style="1565" customWidth="1"/>
    <col min="11778" max="11779" width="7.7109375" style="1565" customWidth="1"/>
    <col min="11780" max="11780" width="8.140625" style="1565" customWidth="1"/>
    <col min="11781" max="11781" width="7.5703125" style="1565" customWidth="1"/>
    <col min="11782" max="11782" width="7.42578125" style="1565" customWidth="1"/>
    <col min="11783" max="11783" width="7.5703125" style="1565" customWidth="1"/>
    <col min="11784" max="11784" width="9.28515625" style="1565" customWidth="1"/>
    <col min="11785" max="11789" width="8.140625" style="1565" customWidth="1"/>
    <col min="11790" max="11790" width="10.85546875" style="1565" customWidth="1"/>
    <col min="11791" max="12031" width="9.140625" style="1565"/>
    <col min="12032" max="12032" width="4.140625" style="1565" customWidth="1"/>
    <col min="12033" max="12033" width="26.7109375" style="1565" customWidth="1"/>
    <col min="12034" max="12035" width="7.7109375" style="1565" customWidth="1"/>
    <col min="12036" max="12036" width="8.140625" style="1565" customWidth="1"/>
    <col min="12037" max="12037" width="7.5703125" style="1565" customWidth="1"/>
    <col min="12038" max="12038" width="7.42578125" style="1565" customWidth="1"/>
    <col min="12039" max="12039" width="7.5703125" style="1565" customWidth="1"/>
    <col min="12040" max="12040" width="9.28515625" style="1565" customWidth="1"/>
    <col min="12041" max="12045" width="8.140625" style="1565" customWidth="1"/>
    <col min="12046" max="12046" width="10.85546875" style="1565" customWidth="1"/>
    <col min="12047" max="12287" width="9.140625" style="1565"/>
    <col min="12288" max="12288" width="4.140625" style="1565" customWidth="1"/>
    <col min="12289" max="12289" width="26.7109375" style="1565" customWidth="1"/>
    <col min="12290" max="12291" width="7.7109375" style="1565" customWidth="1"/>
    <col min="12292" max="12292" width="8.140625" style="1565" customWidth="1"/>
    <col min="12293" max="12293" width="7.5703125" style="1565" customWidth="1"/>
    <col min="12294" max="12294" width="7.42578125" style="1565" customWidth="1"/>
    <col min="12295" max="12295" width="7.5703125" style="1565" customWidth="1"/>
    <col min="12296" max="12296" width="9.28515625" style="1565" customWidth="1"/>
    <col min="12297" max="12301" width="8.140625" style="1565" customWidth="1"/>
    <col min="12302" max="12302" width="10.85546875" style="1565" customWidth="1"/>
    <col min="12303" max="12543" width="9.140625" style="1565"/>
    <col min="12544" max="12544" width="4.140625" style="1565" customWidth="1"/>
    <col min="12545" max="12545" width="26.7109375" style="1565" customWidth="1"/>
    <col min="12546" max="12547" width="7.7109375" style="1565" customWidth="1"/>
    <col min="12548" max="12548" width="8.140625" style="1565" customWidth="1"/>
    <col min="12549" max="12549" width="7.5703125" style="1565" customWidth="1"/>
    <col min="12550" max="12550" width="7.42578125" style="1565" customWidth="1"/>
    <col min="12551" max="12551" width="7.5703125" style="1565" customWidth="1"/>
    <col min="12552" max="12552" width="9.28515625" style="1565" customWidth="1"/>
    <col min="12553" max="12557" width="8.140625" style="1565" customWidth="1"/>
    <col min="12558" max="12558" width="10.85546875" style="1565" customWidth="1"/>
    <col min="12559" max="12799" width="9.140625" style="1565"/>
    <col min="12800" max="12800" width="4.140625" style="1565" customWidth="1"/>
    <col min="12801" max="12801" width="26.7109375" style="1565" customWidth="1"/>
    <col min="12802" max="12803" width="7.7109375" style="1565" customWidth="1"/>
    <col min="12804" max="12804" width="8.140625" style="1565" customWidth="1"/>
    <col min="12805" max="12805" width="7.5703125" style="1565" customWidth="1"/>
    <col min="12806" max="12806" width="7.42578125" style="1565" customWidth="1"/>
    <col min="12807" max="12807" width="7.5703125" style="1565" customWidth="1"/>
    <col min="12808" max="12808" width="9.28515625" style="1565" customWidth="1"/>
    <col min="12809" max="12813" width="8.140625" style="1565" customWidth="1"/>
    <col min="12814" max="12814" width="10.85546875" style="1565" customWidth="1"/>
    <col min="12815" max="13055" width="9.140625" style="1565"/>
    <col min="13056" max="13056" width="4.140625" style="1565" customWidth="1"/>
    <col min="13057" max="13057" width="26.7109375" style="1565" customWidth="1"/>
    <col min="13058" max="13059" width="7.7109375" style="1565" customWidth="1"/>
    <col min="13060" max="13060" width="8.140625" style="1565" customWidth="1"/>
    <col min="13061" max="13061" width="7.5703125" style="1565" customWidth="1"/>
    <col min="13062" max="13062" width="7.42578125" style="1565" customWidth="1"/>
    <col min="13063" max="13063" width="7.5703125" style="1565" customWidth="1"/>
    <col min="13064" max="13064" width="9.28515625" style="1565" customWidth="1"/>
    <col min="13065" max="13069" width="8.140625" style="1565" customWidth="1"/>
    <col min="13070" max="13070" width="10.85546875" style="1565" customWidth="1"/>
    <col min="13071" max="13311" width="9.140625" style="1565"/>
    <col min="13312" max="13312" width="4.140625" style="1565" customWidth="1"/>
    <col min="13313" max="13313" width="26.7109375" style="1565" customWidth="1"/>
    <col min="13314" max="13315" width="7.7109375" style="1565" customWidth="1"/>
    <col min="13316" max="13316" width="8.140625" style="1565" customWidth="1"/>
    <col min="13317" max="13317" width="7.5703125" style="1565" customWidth="1"/>
    <col min="13318" max="13318" width="7.42578125" style="1565" customWidth="1"/>
    <col min="13319" max="13319" width="7.5703125" style="1565" customWidth="1"/>
    <col min="13320" max="13320" width="9.28515625" style="1565" customWidth="1"/>
    <col min="13321" max="13325" width="8.140625" style="1565" customWidth="1"/>
    <col min="13326" max="13326" width="10.85546875" style="1565" customWidth="1"/>
    <col min="13327" max="13567" width="9.140625" style="1565"/>
    <col min="13568" max="13568" width="4.140625" style="1565" customWidth="1"/>
    <col min="13569" max="13569" width="26.7109375" style="1565" customWidth="1"/>
    <col min="13570" max="13571" width="7.7109375" style="1565" customWidth="1"/>
    <col min="13572" max="13572" width="8.140625" style="1565" customWidth="1"/>
    <col min="13573" max="13573" width="7.5703125" style="1565" customWidth="1"/>
    <col min="13574" max="13574" width="7.42578125" style="1565" customWidth="1"/>
    <col min="13575" max="13575" width="7.5703125" style="1565" customWidth="1"/>
    <col min="13576" max="13576" width="9.28515625" style="1565" customWidth="1"/>
    <col min="13577" max="13581" width="8.140625" style="1565" customWidth="1"/>
    <col min="13582" max="13582" width="10.85546875" style="1565" customWidth="1"/>
    <col min="13583" max="13823" width="9.140625" style="1565"/>
    <col min="13824" max="13824" width="4.140625" style="1565" customWidth="1"/>
    <col min="13825" max="13825" width="26.7109375" style="1565" customWidth="1"/>
    <col min="13826" max="13827" width="7.7109375" style="1565" customWidth="1"/>
    <col min="13828" max="13828" width="8.140625" style="1565" customWidth="1"/>
    <col min="13829" max="13829" width="7.5703125" style="1565" customWidth="1"/>
    <col min="13830" max="13830" width="7.42578125" style="1565" customWidth="1"/>
    <col min="13831" max="13831" width="7.5703125" style="1565" customWidth="1"/>
    <col min="13832" max="13832" width="9.28515625" style="1565" customWidth="1"/>
    <col min="13833" max="13837" width="8.140625" style="1565" customWidth="1"/>
    <col min="13838" max="13838" width="10.85546875" style="1565" customWidth="1"/>
    <col min="13839" max="14079" width="9.140625" style="1565"/>
    <col min="14080" max="14080" width="4.140625" style="1565" customWidth="1"/>
    <col min="14081" max="14081" width="26.7109375" style="1565" customWidth="1"/>
    <col min="14082" max="14083" width="7.7109375" style="1565" customWidth="1"/>
    <col min="14084" max="14084" width="8.140625" style="1565" customWidth="1"/>
    <col min="14085" max="14085" width="7.5703125" style="1565" customWidth="1"/>
    <col min="14086" max="14086" width="7.42578125" style="1565" customWidth="1"/>
    <col min="14087" max="14087" width="7.5703125" style="1565" customWidth="1"/>
    <col min="14088" max="14088" width="9.28515625" style="1565" customWidth="1"/>
    <col min="14089" max="14093" width="8.140625" style="1565" customWidth="1"/>
    <col min="14094" max="14094" width="10.85546875" style="1565" customWidth="1"/>
    <col min="14095" max="14335" width="9.140625" style="1565"/>
    <col min="14336" max="14336" width="4.140625" style="1565" customWidth="1"/>
    <col min="14337" max="14337" width="26.7109375" style="1565" customWidth="1"/>
    <col min="14338" max="14339" width="7.7109375" style="1565" customWidth="1"/>
    <col min="14340" max="14340" width="8.140625" style="1565" customWidth="1"/>
    <col min="14341" max="14341" width="7.5703125" style="1565" customWidth="1"/>
    <col min="14342" max="14342" width="7.42578125" style="1565" customWidth="1"/>
    <col min="14343" max="14343" width="7.5703125" style="1565" customWidth="1"/>
    <col min="14344" max="14344" width="9.28515625" style="1565" customWidth="1"/>
    <col min="14345" max="14349" width="8.140625" style="1565" customWidth="1"/>
    <col min="14350" max="14350" width="10.85546875" style="1565" customWidth="1"/>
    <col min="14351" max="14591" width="9.140625" style="1565"/>
    <col min="14592" max="14592" width="4.140625" style="1565" customWidth="1"/>
    <col min="14593" max="14593" width="26.7109375" style="1565" customWidth="1"/>
    <col min="14594" max="14595" width="7.7109375" style="1565" customWidth="1"/>
    <col min="14596" max="14596" width="8.140625" style="1565" customWidth="1"/>
    <col min="14597" max="14597" width="7.5703125" style="1565" customWidth="1"/>
    <col min="14598" max="14598" width="7.42578125" style="1565" customWidth="1"/>
    <col min="14599" max="14599" width="7.5703125" style="1565" customWidth="1"/>
    <col min="14600" max="14600" width="9.28515625" style="1565" customWidth="1"/>
    <col min="14601" max="14605" width="8.140625" style="1565" customWidth="1"/>
    <col min="14606" max="14606" width="10.85546875" style="1565" customWidth="1"/>
    <col min="14607" max="14847" width="9.140625" style="1565"/>
    <col min="14848" max="14848" width="4.140625" style="1565" customWidth="1"/>
    <col min="14849" max="14849" width="26.7109375" style="1565" customWidth="1"/>
    <col min="14850" max="14851" width="7.7109375" style="1565" customWidth="1"/>
    <col min="14852" max="14852" width="8.140625" style="1565" customWidth="1"/>
    <col min="14853" max="14853" width="7.5703125" style="1565" customWidth="1"/>
    <col min="14854" max="14854" width="7.42578125" style="1565" customWidth="1"/>
    <col min="14855" max="14855" width="7.5703125" style="1565" customWidth="1"/>
    <col min="14856" max="14856" width="9.28515625" style="1565" customWidth="1"/>
    <col min="14857" max="14861" width="8.140625" style="1565" customWidth="1"/>
    <col min="14862" max="14862" width="10.85546875" style="1565" customWidth="1"/>
    <col min="14863" max="15103" width="9.140625" style="1565"/>
    <col min="15104" max="15104" width="4.140625" style="1565" customWidth="1"/>
    <col min="15105" max="15105" width="26.7109375" style="1565" customWidth="1"/>
    <col min="15106" max="15107" width="7.7109375" style="1565" customWidth="1"/>
    <col min="15108" max="15108" width="8.140625" style="1565" customWidth="1"/>
    <col min="15109" max="15109" width="7.5703125" style="1565" customWidth="1"/>
    <col min="15110" max="15110" width="7.42578125" style="1565" customWidth="1"/>
    <col min="15111" max="15111" width="7.5703125" style="1565" customWidth="1"/>
    <col min="15112" max="15112" width="9.28515625" style="1565" customWidth="1"/>
    <col min="15113" max="15117" width="8.140625" style="1565" customWidth="1"/>
    <col min="15118" max="15118" width="10.85546875" style="1565" customWidth="1"/>
    <col min="15119" max="15359" width="9.140625" style="1565"/>
    <col min="15360" max="15360" width="4.140625" style="1565" customWidth="1"/>
    <col min="15361" max="15361" width="26.7109375" style="1565" customWidth="1"/>
    <col min="15362" max="15363" width="7.7109375" style="1565" customWidth="1"/>
    <col min="15364" max="15364" width="8.140625" style="1565" customWidth="1"/>
    <col min="15365" max="15365" width="7.5703125" style="1565" customWidth="1"/>
    <col min="15366" max="15366" width="7.42578125" style="1565" customWidth="1"/>
    <col min="15367" max="15367" width="7.5703125" style="1565" customWidth="1"/>
    <col min="15368" max="15368" width="9.28515625" style="1565" customWidth="1"/>
    <col min="15369" max="15373" width="8.140625" style="1565" customWidth="1"/>
    <col min="15374" max="15374" width="10.85546875" style="1565" customWidth="1"/>
    <col min="15375" max="15615" width="9.140625" style="1565"/>
    <col min="15616" max="15616" width="4.140625" style="1565" customWidth="1"/>
    <col min="15617" max="15617" width="26.7109375" style="1565" customWidth="1"/>
    <col min="15618" max="15619" width="7.7109375" style="1565" customWidth="1"/>
    <col min="15620" max="15620" width="8.140625" style="1565" customWidth="1"/>
    <col min="15621" max="15621" width="7.5703125" style="1565" customWidth="1"/>
    <col min="15622" max="15622" width="7.42578125" style="1565" customWidth="1"/>
    <col min="15623" max="15623" width="7.5703125" style="1565" customWidth="1"/>
    <col min="15624" max="15624" width="9.28515625" style="1565" customWidth="1"/>
    <col min="15625" max="15629" width="8.140625" style="1565" customWidth="1"/>
    <col min="15630" max="15630" width="10.85546875" style="1565" customWidth="1"/>
    <col min="15631" max="15871" width="9.140625" style="1565"/>
    <col min="15872" max="15872" width="4.140625" style="1565" customWidth="1"/>
    <col min="15873" max="15873" width="26.7109375" style="1565" customWidth="1"/>
    <col min="15874" max="15875" width="7.7109375" style="1565" customWidth="1"/>
    <col min="15876" max="15876" width="8.140625" style="1565" customWidth="1"/>
    <col min="15877" max="15877" width="7.5703125" style="1565" customWidth="1"/>
    <col min="15878" max="15878" width="7.42578125" style="1565" customWidth="1"/>
    <col min="15879" max="15879" width="7.5703125" style="1565" customWidth="1"/>
    <col min="15880" max="15880" width="9.28515625" style="1565" customWidth="1"/>
    <col min="15881" max="15885" width="8.140625" style="1565" customWidth="1"/>
    <col min="15886" max="15886" width="10.85546875" style="1565" customWidth="1"/>
    <col min="15887" max="16127" width="9.140625" style="1565"/>
    <col min="16128" max="16128" width="4.140625" style="1565" customWidth="1"/>
    <col min="16129" max="16129" width="26.7109375" style="1565" customWidth="1"/>
    <col min="16130" max="16131" width="7.7109375" style="1565" customWidth="1"/>
    <col min="16132" max="16132" width="8.140625" style="1565" customWidth="1"/>
    <col min="16133" max="16133" width="7.5703125" style="1565" customWidth="1"/>
    <col min="16134" max="16134" width="7.42578125" style="1565" customWidth="1"/>
    <col min="16135" max="16135" width="7.5703125" style="1565" customWidth="1"/>
    <col min="16136" max="16136" width="9.28515625" style="1565" customWidth="1"/>
    <col min="16137" max="16141" width="8.140625" style="1565" customWidth="1"/>
    <col min="16142" max="16142" width="10.85546875" style="1565" customWidth="1"/>
    <col min="16143" max="16384" width="9.140625" style="1565"/>
  </cols>
  <sheetData>
    <row r="1" spans="1:15" ht="31.5" customHeight="1" x14ac:dyDescent="0.25">
      <c r="A1" s="1896"/>
      <c r="B1" s="1897"/>
      <c r="C1" s="1897"/>
      <c r="D1" s="1897"/>
      <c r="E1" s="1897"/>
      <c r="F1" s="1897"/>
      <c r="G1" s="1897"/>
      <c r="H1" s="1897"/>
      <c r="I1" s="1897"/>
      <c r="J1" s="1897"/>
      <c r="K1" s="1897"/>
      <c r="L1" s="1897"/>
      <c r="M1" s="1897"/>
      <c r="N1" s="1897"/>
      <c r="O1" s="1897"/>
    </row>
    <row r="2" spans="1:15" x14ac:dyDescent="0.25">
      <c r="A2" s="1898" t="s">
        <v>1207</v>
      </c>
      <c r="B2" s="1899"/>
      <c r="C2" s="1899"/>
      <c r="D2" s="1899"/>
      <c r="E2" s="1899"/>
      <c r="F2" s="1899"/>
      <c r="G2" s="1899"/>
      <c r="H2" s="1899"/>
      <c r="I2" s="1899"/>
      <c r="J2" s="1899"/>
      <c r="K2" s="1899"/>
      <c r="L2" s="1899"/>
      <c r="M2" s="1899"/>
      <c r="N2" s="1899"/>
      <c r="O2" s="1899"/>
    </row>
    <row r="3" spans="1:15" s="1566" customFormat="1" ht="26.1" customHeight="1" thickBot="1" x14ac:dyDescent="0.3">
      <c r="B3" s="1565"/>
      <c r="C3" s="1565"/>
      <c r="D3" s="1565"/>
      <c r="E3" s="1565"/>
      <c r="F3" s="1565"/>
      <c r="G3" s="1565"/>
      <c r="H3" s="1565"/>
      <c r="I3" s="1565"/>
      <c r="J3" s="1565"/>
      <c r="K3" s="1565"/>
      <c r="L3" s="1565"/>
      <c r="M3" s="1565"/>
      <c r="N3" s="1565"/>
      <c r="O3" s="1685" t="s">
        <v>1069</v>
      </c>
    </row>
    <row r="4" spans="1:15" s="1574" customFormat="1" ht="15" customHeight="1" thickBot="1" x14ac:dyDescent="0.3">
      <c r="A4" s="1568" t="s">
        <v>1071</v>
      </c>
      <c r="B4" s="1569" t="s">
        <v>649</v>
      </c>
      <c r="C4" s="1569" t="s">
        <v>1149</v>
      </c>
      <c r="D4" s="1569" t="s">
        <v>1150</v>
      </c>
      <c r="E4" s="1569" t="s">
        <v>1151</v>
      </c>
      <c r="F4" s="1569" t="s">
        <v>1152</v>
      </c>
      <c r="G4" s="1569" t="s">
        <v>1153</v>
      </c>
      <c r="H4" s="1569" t="s">
        <v>1154</v>
      </c>
      <c r="I4" s="1569" t="s">
        <v>1155</v>
      </c>
      <c r="J4" s="1569" t="s">
        <v>1156</v>
      </c>
      <c r="K4" s="1569" t="s">
        <v>1157</v>
      </c>
      <c r="L4" s="1569" t="s">
        <v>1158</v>
      </c>
      <c r="M4" s="1569" t="s">
        <v>1159</v>
      </c>
      <c r="N4" s="1569" t="s">
        <v>1160</v>
      </c>
      <c r="O4" s="1570" t="s">
        <v>1135</v>
      </c>
    </row>
    <row r="5" spans="1:15" s="1574" customFormat="1" ht="16.5" thickBot="1" x14ac:dyDescent="0.3">
      <c r="A5" s="1572"/>
      <c r="B5" s="1893" t="s">
        <v>657</v>
      </c>
      <c r="C5" s="1894"/>
      <c r="D5" s="1894"/>
      <c r="E5" s="1894"/>
      <c r="F5" s="1894"/>
      <c r="G5" s="1894"/>
      <c r="H5" s="1894"/>
      <c r="I5" s="1894"/>
      <c r="J5" s="1894"/>
      <c r="K5" s="1894"/>
      <c r="L5" s="1894"/>
      <c r="M5" s="1894"/>
      <c r="N5" s="1894"/>
      <c r="O5" s="1895"/>
    </row>
    <row r="6" spans="1:15" s="1584" customFormat="1" x14ac:dyDescent="0.25">
      <c r="A6" s="1575" t="s">
        <v>696</v>
      </c>
      <c r="B6" s="1576" t="s">
        <v>1208</v>
      </c>
      <c r="C6" s="1696">
        <v>108182563</v>
      </c>
      <c r="D6" s="1697">
        <f>C16-C27</f>
        <v>197726373</v>
      </c>
      <c r="E6" s="1697">
        <f t="shared" ref="E6:N6" si="0">D16-D27</f>
        <v>196624265</v>
      </c>
      <c r="F6" s="1697">
        <f t="shared" si="0"/>
        <v>198226092</v>
      </c>
      <c r="G6" s="1697">
        <f t="shared" si="0"/>
        <v>197335455</v>
      </c>
      <c r="H6" s="1697">
        <f t="shared" si="0"/>
        <v>177484797</v>
      </c>
      <c r="I6" s="1697">
        <f t="shared" si="0"/>
        <v>175932662</v>
      </c>
      <c r="J6" s="1697">
        <f t="shared" si="0"/>
        <v>174537021</v>
      </c>
      <c r="K6" s="1697">
        <f t="shared" si="0"/>
        <v>159483429</v>
      </c>
      <c r="L6" s="1697">
        <f t="shared" si="0"/>
        <v>174395438</v>
      </c>
      <c r="M6" s="1697">
        <f t="shared" si="0"/>
        <v>159764830</v>
      </c>
      <c r="N6" s="1697">
        <f t="shared" si="0"/>
        <v>158379189</v>
      </c>
      <c r="O6" s="1686" t="s">
        <v>1209</v>
      </c>
    </row>
    <row r="7" spans="1:15" s="1584" customFormat="1" ht="22.5" x14ac:dyDescent="0.25">
      <c r="A7" s="1579" t="s">
        <v>710</v>
      </c>
      <c r="B7" s="1580" t="s">
        <v>990</v>
      </c>
      <c r="C7" s="1577">
        <v>14586424</v>
      </c>
      <c r="D7" s="1577">
        <v>14586424</v>
      </c>
      <c r="E7" s="1577">
        <v>14586424</v>
      </c>
      <c r="F7" s="1577">
        <v>14586424</v>
      </c>
      <c r="G7" s="1577">
        <v>14586424</v>
      </c>
      <c r="H7" s="1577">
        <v>14586424</v>
      </c>
      <c r="I7" s="1577">
        <v>14586424</v>
      </c>
      <c r="J7" s="1577">
        <v>14586424</v>
      </c>
      <c r="K7" s="1577">
        <v>14586424</v>
      </c>
      <c r="L7" s="1577">
        <v>14586424</v>
      </c>
      <c r="M7" s="1577">
        <v>14586424</v>
      </c>
      <c r="N7" s="1577">
        <v>14586422</v>
      </c>
      <c r="O7" s="1688">
        <f t="shared" ref="O7:O15" si="1">SUM(C7:N7)</f>
        <v>175037086</v>
      </c>
    </row>
    <row r="8" spans="1:15" s="1584" customFormat="1" ht="24" customHeight="1" x14ac:dyDescent="0.25">
      <c r="A8" s="1579" t="s">
        <v>724</v>
      </c>
      <c r="B8" s="1580" t="s">
        <v>1161</v>
      </c>
      <c r="C8" s="1581">
        <v>483300</v>
      </c>
      <c r="D8" s="1581">
        <v>483300</v>
      </c>
      <c r="E8" s="1581">
        <v>483300</v>
      </c>
      <c r="F8" s="1581">
        <v>689767</v>
      </c>
      <c r="G8" s="1581">
        <v>689767</v>
      </c>
      <c r="H8" s="1581">
        <v>689767</v>
      </c>
      <c r="I8" s="1581">
        <v>689767</v>
      </c>
      <c r="J8" s="1581">
        <v>689767</v>
      </c>
      <c r="K8" s="1581">
        <v>689767</v>
      </c>
      <c r="L8" s="1581">
        <v>689767</v>
      </c>
      <c r="M8" s="1581">
        <v>689767</v>
      </c>
      <c r="N8" s="1581">
        <v>689764</v>
      </c>
      <c r="O8" s="1688">
        <f t="shared" si="1"/>
        <v>7657800</v>
      </c>
    </row>
    <row r="9" spans="1:15" s="1584" customFormat="1" ht="24.75" customHeight="1" x14ac:dyDescent="0.25">
      <c r="A9" s="1579" t="s">
        <v>900</v>
      </c>
      <c r="B9" s="1585" t="s">
        <v>1162</v>
      </c>
      <c r="C9" s="1586"/>
      <c r="D9" s="1586"/>
      <c r="E9" s="1586"/>
      <c r="F9" s="1586"/>
      <c r="G9" s="1586"/>
      <c r="H9" s="1586"/>
      <c r="I9" s="1586"/>
      <c r="J9" s="1586"/>
      <c r="K9" s="1586"/>
      <c r="L9" s="1586"/>
      <c r="M9" s="1586"/>
      <c r="N9" s="1586"/>
      <c r="O9" s="1688">
        <f t="shared" si="1"/>
        <v>0</v>
      </c>
    </row>
    <row r="10" spans="1:15" s="1584" customFormat="1" ht="14.1" customHeight="1" x14ac:dyDescent="0.25">
      <c r="A10" s="1579" t="s">
        <v>753</v>
      </c>
      <c r="B10" s="1588" t="s">
        <v>250</v>
      </c>
      <c r="C10" s="1581">
        <v>3657600</v>
      </c>
      <c r="D10" s="1581">
        <v>3657600</v>
      </c>
      <c r="E10" s="1581">
        <v>27432000</v>
      </c>
      <c r="F10" s="1581">
        <v>3657600</v>
      </c>
      <c r="G10" s="1581">
        <v>3657600</v>
      </c>
      <c r="H10" s="1581">
        <v>3657600</v>
      </c>
      <c r="I10" s="1581">
        <v>3657600</v>
      </c>
      <c r="J10" s="1581">
        <v>3657600</v>
      </c>
      <c r="K10" s="1581">
        <v>27432000</v>
      </c>
      <c r="L10" s="1581">
        <v>3657600</v>
      </c>
      <c r="M10" s="1581">
        <v>3657600</v>
      </c>
      <c r="N10" s="1581">
        <v>3657600</v>
      </c>
      <c r="O10" s="1688">
        <f t="shared" si="1"/>
        <v>91440000</v>
      </c>
    </row>
    <row r="11" spans="1:15" s="1584" customFormat="1" ht="14.1" customHeight="1" x14ac:dyDescent="0.25">
      <c r="A11" s="1579" t="s">
        <v>775</v>
      </c>
      <c r="B11" s="1588" t="s">
        <v>79</v>
      </c>
      <c r="C11" s="1581">
        <v>3341216</v>
      </c>
      <c r="D11" s="1581">
        <v>3341216</v>
      </c>
      <c r="E11" s="1581">
        <v>3341216</v>
      </c>
      <c r="F11" s="1581">
        <v>3341220</v>
      </c>
      <c r="G11" s="1581">
        <v>3341216</v>
      </c>
      <c r="H11" s="1581">
        <v>4245954</v>
      </c>
      <c r="I11" s="1581">
        <v>3341216</v>
      </c>
      <c r="J11" s="1581">
        <v>3341220</v>
      </c>
      <c r="K11" s="1581">
        <v>3341216</v>
      </c>
      <c r="L11" s="1581">
        <v>3341216</v>
      </c>
      <c r="M11" s="1581">
        <v>3341216</v>
      </c>
      <c r="N11" s="1581">
        <v>3341216</v>
      </c>
      <c r="O11" s="1688">
        <f t="shared" si="1"/>
        <v>40999338</v>
      </c>
    </row>
    <row r="12" spans="1:15" s="1584" customFormat="1" x14ac:dyDescent="0.25">
      <c r="A12" s="1579" t="s">
        <v>911</v>
      </c>
      <c r="B12" s="1588" t="s">
        <v>149</v>
      </c>
      <c r="C12" s="1581"/>
      <c r="D12" s="1581"/>
      <c r="E12" s="1581"/>
      <c r="F12" s="1581"/>
      <c r="G12" s="1581"/>
      <c r="H12" s="1581">
        <v>152362</v>
      </c>
      <c r="I12" s="1581"/>
      <c r="J12" s="1581"/>
      <c r="K12" s="1581"/>
      <c r="L12" s="1581"/>
      <c r="M12" s="1581"/>
      <c r="N12" s="1581"/>
      <c r="O12" s="1688">
        <f t="shared" si="1"/>
        <v>152362</v>
      </c>
    </row>
    <row r="13" spans="1:15" s="1584" customFormat="1" ht="14.1" customHeight="1" x14ac:dyDescent="0.25">
      <c r="A13" s="1579" t="s">
        <v>796</v>
      </c>
      <c r="B13" s="1588" t="s">
        <v>960</v>
      </c>
      <c r="C13" s="1687"/>
      <c r="D13" s="1687"/>
      <c r="E13" s="1687"/>
      <c r="F13" s="1687"/>
      <c r="G13" s="1687"/>
      <c r="H13" s="1687"/>
      <c r="I13" s="1687"/>
      <c r="J13" s="1687"/>
      <c r="K13" s="1687"/>
      <c r="L13" s="1687"/>
      <c r="M13" s="1687"/>
      <c r="N13" s="1687"/>
      <c r="O13" s="1688">
        <f t="shared" si="1"/>
        <v>0</v>
      </c>
    </row>
    <row r="14" spans="1:15" s="1574" customFormat="1" ht="30" customHeight="1" x14ac:dyDescent="0.25">
      <c r="A14" s="1579" t="s">
        <v>806</v>
      </c>
      <c r="B14" s="1580" t="s">
        <v>961</v>
      </c>
      <c r="C14" s="1687"/>
      <c r="D14" s="1687"/>
      <c r="E14" s="1687"/>
      <c r="F14" s="1687"/>
      <c r="G14" s="1687"/>
      <c r="H14" s="1687"/>
      <c r="I14" s="1687"/>
      <c r="J14" s="1687"/>
      <c r="K14" s="1687"/>
      <c r="L14" s="1687"/>
      <c r="M14" s="1687"/>
      <c r="N14" s="1687"/>
      <c r="O14" s="1688">
        <f t="shared" si="1"/>
        <v>0</v>
      </c>
    </row>
    <row r="15" spans="1:15" s="1574" customFormat="1" ht="15" customHeight="1" thickBot="1" x14ac:dyDescent="0.3">
      <c r="A15" s="1579" t="s">
        <v>923</v>
      </c>
      <c r="B15" s="1588" t="s">
        <v>132</v>
      </c>
      <c r="C15" s="1581">
        <v>97354513</v>
      </c>
      <c r="D15" s="1687"/>
      <c r="E15" s="1687"/>
      <c r="F15" s="1687"/>
      <c r="G15" s="1687"/>
      <c r="H15" s="1687"/>
      <c r="I15" s="1687"/>
      <c r="J15" s="1687"/>
      <c r="K15" s="1687"/>
      <c r="L15" s="1687"/>
      <c r="M15" s="1687"/>
      <c r="N15" s="1687"/>
      <c r="O15" s="1688">
        <f t="shared" si="1"/>
        <v>97354513</v>
      </c>
    </row>
    <row r="16" spans="1:15" s="1584" customFormat="1" ht="14.1" customHeight="1" thickBot="1" x14ac:dyDescent="0.3">
      <c r="A16" s="1572" t="s">
        <v>996</v>
      </c>
      <c r="B16" s="1589" t="s">
        <v>1163</v>
      </c>
      <c r="C16" s="1689">
        <f t="shared" ref="C16:N16" si="2">SUM(C6:C15)</f>
        <v>227605616</v>
      </c>
      <c r="D16" s="1689">
        <f t="shared" si="2"/>
        <v>219794913</v>
      </c>
      <c r="E16" s="1689">
        <f t="shared" si="2"/>
        <v>242467205</v>
      </c>
      <c r="F16" s="1689">
        <f t="shared" si="2"/>
        <v>220501103</v>
      </c>
      <c r="G16" s="1689">
        <f t="shared" si="2"/>
        <v>219610462</v>
      </c>
      <c r="H16" s="1689">
        <f t="shared" si="2"/>
        <v>200816904</v>
      </c>
      <c r="I16" s="1689">
        <f t="shared" si="2"/>
        <v>198207669</v>
      </c>
      <c r="J16" s="1689">
        <f t="shared" si="2"/>
        <v>196812032</v>
      </c>
      <c r="K16" s="1689">
        <f t="shared" si="2"/>
        <v>205532836</v>
      </c>
      <c r="L16" s="1689">
        <f t="shared" si="2"/>
        <v>196670445</v>
      </c>
      <c r="M16" s="1689">
        <f t="shared" si="2"/>
        <v>182039837</v>
      </c>
      <c r="N16" s="1689">
        <f t="shared" si="2"/>
        <v>180654191</v>
      </c>
      <c r="O16" s="1690">
        <f>C6+O7+O8+O9+O10+O11+O12+O13+O14+O15</f>
        <v>520823662</v>
      </c>
    </row>
    <row r="17" spans="1:15" s="1584" customFormat="1" ht="27" customHeight="1" thickBot="1" x14ac:dyDescent="0.3">
      <c r="A17" s="1572"/>
      <c r="B17" s="1893" t="s">
        <v>856</v>
      </c>
      <c r="C17" s="1900"/>
      <c r="D17" s="1900"/>
      <c r="E17" s="1900"/>
      <c r="F17" s="1900"/>
      <c r="G17" s="1900"/>
      <c r="H17" s="1900"/>
      <c r="I17" s="1900"/>
      <c r="J17" s="1900"/>
      <c r="K17" s="1900"/>
      <c r="L17" s="1900"/>
      <c r="M17" s="1900"/>
      <c r="N17" s="1900"/>
      <c r="O17" s="1901"/>
    </row>
    <row r="18" spans="1:15" s="1584" customFormat="1" ht="14.1" customHeight="1" x14ac:dyDescent="0.25">
      <c r="A18" s="1592" t="s">
        <v>997</v>
      </c>
      <c r="B18" s="1593" t="s">
        <v>20</v>
      </c>
      <c r="C18" s="1586">
        <v>12934092</v>
      </c>
      <c r="D18" s="1586">
        <v>12934092</v>
      </c>
      <c r="E18" s="1586">
        <v>12934092</v>
      </c>
      <c r="F18" s="1586">
        <v>12934092</v>
      </c>
      <c r="G18" s="1586">
        <v>12934092</v>
      </c>
      <c r="H18" s="1586">
        <v>12934092</v>
      </c>
      <c r="I18" s="1586">
        <v>12934092</v>
      </c>
      <c r="J18" s="1586">
        <v>12934092</v>
      </c>
      <c r="K18" s="1586">
        <v>12934092</v>
      </c>
      <c r="L18" s="1586">
        <v>12934092</v>
      </c>
      <c r="M18" s="1586">
        <v>12934092</v>
      </c>
      <c r="N18" s="1586">
        <v>12934089</v>
      </c>
      <c r="O18" s="1691">
        <f t="shared" ref="O18:O24" si="3">SUM(C18:N18)</f>
        <v>155209101</v>
      </c>
    </row>
    <row r="19" spans="1:15" s="1584" customFormat="1" ht="27" customHeight="1" x14ac:dyDescent="0.25">
      <c r="A19" s="1579" t="s">
        <v>998</v>
      </c>
      <c r="B19" s="1580" t="s">
        <v>25</v>
      </c>
      <c r="C19" s="1581">
        <v>2449854</v>
      </c>
      <c r="D19" s="1581">
        <v>2449854</v>
      </c>
      <c r="E19" s="1581">
        <v>2449854</v>
      </c>
      <c r="F19" s="1581">
        <v>2449854</v>
      </c>
      <c r="G19" s="1581">
        <v>2449854</v>
      </c>
      <c r="H19" s="1581">
        <v>2449854</v>
      </c>
      <c r="I19" s="1581">
        <v>2449854</v>
      </c>
      <c r="J19" s="1581">
        <v>2449854</v>
      </c>
      <c r="K19" s="1581">
        <v>2449854</v>
      </c>
      <c r="L19" s="1581">
        <v>2449854</v>
      </c>
      <c r="M19" s="1581">
        <v>2449854</v>
      </c>
      <c r="N19" s="1581">
        <v>2449854</v>
      </c>
      <c r="O19" s="1688">
        <f t="shared" si="3"/>
        <v>29398248</v>
      </c>
    </row>
    <row r="20" spans="1:15" s="1584" customFormat="1" ht="14.1" customHeight="1" x14ac:dyDescent="0.25">
      <c r="A20" s="1579" t="s">
        <v>1001</v>
      </c>
      <c r="B20" s="1588" t="s">
        <v>51</v>
      </c>
      <c r="C20" s="1581">
        <v>7776702</v>
      </c>
      <c r="D20" s="1581">
        <v>7776702</v>
      </c>
      <c r="E20" s="1581">
        <v>7776702</v>
      </c>
      <c r="F20" s="1581">
        <v>7776702</v>
      </c>
      <c r="G20" s="1581">
        <v>7776702</v>
      </c>
      <c r="H20" s="1581">
        <v>8198802</v>
      </c>
      <c r="I20" s="1581">
        <v>7776702</v>
      </c>
      <c r="J20" s="1581">
        <v>7776702</v>
      </c>
      <c r="K20" s="1581">
        <v>7776702</v>
      </c>
      <c r="L20" s="1581">
        <v>7776702</v>
      </c>
      <c r="M20" s="1581">
        <v>7776702</v>
      </c>
      <c r="N20" s="1581">
        <v>7776705</v>
      </c>
      <c r="O20" s="1688">
        <f t="shared" si="3"/>
        <v>93742527</v>
      </c>
    </row>
    <row r="21" spans="1:15" s="1584" customFormat="1" ht="14.1" customHeight="1" x14ac:dyDescent="0.25">
      <c r="A21" s="1579" t="s">
        <v>1004</v>
      </c>
      <c r="B21" s="1588" t="s">
        <v>1210</v>
      </c>
      <c r="C21" s="1581">
        <v>5000</v>
      </c>
      <c r="D21" s="1581">
        <v>10000</v>
      </c>
      <c r="E21" s="1581">
        <v>1003000</v>
      </c>
      <c r="F21" s="1581">
        <v>5000</v>
      </c>
      <c r="G21" s="1581">
        <v>10000</v>
      </c>
      <c r="H21" s="1581">
        <v>5000</v>
      </c>
      <c r="I21" s="1581">
        <v>10000</v>
      </c>
      <c r="J21" s="1581">
        <v>10000</v>
      </c>
      <c r="K21" s="1581">
        <v>800000</v>
      </c>
      <c r="L21" s="1581">
        <v>400000</v>
      </c>
      <c r="M21" s="1581"/>
      <c r="N21" s="1581">
        <v>500000</v>
      </c>
      <c r="O21" s="1688">
        <f t="shared" si="3"/>
        <v>2758000</v>
      </c>
    </row>
    <row r="22" spans="1:15" s="1584" customFormat="1" x14ac:dyDescent="0.25">
      <c r="A22" s="1579" t="s">
        <v>1007</v>
      </c>
      <c r="B22" s="1588" t="s">
        <v>55</v>
      </c>
      <c r="C22" s="1581"/>
      <c r="D22" s="1581"/>
      <c r="E22" s="1581">
        <v>7000000</v>
      </c>
      <c r="F22" s="1581"/>
      <c r="G22" s="1581">
        <v>4255000</v>
      </c>
      <c r="H22" s="1581"/>
      <c r="I22" s="1581">
        <v>500000</v>
      </c>
      <c r="J22" s="1581"/>
      <c r="K22" s="1581">
        <v>5000000</v>
      </c>
      <c r="L22" s="1581">
        <v>240000</v>
      </c>
      <c r="M22" s="1581">
        <v>500000</v>
      </c>
      <c r="N22" s="1581">
        <v>1000000</v>
      </c>
      <c r="O22" s="1688">
        <f t="shared" si="3"/>
        <v>18495000</v>
      </c>
    </row>
    <row r="23" spans="1:15" s="1584" customFormat="1" ht="14.1" customHeight="1" x14ac:dyDescent="0.25">
      <c r="A23" s="1579" t="s">
        <v>1010</v>
      </c>
      <c r="B23" s="1588" t="s">
        <v>63</v>
      </c>
      <c r="C23" s="1581"/>
      <c r="D23" s="1581"/>
      <c r="E23" s="1581"/>
      <c r="F23" s="1581"/>
      <c r="G23" s="1581">
        <v>1622552</v>
      </c>
      <c r="H23" s="1581"/>
      <c r="I23" s="1581"/>
      <c r="J23" s="1581">
        <v>1080490</v>
      </c>
      <c r="K23" s="1581">
        <v>2176750</v>
      </c>
      <c r="L23" s="1581">
        <v>428500</v>
      </c>
      <c r="M23" s="1581"/>
      <c r="N23" s="1581"/>
      <c r="O23" s="1688">
        <f t="shared" si="3"/>
        <v>5308292</v>
      </c>
    </row>
    <row r="24" spans="1:15" s="1584" customFormat="1" ht="14.1" customHeight="1" x14ac:dyDescent="0.25">
      <c r="A24" s="1579" t="s">
        <v>1013</v>
      </c>
      <c r="B24" s="1580" t="s">
        <v>153</v>
      </c>
      <c r="C24" s="1581"/>
      <c r="D24" s="1581"/>
      <c r="E24" s="1581">
        <v>13077465</v>
      </c>
      <c r="F24" s="1581"/>
      <c r="G24" s="1581">
        <v>13077465</v>
      </c>
      <c r="H24" s="1581">
        <v>1296494</v>
      </c>
      <c r="I24" s="1581"/>
      <c r="J24" s="1581">
        <v>13077465</v>
      </c>
      <c r="K24" s="1581"/>
      <c r="L24" s="1581">
        <v>12676467</v>
      </c>
      <c r="M24" s="1581"/>
      <c r="N24" s="1581"/>
      <c r="O24" s="1688">
        <f t="shared" si="3"/>
        <v>53205356</v>
      </c>
    </row>
    <row r="25" spans="1:15" s="1584" customFormat="1" ht="14.1" customHeight="1" x14ac:dyDescent="0.25">
      <c r="A25" s="1579" t="s">
        <v>1016</v>
      </c>
      <c r="B25" s="1588" t="s">
        <v>883</v>
      </c>
      <c r="C25" s="1687"/>
      <c r="D25" s="1687"/>
      <c r="E25" s="1687"/>
      <c r="F25" s="1687"/>
      <c r="G25" s="1687"/>
      <c r="H25" s="1687"/>
      <c r="I25" s="1687"/>
      <c r="J25" s="1687"/>
      <c r="K25" s="1687"/>
      <c r="L25" s="1687"/>
      <c r="M25" s="1687"/>
      <c r="N25" s="1687"/>
      <c r="O25" s="1688">
        <f>SUM(C25:N25)</f>
        <v>0</v>
      </c>
    </row>
    <row r="26" spans="1:15" s="1574" customFormat="1" ht="15.95" customHeight="1" thickBot="1" x14ac:dyDescent="0.3">
      <c r="A26" s="1579" t="s">
        <v>1019</v>
      </c>
      <c r="B26" s="1588" t="s">
        <v>138</v>
      </c>
      <c r="C26" s="1581">
        <v>6713595</v>
      </c>
      <c r="D26" s="1687"/>
      <c r="E26" s="1687"/>
      <c r="F26" s="1687"/>
      <c r="G26" s="1687"/>
      <c r="H26" s="1687"/>
      <c r="I26" s="1687"/>
      <c r="J26" s="1687"/>
      <c r="K26" s="1687"/>
      <c r="L26" s="1687"/>
      <c r="M26" s="1687"/>
      <c r="N26" s="1687"/>
      <c r="O26" s="1688">
        <f>SUM(C26:N26)</f>
        <v>6713595</v>
      </c>
    </row>
    <row r="27" spans="1:15" ht="16.5" thickBot="1" x14ac:dyDescent="0.3">
      <c r="A27" s="1692" t="s">
        <v>1022</v>
      </c>
      <c r="B27" s="1589" t="s">
        <v>1165</v>
      </c>
      <c r="C27" s="1689">
        <f t="shared" ref="C27:N27" si="4">SUM(C18:C26)</f>
        <v>29879243</v>
      </c>
      <c r="D27" s="1689">
        <f t="shared" si="4"/>
        <v>23170648</v>
      </c>
      <c r="E27" s="1689">
        <f t="shared" si="4"/>
        <v>44241113</v>
      </c>
      <c r="F27" s="1689">
        <f t="shared" si="4"/>
        <v>23165648</v>
      </c>
      <c r="G27" s="1689">
        <f t="shared" si="4"/>
        <v>42125665</v>
      </c>
      <c r="H27" s="1689">
        <f t="shared" si="4"/>
        <v>24884242</v>
      </c>
      <c r="I27" s="1689">
        <f t="shared" si="4"/>
        <v>23670648</v>
      </c>
      <c r="J27" s="1689">
        <f t="shared" si="4"/>
        <v>37328603</v>
      </c>
      <c r="K27" s="1689">
        <f t="shared" si="4"/>
        <v>31137398</v>
      </c>
      <c r="L27" s="1689">
        <f t="shared" si="4"/>
        <v>36905615</v>
      </c>
      <c r="M27" s="1689">
        <f t="shared" si="4"/>
        <v>23660648</v>
      </c>
      <c r="N27" s="1689">
        <f t="shared" si="4"/>
        <v>24660648</v>
      </c>
      <c r="O27" s="1693">
        <f>SUM(C27:N27)</f>
        <v>364830119</v>
      </c>
    </row>
    <row r="28" spans="1:15" ht="16.5" thickBot="1" x14ac:dyDescent="0.3">
      <c r="A28" s="1692" t="s">
        <v>1025</v>
      </c>
      <c r="B28" s="1594" t="s">
        <v>1211</v>
      </c>
      <c r="C28" s="1694">
        <f t="shared" ref="C28:N28" si="5">C16-C27</f>
        <v>197726373</v>
      </c>
      <c r="D28" s="1694">
        <f t="shared" si="5"/>
        <v>196624265</v>
      </c>
      <c r="E28" s="1694">
        <f t="shared" si="5"/>
        <v>198226092</v>
      </c>
      <c r="F28" s="1694">
        <f t="shared" si="5"/>
        <v>197335455</v>
      </c>
      <c r="G28" s="1694">
        <f t="shared" si="5"/>
        <v>177484797</v>
      </c>
      <c r="H28" s="1694">
        <f t="shared" si="5"/>
        <v>175932662</v>
      </c>
      <c r="I28" s="1694">
        <f t="shared" si="5"/>
        <v>174537021</v>
      </c>
      <c r="J28" s="1694">
        <f t="shared" si="5"/>
        <v>159483429</v>
      </c>
      <c r="K28" s="1694">
        <f t="shared" si="5"/>
        <v>174395438</v>
      </c>
      <c r="L28" s="1694">
        <f t="shared" si="5"/>
        <v>159764830</v>
      </c>
      <c r="M28" s="1694">
        <f t="shared" si="5"/>
        <v>158379189</v>
      </c>
      <c r="N28" s="1694">
        <f t="shared" si="5"/>
        <v>155993543</v>
      </c>
      <c r="O28" s="1695" t="s">
        <v>1209</v>
      </c>
    </row>
    <row r="29" spans="1:15" x14ac:dyDescent="0.25">
      <c r="B29" s="1598"/>
      <c r="C29" s="1599"/>
      <c r="D29" s="1599"/>
      <c r="O29" s="1565"/>
    </row>
    <row r="30" spans="1:15" x14ac:dyDescent="0.25">
      <c r="O30" s="1565"/>
    </row>
    <row r="31" spans="1:15" x14ac:dyDescent="0.25">
      <c r="O31" s="1565"/>
    </row>
    <row r="32" spans="1:15" x14ac:dyDescent="0.25">
      <c r="O32" s="1565"/>
    </row>
    <row r="33" spans="15:15" x14ac:dyDescent="0.25">
      <c r="O33" s="1565"/>
    </row>
    <row r="34" spans="15:15" x14ac:dyDescent="0.25">
      <c r="O34" s="1565"/>
    </row>
    <row r="35" spans="15:15" x14ac:dyDescent="0.25">
      <c r="O35" s="1565"/>
    </row>
    <row r="36" spans="15:15" x14ac:dyDescent="0.25">
      <c r="O36" s="1565"/>
    </row>
    <row r="37" spans="15:15" x14ac:dyDescent="0.25">
      <c r="O37" s="1565"/>
    </row>
    <row r="38" spans="15:15" x14ac:dyDescent="0.25">
      <c r="O38" s="1565"/>
    </row>
    <row r="39" spans="15:15" x14ac:dyDescent="0.25">
      <c r="O39" s="1565"/>
    </row>
    <row r="40" spans="15:15" x14ac:dyDescent="0.25">
      <c r="O40" s="1565"/>
    </row>
    <row r="41" spans="15:15" x14ac:dyDescent="0.25">
      <c r="O41" s="1565"/>
    </row>
    <row r="42" spans="15:15" x14ac:dyDescent="0.25">
      <c r="O42" s="1565"/>
    </row>
    <row r="43" spans="15:15" x14ac:dyDescent="0.25">
      <c r="O43" s="1565"/>
    </row>
    <row r="44" spans="15:15" x14ac:dyDescent="0.25">
      <c r="O44" s="1565"/>
    </row>
    <row r="45" spans="15:15" x14ac:dyDescent="0.25">
      <c r="O45" s="1565"/>
    </row>
    <row r="46" spans="15:15" x14ac:dyDescent="0.25">
      <c r="O46" s="1565"/>
    </row>
    <row r="47" spans="15:15" x14ac:dyDescent="0.25">
      <c r="O47" s="1565"/>
    </row>
    <row r="48" spans="15:15" x14ac:dyDescent="0.25">
      <c r="O48" s="1565"/>
    </row>
    <row r="49" spans="15:15" x14ac:dyDescent="0.25">
      <c r="O49" s="1565"/>
    </row>
    <row r="50" spans="15:15" x14ac:dyDescent="0.25">
      <c r="O50" s="1565"/>
    </row>
    <row r="51" spans="15:15" x14ac:dyDescent="0.25">
      <c r="O51" s="1565"/>
    </row>
    <row r="52" spans="15:15" x14ac:dyDescent="0.25">
      <c r="O52" s="1565"/>
    </row>
    <row r="53" spans="15:15" x14ac:dyDescent="0.25">
      <c r="O53" s="1565"/>
    </row>
    <row r="54" spans="15:15" x14ac:dyDescent="0.25">
      <c r="O54" s="1565"/>
    </row>
    <row r="55" spans="15:15" x14ac:dyDescent="0.25">
      <c r="O55" s="1565"/>
    </row>
    <row r="56" spans="15:15" x14ac:dyDescent="0.25">
      <c r="O56" s="1565"/>
    </row>
    <row r="57" spans="15:15" x14ac:dyDescent="0.25">
      <c r="O57" s="1565"/>
    </row>
    <row r="58" spans="15:15" x14ac:dyDescent="0.25">
      <c r="O58" s="1565"/>
    </row>
    <row r="59" spans="15:15" x14ac:dyDescent="0.25">
      <c r="O59" s="1565"/>
    </row>
    <row r="60" spans="15:15" x14ac:dyDescent="0.25">
      <c r="O60" s="1565"/>
    </row>
    <row r="61" spans="15:15" x14ac:dyDescent="0.25">
      <c r="O61" s="1565"/>
    </row>
    <row r="62" spans="15:15" x14ac:dyDescent="0.25">
      <c r="O62" s="1565"/>
    </row>
    <row r="63" spans="15:15" x14ac:dyDescent="0.25">
      <c r="O63" s="1565"/>
    </row>
    <row r="64" spans="15:15" x14ac:dyDescent="0.25">
      <c r="O64" s="1565"/>
    </row>
    <row r="65" spans="15:15" x14ac:dyDescent="0.25">
      <c r="O65" s="1565"/>
    </row>
    <row r="66" spans="15:15" x14ac:dyDescent="0.25">
      <c r="O66" s="1565"/>
    </row>
    <row r="67" spans="15:15" x14ac:dyDescent="0.25">
      <c r="O67" s="1565"/>
    </row>
    <row r="68" spans="15:15" x14ac:dyDescent="0.25">
      <c r="O68" s="1565"/>
    </row>
    <row r="69" spans="15:15" x14ac:dyDescent="0.25">
      <c r="O69" s="1565"/>
    </row>
    <row r="70" spans="15:15" x14ac:dyDescent="0.25">
      <c r="O70" s="1565"/>
    </row>
    <row r="71" spans="15:15" x14ac:dyDescent="0.25">
      <c r="O71" s="1565"/>
    </row>
    <row r="72" spans="15:15" x14ac:dyDescent="0.25">
      <c r="O72" s="1565"/>
    </row>
    <row r="73" spans="15:15" x14ac:dyDescent="0.25">
      <c r="O73" s="1565"/>
    </row>
    <row r="74" spans="15:15" x14ac:dyDescent="0.25">
      <c r="O74" s="1565"/>
    </row>
    <row r="75" spans="15:15" x14ac:dyDescent="0.25">
      <c r="O75" s="1565"/>
    </row>
    <row r="76" spans="15:15" x14ac:dyDescent="0.25">
      <c r="O76" s="1565"/>
    </row>
    <row r="77" spans="15:15" x14ac:dyDescent="0.25">
      <c r="O77" s="1565"/>
    </row>
    <row r="78" spans="15:15" x14ac:dyDescent="0.25">
      <c r="O78" s="1565"/>
    </row>
    <row r="79" spans="15:15" x14ac:dyDescent="0.25">
      <c r="O79" s="1565"/>
    </row>
    <row r="80" spans="15:15" x14ac:dyDescent="0.25">
      <c r="O80" s="1565"/>
    </row>
    <row r="81" spans="15:15" x14ac:dyDescent="0.25">
      <c r="O81" s="1565"/>
    </row>
    <row r="82" spans="15:15" x14ac:dyDescent="0.25">
      <c r="O82" s="1565"/>
    </row>
  </sheetData>
  <sheetProtection selectLockedCells="1" selectUnlockedCells="1"/>
  <mergeCells count="4">
    <mergeCell ref="A1:O1"/>
    <mergeCell ref="A2:O2"/>
    <mergeCell ref="B5:O5"/>
    <mergeCell ref="B17:O17"/>
  </mergeCells>
  <printOptions horizontalCentered="1"/>
  <pageMargins left="0.78740157480314965" right="0.78740157480314965" top="1.0687500000000001" bottom="0.98425196850393704" header="0.78740157480314965" footer="0.78740157480314965"/>
  <pageSetup paperSize="9" scale="74" orientation="landscape" r:id="rId1"/>
  <headerFooter alignWithMargins="0">
    <oddHeader>&amp;R&amp;"Times New Roman CE,Félkövér dőlt" 1. számú tájékoztató tábla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2" tint="-0.499984740745262"/>
  </sheetPr>
  <dimension ref="A1:E27"/>
  <sheetViews>
    <sheetView view="pageBreakPreview" zoomScaleNormal="100" zoomScaleSheetLayoutView="100" workbookViewId="0">
      <selection activeCell="G33" sqref="G33"/>
    </sheetView>
  </sheetViews>
  <sheetFormatPr defaultRowHeight="12.75" x14ac:dyDescent="0.2"/>
  <cols>
    <col min="1" max="1" width="5.7109375" style="1483" customWidth="1"/>
    <col min="2" max="2" width="32.28515625" style="1483" customWidth="1"/>
    <col min="3" max="3" width="21.28515625" style="1483" customWidth="1"/>
    <col min="4" max="5" width="11.5703125" style="1483" customWidth="1"/>
    <col min="6" max="256" width="9.140625" style="1483"/>
    <col min="257" max="257" width="5.7109375" style="1483" customWidth="1"/>
    <col min="258" max="258" width="32.28515625" style="1483" customWidth="1"/>
    <col min="259" max="259" width="21.28515625" style="1483" customWidth="1"/>
    <col min="260" max="260" width="11.5703125" style="1483" customWidth="1"/>
    <col min="261" max="512" width="9.140625" style="1483"/>
    <col min="513" max="513" width="5.7109375" style="1483" customWidth="1"/>
    <col min="514" max="514" width="32.28515625" style="1483" customWidth="1"/>
    <col min="515" max="515" width="21.28515625" style="1483" customWidth="1"/>
    <col min="516" max="516" width="11.5703125" style="1483" customWidth="1"/>
    <col min="517" max="768" width="9.140625" style="1483"/>
    <col min="769" max="769" width="5.7109375" style="1483" customWidth="1"/>
    <col min="770" max="770" width="32.28515625" style="1483" customWidth="1"/>
    <col min="771" max="771" width="21.28515625" style="1483" customWidth="1"/>
    <col min="772" max="772" width="11.5703125" style="1483" customWidth="1"/>
    <col min="773" max="1024" width="9.140625" style="1483"/>
    <col min="1025" max="1025" width="5.7109375" style="1483" customWidth="1"/>
    <col min="1026" max="1026" width="32.28515625" style="1483" customWidth="1"/>
    <col min="1027" max="1027" width="21.28515625" style="1483" customWidth="1"/>
    <col min="1028" max="1028" width="11.5703125" style="1483" customWidth="1"/>
    <col min="1029" max="1280" width="9.140625" style="1483"/>
    <col min="1281" max="1281" width="5.7109375" style="1483" customWidth="1"/>
    <col min="1282" max="1282" width="32.28515625" style="1483" customWidth="1"/>
    <col min="1283" max="1283" width="21.28515625" style="1483" customWidth="1"/>
    <col min="1284" max="1284" width="11.5703125" style="1483" customWidth="1"/>
    <col min="1285" max="1536" width="9.140625" style="1483"/>
    <col min="1537" max="1537" width="5.7109375" style="1483" customWidth="1"/>
    <col min="1538" max="1538" width="32.28515625" style="1483" customWidth="1"/>
    <col min="1539" max="1539" width="21.28515625" style="1483" customWidth="1"/>
    <col min="1540" max="1540" width="11.5703125" style="1483" customWidth="1"/>
    <col min="1541" max="1792" width="9.140625" style="1483"/>
    <col min="1793" max="1793" width="5.7109375" style="1483" customWidth="1"/>
    <col min="1794" max="1794" width="32.28515625" style="1483" customWidth="1"/>
    <col min="1795" max="1795" width="21.28515625" style="1483" customWidth="1"/>
    <col min="1796" max="1796" width="11.5703125" style="1483" customWidth="1"/>
    <col min="1797" max="2048" width="9.140625" style="1483"/>
    <col min="2049" max="2049" width="5.7109375" style="1483" customWidth="1"/>
    <col min="2050" max="2050" width="32.28515625" style="1483" customWidth="1"/>
    <col min="2051" max="2051" width="21.28515625" style="1483" customWidth="1"/>
    <col min="2052" max="2052" width="11.5703125" style="1483" customWidth="1"/>
    <col min="2053" max="2304" width="9.140625" style="1483"/>
    <col min="2305" max="2305" width="5.7109375" style="1483" customWidth="1"/>
    <col min="2306" max="2306" width="32.28515625" style="1483" customWidth="1"/>
    <col min="2307" max="2307" width="21.28515625" style="1483" customWidth="1"/>
    <col min="2308" max="2308" width="11.5703125" style="1483" customWidth="1"/>
    <col min="2309" max="2560" width="9.140625" style="1483"/>
    <col min="2561" max="2561" width="5.7109375" style="1483" customWidth="1"/>
    <col min="2562" max="2562" width="32.28515625" style="1483" customWidth="1"/>
    <col min="2563" max="2563" width="21.28515625" style="1483" customWidth="1"/>
    <col min="2564" max="2564" width="11.5703125" style="1483" customWidth="1"/>
    <col min="2565" max="2816" width="9.140625" style="1483"/>
    <col min="2817" max="2817" width="5.7109375" style="1483" customWidth="1"/>
    <col min="2818" max="2818" width="32.28515625" style="1483" customWidth="1"/>
    <col min="2819" max="2819" width="21.28515625" style="1483" customWidth="1"/>
    <col min="2820" max="2820" width="11.5703125" style="1483" customWidth="1"/>
    <col min="2821" max="3072" width="9.140625" style="1483"/>
    <col min="3073" max="3073" width="5.7109375" style="1483" customWidth="1"/>
    <col min="3074" max="3074" width="32.28515625" style="1483" customWidth="1"/>
    <col min="3075" max="3075" width="21.28515625" style="1483" customWidth="1"/>
    <col min="3076" max="3076" width="11.5703125" style="1483" customWidth="1"/>
    <col min="3077" max="3328" width="9.140625" style="1483"/>
    <col min="3329" max="3329" width="5.7109375" style="1483" customWidth="1"/>
    <col min="3330" max="3330" width="32.28515625" style="1483" customWidth="1"/>
    <col min="3331" max="3331" width="21.28515625" style="1483" customWidth="1"/>
    <col min="3332" max="3332" width="11.5703125" style="1483" customWidth="1"/>
    <col min="3333" max="3584" width="9.140625" style="1483"/>
    <col min="3585" max="3585" width="5.7109375" style="1483" customWidth="1"/>
    <col min="3586" max="3586" width="32.28515625" style="1483" customWidth="1"/>
    <col min="3587" max="3587" width="21.28515625" style="1483" customWidth="1"/>
    <col min="3588" max="3588" width="11.5703125" style="1483" customWidth="1"/>
    <col min="3589" max="3840" width="9.140625" style="1483"/>
    <col min="3841" max="3841" width="5.7109375" style="1483" customWidth="1"/>
    <col min="3842" max="3842" width="32.28515625" style="1483" customWidth="1"/>
    <col min="3843" max="3843" width="21.28515625" style="1483" customWidth="1"/>
    <col min="3844" max="3844" width="11.5703125" style="1483" customWidth="1"/>
    <col min="3845" max="4096" width="9.140625" style="1483"/>
    <col min="4097" max="4097" width="5.7109375" style="1483" customWidth="1"/>
    <col min="4098" max="4098" width="32.28515625" style="1483" customWidth="1"/>
    <col min="4099" max="4099" width="21.28515625" style="1483" customWidth="1"/>
    <col min="4100" max="4100" width="11.5703125" style="1483" customWidth="1"/>
    <col min="4101" max="4352" width="9.140625" style="1483"/>
    <col min="4353" max="4353" width="5.7109375" style="1483" customWidth="1"/>
    <col min="4354" max="4354" width="32.28515625" style="1483" customWidth="1"/>
    <col min="4355" max="4355" width="21.28515625" style="1483" customWidth="1"/>
    <col min="4356" max="4356" width="11.5703125" style="1483" customWidth="1"/>
    <col min="4357" max="4608" width="9.140625" style="1483"/>
    <col min="4609" max="4609" width="5.7109375" style="1483" customWidth="1"/>
    <col min="4610" max="4610" width="32.28515625" style="1483" customWidth="1"/>
    <col min="4611" max="4611" width="21.28515625" style="1483" customWidth="1"/>
    <col min="4612" max="4612" width="11.5703125" style="1483" customWidth="1"/>
    <col min="4613" max="4864" width="9.140625" style="1483"/>
    <col min="4865" max="4865" width="5.7109375" style="1483" customWidth="1"/>
    <col min="4866" max="4866" width="32.28515625" style="1483" customWidth="1"/>
    <col min="4867" max="4867" width="21.28515625" style="1483" customWidth="1"/>
    <col min="4868" max="4868" width="11.5703125" style="1483" customWidth="1"/>
    <col min="4869" max="5120" width="9.140625" style="1483"/>
    <col min="5121" max="5121" width="5.7109375" style="1483" customWidth="1"/>
    <col min="5122" max="5122" width="32.28515625" style="1483" customWidth="1"/>
    <col min="5123" max="5123" width="21.28515625" style="1483" customWidth="1"/>
    <col min="5124" max="5124" width="11.5703125" style="1483" customWidth="1"/>
    <col min="5125" max="5376" width="9.140625" style="1483"/>
    <col min="5377" max="5377" width="5.7109375" style="1483" customWidth="1"/>
    <col min="5378" max="5378" width="32.28515625" style="1483" customWidth="1"/>
    <col min="5379" max="5379" width="21.28515625" style="1483" customWidth="1"/>
    <col min="5380" max="5380" width="11.5703125" style="1483" customWidth="1"/>
    <col min="5381" max="5632" width="9.140625" style="1483"/>
    <col min="5633" max="5633" width="5.7109375" style="1483" customWidth="1"/>
    <col min="5634" max="5634" width="32.28515625" style="1483" customWidth="1"/>
    <col min="5635" max="5635" width="21.28515625" style="1483" customWidth="1"/>
    <col min="5636" max="5636" width="11.5703125" style="1483" customWidth="1"/>
    <col min="5637" max="5888" width="9.140625" style="1483"/>
    <col min="5889" max="5889" width="5.7109375" style="1483" customWidth="1"/>
    <col min="5890" max="5890" width="32.28515625" style="1483" customWidth="1"/>
    <col min="5891" max="5891" width="21.28515625" style="1483" customWidth="1"/>
    <col min="5892" max="5892" width="11.5703125" style="1483" customWidth="1"/>
    <col min="5893" max="6144" width="9.140625" style="1483"/>
    <col min="6145" max="6145" width="5.7109375" style="1483" customWidth="1"/>
    <col min="6146" max="6146" width="32.28515625" style="1483" customWidth="1"/>
    <col min="6147" max="6147" width="21.28515625" style="1483" customWidth="1"/>
    <col min="6148" max="6148" width="11.5703125" style="1483" customWidth="1"/>
    <col min="6149" max="6400" width="9.140625" style="1483"/>
    <col min="6401" max="6401" width="5.7109375" style="1483" customWidth="1"/>
    <col min="6402" max="6402" width="32.28515625" style="1483" customWidth="1"/>
    <col min="6403" max="6403" width="21.28515625" style="1483" customWidth="1"/>
    <col min="6404" max="6404" width="11.5703125" style="1483" customWidth="1"/>
    <col min="6405" max="6656" width="9.140625" style="1483"/>
    <col min="6657" max="6657" width="5.7109375" style="1483" customWidth="1"/>
    <col min="6658" max="6658" width="32.28515625" style="1483" customWidth="1"/>
    <col min="6659" max="6659" width="21.28515625" style="1483" customWidth="1"/>
    <col min="6660" max="6660" width="11.5703125" style="1483" customWidth="1"/>
    <col min="6661" max="6912" width="9.140625" style="1483"/>
    <col min="6913" max="6913" width="5.7109375" style="1483" customWidth="1"/>
    <col min="6914" max="6914" width="32.28515625" style="1483" customWidth="1"/>
    <col min="6915" max="6915" width="21.28515625" style="1483" customWidth="1"/>
    <col min="6916" max="6916" width="11.5703125" style="1483" customWidth="1"/>
    <col min="6917" max="7168" width="9.140625" style="1483"/>
    <col min="7169" max="7169" width="5.7109375" style="1483" customWidth="1"/>
    <col min="7170" max="7170" width="32.28515625" style="1483" customWidth="1"/>
    <col min="7171" max="7171" width="21.28515625" style="1483" customWidth="1"/>
    <col min="7172" max="7172" width="11.5703125" style="1483" customWidth="1"/>
    <col min="7173" max="7424" width="9.140625" style="1483"/>
    <col min="7425" max="7425" width="5.7109375" style="1483" customWidth="1"/>
    <col min="7426" max="7426" width="32.28515625" style="1483" customWidth="1"/>
    <col min="7427" max="7427" width="21.28515625" style="1483" customWidth="1"/>
    <col min="7428" max="7428" width="11.5703125" style="1483" customWidth="1"/>
    <col min="7429" max="7680" width="9.140625" style="1483"/>
    <col min="7681" max="7681" width="5.7109375" style="1483" customWidth="1"/>
    <col min="7682" max="7682" width="32.28515625" style="1483" customWidth="1"/>
    <col min="7683" max="7683" width="21.28515625" style="1483" customWidth="1"/>
    <col min="7684" max="7684" width="11.5703125" style="1483" customWidth="1"/>
    <col min="7685" max="7936" width="9.140625" style="1483"/>
    <col min="7937" max="7937" width="5.7109375" style="1483" customWidth="1"/>
    <col min="7938" max="7938" width="32.28515625" style="1483" customWidth="1"/>
    <col min="7939" max="7939" width="21.28515625" style="1483" customWidth="1"/>
    <col min="7940" max="7940" width="11.5703125" style="1483" customWidth="1"/>
    <col min="7941" max="8192" width="9.140625" style="1483"/>
    <col min="8193" max="8193" width="5.7109375" style="1483" customWidth="1"/>
    <col min="8194" max="8194" width="32.28515625" style="1483" customWidth="1"/>
    <col min="8195" max="8195" width="21.28515625" style="1483" customWidth="1"/>
    <col min="8196" max="8196" width="11.5703125" style="1483" customWidth="1"/>
    <col min="8197" max="8448" width="9.140625" style="1483"/>
    <col min="8449" max="8449" width="5.7109375" style="1483" customWidth="1"/>
    <col min="8450" max="8450" width="32.28515625" style="1483" customWidth="1"/>
    <col min="8451" max="8451" width="21.28515625" style="1483" customWidth="1"/>
    <col min="8452" max="8452" width="11.5703125" style="1483" customWidth="1"/>
    <col min="8453" max="8704" width="9.140625" style="1483"/>
    <col min="8705" max="8705" width="5.7109375" style="1483" customWidth="1"/>
    <col min="8706" max="8706" width="32.28515625" style="1483" customWidth="1"/>
    <col min="8707" max="8707" width="21.28515625" style="1483" customWidth="1"/>
    <col min="8708" max="8708" width="11.5703125" style="1483" customWidth="1"/>
    <col min="8709" max="8960" width="9.140625" style="1483"/>
    <col min="8961" max="8961" width="5.7109375" style="1483" customWidth="1"/>
    <col min="8962" max="8962" width="32.28515625" style="1483" customWidth="1"/>
    <col min="8963" max="8963" width="21.28515625" style="1483" customWidth="1"/>
    <col min="8964" max="8964" width="11.5703125" style="1483" customWidth="1"/>
    <col min="8965" max="9216" width="9.140625" style="1483"/>
    <col min="9217" max="9217" width="5.7109375" style="1483" customWidth="1"/>
    <col min="9218" max="9218" width="32.28515625" style="1483" customWidth="1"/>
    <col min="9219" max="9219" width="21.28515625" style="1483" customWidth="1"/>
    <col min="9220" max="9220" width="11.5703125" style="1483" customWidth="1"/>
    <col min="9221" max="9472" width="9.140625" style="1483"/>
    <col min="9473" max="9473" width="5.7109375" style="1483" customWidth="1"/>
    <col min="9474" max="9474" width="32.28515625" style="1483" customWidth="1"/>
    <col min="9475" max="9475" width="21.28515625" style="1483" customWidth="1"/>
    <col min="9476" max="9476" width="11.5703125" style="1483" customWidth="1"/>
    <col min="9477" max="9728" width="9.140625" style="1483"/>
    <col min="9729" max="9729" width="5.7109375" style="1483" customWidth="1"/>
    <col min="9730" max="9730" width="32.28515625" style="1483" customWidth="1"/>
    <col min="9731" max="9731" width="21.28515625" style="1483" customWidth="1"/>
    <col min="9732" max="9732" width="11.5703125" style="1483" customWidth="1"/>
    <col min="9733" max="9984" width="9.140625" style="1483"/>
    <col min="9985" max="9985" width="5.7109375" style="1483" customWidth="1"/>
    <col min="9986" max="9986" width="32.28515625" style="1483" customWidth="1"/>
    <col min="9987" max="9987" width="21.28515625" style="1483" customWidth="1"/>
    <col min="9988" max="9988" width="11.5703125" style="1483" customWidth="1"/>
    <col min="9989" max="10240" width="9.140625" style="1483"/>
    <col min="10241" max="10241" width="5.7109375" style="1483" customWidth="1"/>
    <col min="10242" max="10242" width="32.28515625" style="1483" customWidth="1"/>
    <col min="10243" max="10243" width="21.28515625" style="1483" customWidth="1"/>
    <col min="10244" max="10244" width="11.5703125" style="1483" customWidth="1"/>
    <col min="10245" max="10496" width="9.140625" style="1483"/>
    <col min="10497" max="10497" width="5.7109375" style="1483" customWidth="1"/>
    <col min="10498" max="10498" width="32.28515625" style="1483" customWidth="1"/>
    <col min="10499" max="10499" width="21.28515625" style="1483" customWidth="1"/>
    <col min="10500" max="10500" width="11.5703125" style="1483" customWidth="1"/>
    <col min="10501" max="10752" width="9.140625" style="1483"/>
    <col min="10753" max="10753" width="5.7109375" style="1483" customWidth="1"/>
    <col min="10754" max="10754" width="32.28515625" style="1483" customWidth="1"/>
    <col min="10755" max="10755" width="21.28515625" style="1483" customWidth="1"/>
    <col min="10756" max="10756" width="11.5703125" style="1483" customWidth="1"/>
    <col min="10757" max="11008" width="9.140625" style="1483"/>
    <col min="11009" max="11009" width="5.7109375" style="1483" customWidth="1"/>
    <col min="11010" max="11010" width="32.28515625" style="1483" customWidth="1"/>
    <col min="11011" max="11011" width="21.28515625" style="1483" customWidth="1"/>
    <col min="11012" max="11012" width="11.5703125" style="1483" customWidth="1"/>
    <col min="11013" max="11264" width="9.140625" style="1483"/>
    <col min="11265" max="11265" width="5.7109375" style="1483" customWidth="1"/>
    <col min="11266" max="11266" width="32.28515625" style="1483" customWidth="1"/>
    <col min="11267" max="11267" width="21.28515625" style="1483" customWidth="1"/>
    <col min="11268" max="11268" width="11.5703125" style="1483" customWidth="1"/>
    <col min="11269" max="11520" width="9.140625" style="1483"/>
    <col min="11521" max="11521" width="5.7109375" style="1483" customWidth="1"/>
    <col min="11522" max="11522" width="32.28515625" style="1483" customWidth="1"/>
    <col min="11523" max="11523" width="21.28515625" style="1483" customWidth="1"/>
    <col min="11524" max="11524" width="11.5703125" style="1483" customWidth="1"/>
    <col min="11525" max="11776" width="9.140625" style="1483"/>
    <col min="11777" max="11777" width="5.7109375" style="1483" customWidth="1"/>
    <col min="11778" max="11778" width="32.28515625" style="1483" customWidth="1"/>
    <col min="11779" max="11779" width="21.28515625" style="1483" customWidth="1"/>
    <col min="11780" max="11780" width="11.5703125" style="1483" customWidth="1"/>
    <col min="11781" max="12032" width="9.140625" style="1483"/>
    <col min="12033" max="12033" width="5.7109375" style="1483" customWidth="1"/>
    <col min="12034" max="12034" width="32.28515625" style="1483" customWidth="1"/>
    <col min="12035" max="12035" width="21.28515625" style="1483" customWidth="1"/>
    <col min="12036" max="12036" width="11.5703125" style="1483" customWidth="1"/>
    <col min="12037" max="12288" width="9.140625" style="1483"/>
    <col min="12289" max="12289" width="5.7109375" style="1483" customWidth="1"/>
    <col min="12290" max="12290" width="32.28515625" style="1483" customWidth="1"/>
    <col min="12291" max="12291" width="21.28515625" style="1483" customWidth="1"/>
    <col min="12292" max="12292" width="11.5703125" style="1483" customWidth="1"/>
    <col min="12293" max="12544" width="9.140625" style="1483"/>
    <col min="12545" max="12545" width="5.7109375" style="1483" customWidth="1"/>
    <col min="12546" max="12546" width="32.28515625" style="1483" customWidth="1"/>
    <col min="12547" max="12547" width="21.28515625" style="1483" customWidth="1"/>
    <col min="12548" max="12548" width="11.5703125" style="1483" customWidth="1"/>
    <col min="12549" max="12800" width="9.140625" style="1483"/>
    <col min="12801" max="12801" width="5.7109375" style="1483" customWidth="1"/>
    <col min="12802" max="12802" width="32.28515625" style="1483" customWidth="1"/>
    <col min="12803" max="12803" width="21.28515625" style="1483" customWidth="1"/>
    <col min="12804" max="12804" width="11.5703125" style="1483" customWidth="1"/>
    <col min="12805" max="13056" width="9.140625" style="1483"/>
    <col min="13057" max="13057" width="5.7109375" style="1483" customWidth="1"/>
    <col min="13058" max="13058" width="32.28515625" style="1483" customWidth="1"/>
    <col min="13059" max="13059" width="21.28515625" style="1483" customWidth="1"/>
    <col min="13060" max="13060" width="11.5703125" style="1483" customWidth="1"/>
    <col min="13061" max="13312" width="9.140625" style="1483"/>
    <col min="13313" max="13313" width="5.7109375" style="1483" customWidth="1"/>
    <col min="13314" max="13314" width="32.28515625" style="1483" customWidth="1"/>
    <col min="13315" max="13315" width="21.28515625" style="1483" customWidth="1"/>
    <col min="13316" max="13316" width="11.5703125" style="1483" customWidth="1"/>
    <col min="13317" max="13568" width="9.140625" style="1483"/>
    <col min="13569" max="13569" width="5.7109375" style="1483" customWidth="1"/>
    <col min="13570" max="13570" width="32.28515625" style="1483" customWidth="1"/>
    <col min="13571" max="13571" width="21.28515625" style="1483" customWidth="1"/>
    <col min="13572" max="13572" width="11.5703125" style="1483" customWidth="1"/>
    <col min="13573" max="13824" width="9.140625" style="1483"/>
    <col min="13825" max="13825" width="5.7109375" style="1483" customWidth="1"/>
    <col min="13826" max="13826" width="32.28515625" style="1483" customWidth="1"/>
    <col min="13827" max="13827" width="21.28515625" style="1483" customWidth="1"/>
    <col min="13828" max="13828" width="11.5703125" style="1483" customWidth="1"/>
    <col min="13829" max="14080" width="9.140625" style="1483"/>
    <col min="14081" max="14081" width="5.7109375" style="1483" customWidth="1"/>
    <col min="14082" max="14082" width="32.28515625" style="1483" customWidth="1"/>
    <col min="14083" max="14083" width="21.28515625" style="1483" customWidth="1"/>
    <col min="14084" max="14084" width="11.5703125" style="1483" customWidth="1"/>
    <col min="14085" max="14336" width="9.140625" style="1483"/>
    <col min="14337" max="14337" width="5.7109375" style="1483" customWidth="1"/>
    <col min="14338" max="14338" width="32.28515625" style="1483" customWidth="1"/>
    <col min="14339" max="14339" width="21.28515625" style="1483" customWidth="1"/>
    <col min="14340" max="14340" width="11.5703125" style="1483" customWidth="1"/>
    <col min="14341" max="14592" width="9.140625" style="1483"/>
    <col min="14593" max="14593" width="5.7109375" style="1483" customWidth="1"/>
    <col min="14594" max="14594" width="32.28515625" style="1483" customWidth="1"/>
    <col min="14595" max="14595" width="21.28515625" style="1483" customWidth="1"/>
    <col min="14596" max="14596" width="11.5703125" style="1483" customWidth="1"/>
    <col min="14597" max="14848" width="9.140625" style="1483"/>
    <col min="14849" max="14849" width="5.7109375" style="1483" customWidth="1"/>
    <col min="14850" max="14850" width="32.28515625" style="1483" customWidth="1"/>
    <col min="14851" max="14851" width="21.28515625" style="1483" customWidth="1"/>
    <col min="14852" max="14852" width="11.5703125" style="1483" customWidth="1"/>
    <col min="14853" max="15104" width="9.140625" style="1483"/>
    <col min="15105" max="15105" width="5.7109375" style="1483" customWidth="1"/>
    <col min="15106" max="15106" width="32.28515625" style="1483" customWidth="1"/>
    <col min="15107" max="15107" width="21.28515625" style="1483" customWidth="1"/>
    <col min="15108" max="15108" width="11.5703125" style="1483" customWidth="1"/>
    <col min="15109" max="15360" width="9.140625" style="1483"/>
    <col min="15361" max="15361" width="5.7109375" style="1483" customWidth="1"/>
    <col min="15362" max="15362" width="32.28515625" style="1483" customWidth="1"/>
    <col min="15363" max="15363" width="21.28515625" style="1483" customWidth="1"/>
    <col min="15364" max="15364" width="11.5703125" style="1483" customWidth="1"/>
    <col min="15365" max="15616" width="9.140625" style="1483"/>
    <col min="15617" max="15617" width="5.7109375" style="1483" customWidth="1"/>
    <col min="15618" max="15618" width="32.28515625" style="1483" customWidth="1"/>
    <col min="15619" max="15619" width="21.28515625" style="1483" customWidth="1"/>
    <col min="15620" max="15620" width="11.5703125" style="1483" customWidth="1"/>
    <col min="15621" max="15872" width="9.140625" style="1483"/>
    <col min="15873" max="15873" width="5.7109375" style="1483" customWidth="1"/>
    <col min="15874" max="15874" width="32.28515625" style="1483" customWidth="1"/>
    <col min="15875" max="15875" width="21.28515625" style="1483" customWidth="1"/>
    <col min="15876" max="15876" width="11.5703125" style="1483" customWidth="1"/>
    <col min="15877" max="16128" width="9.140625" style="1483"/>
    <col min="16129" max="16129" width="5.7109375" style="1483" customWidth="1"/>
    <col min="16130" max="16130" width="32.28515625" style="1483" customWidth="1"/>
    <col min="16131" max="16131" width="21.28515625" style="1483" customWidth="1"/>
    <col min="16132" max="16132" width="11.5703125" style="1483" customWidth="1"/>
    <col min="16133" max="16384" width="9.140625" style="1483"/>
  </cols>
  <sheetData>
    <row r="1" spans="1:5" ht="50.1" customHeight="1" x14ac:dyDescent="0.2">
      <c r="A1" s="1600" t="s">
        <v>989</v>
      </c>
      <c r="B1" s="1601" t="s">
        <v>1168</v>
      </c>
      <c r="C1" s="1601" t="s">
        <v>1169</v>
      </c>
      <c r="D1" s="1602" t="s">
        <v>1238</v>
      </c>
      <c r="E1" s="1602" t="s">
        <v>1239</v>
      </c>
    </row>
    <row r="2" spans="1:5" ht="20.100000000000001" customHeight="1" x14ac:dyDescent="0.2">
      <c r="A2" s="1603" t="s">
        <v>696</v>
      </c>
      <c r="B2" s="1604" t="s">
        <v>1237</v>
      </c>
      <c r="C2" s="1604"/>
      <c r="D2" s="1605">
        <f>'7.1 Önkormányzat'!C107</f>
        <v>14240000</v>
      </c>
      <c r="E2" s="1605">
        <f>'7.1 Önkormányzat'!D107</f>
        <v>10497500</v>
      </c>
    </row>
    <row r="3" spans="1:5" ht="20.100000000000001" customHeight="1" x14ac:dyDescent="0.2">
      <c r="A3" s="1603" t="s">
        <v>710</v>
      </c>
      <c r="B3" s="1606"/>
      <c r="C3" s="1604"/>
      <c r="D3" s="1605"/>
      <c r="E3" s="1605"/>
    </row>
    <row r="4" spans="1:5" ht="20.100000000000001" customHeight="1" x14ac:dyDescent="0.2">
      <c r="A4" s="1603" t="s">
        <v>724</v>
      </c>
      <c r="B4" s="1604"/>
      <c r="C4" s="1604"/>
      <c r="D4" s="1605"/>
      <c r="E4" s="1605"/>
    </row>
    <row r="5" spans="1:5" ht="20.100000000000001" customHeight="1" x14ac:dyDescent="0.2">
      <c r="A5" s="1603" t="s">
        <v>900</v>
      </c>
      <c r="B5" s="1604"/>
      <c r="C5" s="1604"/>
      <c r="D5" s="1605"/>
      <c r="E5" s="1605"/>
    </row>
    <row r="6" spans="1:5" ht="20.100000000000001" customHeight="1" x14ac:dyDescent="0.2">
      <c r="A6" s="1603" t="s">
        <v>753</v>
      </c>
      <c r="B6" s="1604"/>
      <c r="C6" s="1604"/>
      <c r="D6" s="1605"/>
      <c r="E6" s="1605"/>
    </row>
    <row r="7" spans="1:5" ht="20.100000000000001" customHeight="1" x14ac:dyDescent="0.2">
      <c r="A7" s="1603" t="s">
        <v>775</v>
      </c>
      <c r="B7" s="1604"/>
      <c r="C7" s="1604"/>
      <c r="D7" s="1605"/>
      <c r="E7" s="1605"/>
    </row>
    <row r="8" spans="1:5" ht="20.100000000000001" customHeight="1" x14ac:dyDescent="0.2">
      <c r="A8" s="1603" t="s">
        <v>911</v>
      </c>
      <c r="B8" s="1604"/>
      <c r="C8" s="1604"/>
      <c r="D8" s="1605"/>
      <c r="E8" s="1605"/>
    </row>
    <row r="9" spans="1:5" ht="20.100000000000001" customHeight="1" x14ac:dyDescent="0.2">
      <c r="A9" s="1603" t="s">
        <v>796</v>
      </c>
      <c r="B9" s="1604"/>
      <c r="C9" s="1604"/>
      <c r="D9" s="1605"/>
      <c r="E9" s="1605"/>
    </row>
    <row r="10" spans="1:5" ht="20.100000000000001" customHeight="1" x14ac:dyDescent="0.2">
      <c r="A10" s="1603" t="s">
        <v>806</v>
      </c>
      <c r="B10" s="1604"/>
      <c r="C10" s="1604"/>
      <c r="D10" s="1605"/>
      <c r="E10" s="1605"/>
    </row>
    <row r="11" spans="1:5" ht="20.100000000000001" customHeight="1" x14ac:dyDescent="0.2">
      <c r="A11" s="1603" t="s">
        <v>923</v>
      </c>
      <c r="B11" s="1604"/>
      <c r="C11" s="1604"/>
      <c r="D11" s="1605"/>
      <c r="E11" s="1605"/>
    </row>
    <row r="12" spans="1:5" ht="20.100000000000001" customHeight="1" x14ac:dyDescent="0.2">
      <c r="A12" s="1603" t="s">
        <v>996</v>
      </c>
      <c r="B12" s="1604"/>
      <c r="C12" s="1604"/>
      <c r="D12" s="1605"/>
      <c r="E12" s="1605"/>
    </row>
    <row r="13" spans="1:5" ht="20.100000000000001" customHeight="1" x14ac:dyDescent="0.2">
      <c r="A13" s="1603" t="s">
        <v>997</v>
      </c>
      <c r="B13" s="1604"/>
      <c r="C13" s="1604"/>
      <c r="D13" s="1605"/>
      <c r="E13" s="1605"/>
    </row>
    <row r="14" spans="1:5" ht="20.100000000000001" customHeight="1" x14ac:dyDescent="0.2">
      <c r="A14" s="1603" t="s">
        <v>998</v>
      </c>
      <c r="B14" s="1604"/>
      <c r="C14" s="1604"/>
      <c r="D14" s="1605"/>
      <c r="E14" s="1605"/>
    </row>
    <row r="15" spans="1:5" ht="20.100000000000001" customHeight="1" x14ac:dyDescent="0.2">
      <c r="A15" s="1603" t="s">
        <v>1001</v>
      </c>
      <c r="B15" s="1604"/>
      <c r="C15" s="1604"/>
      <c r="D15" s="1605"/>
      <c r="E15" s="1605"/>
    </row>
    <row r="16" spans="1:5" ht="20.100000000000001" customHeight="1" x14ac:dyDescent="0.2">
      <c r="A16" s="1603"/>
      <c r="B16" s="1604"/>
      <c r="C16" s="1604"/>
      <c r="D16" s="1605"/>
      <c r="E16" s="1605"/>
    </row>
    <row r="17" spans="1:5" ht="20.100000000000001" customHeight="1" x14ac:dyDescent="0.2">
      <c r="A17" s="1603"/>
      <c r="B17" s="1604"/>
      <c r="C17" s="1604"/>
      <c r="D17" s="1605"/>
      <c r="E17" s="1605"/>
    </row>
    <row r="18" spans="1:5" ht="20.100000000000001" customHeight="1" x14ac:dyDescent="0.2">
      <c r="A18" s="1603"/>
      <c r="B18" s="1604"/>
      <c r="C18" s="1604"/>
      <c r="D18" s="1605"/>
      <c r="E18" s="1605"/>
    </row>
    <row r="19" spans="1:5" ht="20.100000000000001" customHeight="1" x14ac:dyDescent="0.2">
      <c r="A19" s="1603"/>
      <c r="B19" s="1604"/>
      <c r="C19" s="1604"/>
      <c r="D19" s="1605"/>
      <c r="E19" s="1605"/>
    </row>
    <row r="20" spans="1:5" ht="20.100000000000001" customHeight="1" x14ac:dyDescent="0.2">
      <c r="A20" s="1603"/>
      <c r="B20" s="1604"/>
      <c r="C20" s="1606"/>
      <c r="D20" s="1605"/>
      <c r="E20" s="1605"/>
    </row>
    <row r="21" spans="1:5" ht="20.100000000000001" customHeight="1" x14ac:dyDescent="0.2">
      <c r="A21" s="1603"/>
      <c r="B21" s="1604"/>
      <c r="C21" s="1606"/>
      <c r="D21" s="1605"/>
      <c r="E21" s="1605"/>
    </row>
    <row r="22" spans="1:5" ht="20.100000000000001" customHeight="1" x14ac:dyDescent="0.2">
      <c r="A22" s="1603"/>
      <c r="B22" s="1604"/>
      <c r="C22" s="1606"/>
      <c r="D22" s="1605"/>
      <c r="E22" s="1605"/>
    </row>
    <row r="23" spans="1:5" ht="20.100000000000001" customHeight="1" x14ac:dyDescent="0.2">
      <c r="A23" s="1603"/>
      <c r="B23" s="1604"/>
      <c r="C23" s="1604"/>
      <c r="D23" s="1605"/>
      <c r="E23" s="1605"/>
    </row>
    <row r="24" spans="1:5" ht="20.100000000000001" customHeight="1" x14ac:dyDescent="0.2">
      <c r="A24" s="1603"/>
      <c r="B24" s="1607"/>
      <c r="C24" s="1607"/>
      <c r="D24" s="1608"/>
      <c r="E24" s="1608"/>
    </row>
    <row r="25" spans="1:5" ht="20.100000000000001" customHeight="1" thickBot="1" x14ac:dyDescent="0.25">
      <c r="A25" s="1603"/>
      <c r="B25" s="1607"/>
      <c r="C25" s="1607"/>
      <c r="D25" s="1608"/>
      <c r="E25" s="1608"/>
    </row>
    <row r="26" spans="1:5" ht="20.100000000000001" customHeight="1" thickBot="1" x14ac:dyDescent="0.25">
      <c r="A26" s="1902" t="s">
        <v>1135</v>
      </c>
      <c r="B26" s="1903"/>
      <c r="C26" s="1609"/>
      <c r="D26" s="1610">
        <f>SUM(D2:D25)</f>
        <v>14240000</v>
      </c>
      <c r="E26" s="1610">
        <f>SUM(E2:E25)</f>
        <v>10497500</v>
      </c>
    </row>
    <row r="27" spans="1:5" x14ac:dyDescent="0.2">
      <c r="A27" s="1611"/>
    </row>
  </sheetData>
  <sheetProtection selectLockedCells="1" selectUnlockedCells="1"/>
  <mergeCells count="1">
    <mergeCell ref="A26:B26"/>
  </mergeCells>
  <conditionalFormatting sqref="D26">
    <cfRule type="cellIs" dxfId="1" priority="2" stopIfTrue="1" operator="equal">
      <formula>0</formula>
    </cfRule>
  </conditionalFormatting>
  <conditionalFormatting sqref="E26">
    <cfRule type="cellIs" dxfId="0" priority="1" stopIfTrue="1" operator="equal">
      <formula>0</formula>
    </cfRule>
  </conditionalFormatting>
  <printOptions horizontalCentered="1"/>
  <pageMargins left="0.78740157480314965" right="0.78740157480314965" top="1.5748031496062993" bottom="0.98425196850393704" header="0.78740157480314965" footer="0.78740157480314965"/>
  <pageSetup paperSize="9" scale="87" orientation="portrait" r:id="rId1"/>
  <headerFooter alignWithMargins="0">
    <oddHeader>&amp;C&amp;"Times New Roman CE,Félkövér"&amp;12
K I M U T A T Á S
a 2020. évi céljelleggel nyújtott támogatásokról&amp;R&amp;"Times New Roman CE,Félkövér dőlt" 1.(2.) számú tájékoztató tábla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2" tint="-0.499984740745262"/>
  </sheetPr>
  <dimension ref="A1:I18"/>
  <sheetViews>
    <sheetView view="pageBreakPreview" zoomScaleNormal="100" zoomScaleSheetLayoutView="100" workbookViewId="0">
      <selection activeCell="C14" sqref="C14"/>
    </sheetView>
  </sheetViews>
  <sheetFormatPr defaultRowHeight="12.75" x14ac:dyDescent="0.25"/>
  <cols>
    <col min="1" max="1" width="5.85546875" style="1431" customWidth="1"/>
    <col min="2" max="2" width="42.5703125" style="1245" customWidth="1"/>
    <col min="3" max="8" width="11" style="1245" customWidth="1"/>
    <col min="9" max="9" width="11.85546875" style="1245" customWidth="1"/>
    <col min="10" max="256" width="9.140625" style="1245"/>
    <col min="257" max="257" width="5.85546875" style="1245" customWidth="1"/>
    <col min="258" max="258" width="42.5703125" style="1245" customWidth="1"/>
    <col min="259" max="264" width="11" style="1245" customWidth="1"/>
    <col min="265" max="265" width="11.85546875" style="1245" customWidth="1"/>
    <col min="266" max="512" width="9.140625" style="1245"/>
    <col min="513" max="513" width="5.85546875" style="1245" customWidth="1"/>
    <col min="514" max="514" width="42.5703125" style="1245" customWidth="1"/>
    <col min="515" max="520" width="11" style="1245" customWidth="1"/>
    <col min="521" max="521" width="11.85546875" style="1245" customWidth="1"/>
    <col min="522" max="768" width="9.140625" style="1245"/>
    <col min="769" max="769" width="5.85546875" style="1245" customWidth="1"/>
    <col min="770" max="770" width="42.5703125" style="1245" customWidth="1"/>
    <col min="771" max="776" width="11" style="1245" customWidth="1"/>
    <col min="777" max="777" width="11.85546875" style="1245" customWidth="1"/>
    <col min="778" max="1024" width="9.140625" style="1245"/>
    <col min="1025" max="1025" width="5.85546875" style="1245" customWidth="1"/>
    <col min="1026" max="1026" width="42.5703125" style="1245" customWidth="1"/>
    <col min="1027" max="1032" width="11" style="1245" customWidth="1"/>
    <col min="1033" max="1033" width="11.85546875" style="1245" customWidth="1"/>
    <col min="1034" max="1280" width="9.140625" style="1245"/>
    <col min="1281" max="1281" width="5.85546875" style="1245" customWidth="1"/>
    <col min="1282" max="1282" width="42.5703125" style="1245" customWidth="1"/>
    <col min="1283" max="1288" width="11" style="1245" customWidth="1"/>
    <col min="1289" max="1289" width="11.85546875" style="1245" customWidth="1"/>
    <col min="1290" max="1536" width="9.140625" style="1245"/>
    <col min="1537" max="1537" width="5.85546875" style="1245" customWidth="1"/>
    <col min="1538" max="1538" width="42.5703125" style="1245" customWidth="1"/>
    <col min="1539" max="1544" width="11" style="1245" customWidth="1"/>
    <col min="1545" max="1545" width="11.85546875" style="1245" customWidth="1"/>
    <col min="1546" max="1792" width="9.140625" style="1245"/>
    <col min="1793" max="1793" width="5.85546875" style="1245" customWidth="1"/>
    <col min="1794" max="1794" width="42.5703125" style="1245" customWidth="1"/>
    <col min="1795" max="1800" width="11" style="1245" customWidth="1"/>
    <col min="1801" max="1801" width="11.85546875" style="1245" customWidth="1"/>
    <col min="1802" max="2048" width="9.140625" style="1245"/>
    <col min="2049" max="2049" width="5.85546875" style="1245" customWidth="1"/>
    <col min="2050" max="2050" width="42.5703125" style="1245" customWidth="1"/>
    <col min="2051" max="2056" width="11" style="1245" customWidth="1"/>
    <col min="2057" max="2057" width="11.85546875" style="1245" customWidth="1"/>
    <col min="2058" max="2304" width="9.140625" style="1245"/>
    <col min="2305" max="2305" width="5.85546875" style="1245" customWidth="1"/>
    <col min="2306" max="2306" width="42.5703125" style="1245" customWidth="1"/>
    <col min="2307" max="2312" width="11" style="1245" customWidth="1"/>
    <col min="2313" max="2313" width="11.85546875" style="1245" customWidth="1"/>
    <col min="2314" max="2560" width="9.140625" style="1245"/>
    <col min="2561" max="2561" width="5.85546875" style="1245" customWidth="1"/>
    <col min="2562" max="2562" width="42.5703125" style="1245" customWidth="1"/>
    <col min="2563" max="2568" width="11" style="1245" customWidth="1"/>
    <col min="2569" max="2569" width="11.85546875" style="1245" customWidth="1"/>
    <col min="2570" max="2816" width="9.140625" style="1245"/>
    <col min="2817" max="2817" width="5.85546875" style="1245" customWidth="1"/>
    <col min="2818" max="2818" width="42.5703125" style="1245" customWidth="1"/>
    <col min="2819" max="2824" width="11" style="1245" customWidth="1"/>
    <col min="2825" max="2825" width="11.85546875" style="1245" customWidth="1"/>
    <col min="2826" max="3072" width="9.140625" style="1245"/>
    <col min="3073" max="3073" width="5.85546875" style="1245" customWidth="1"/>
    <col min="3074" max="3074" width="42.5703125" style="1245" customWidth="1"/>
    <col min="3075" max="3080" width="11" style="1245" customWidth="1"/>
    <col min="3081" max="3081" width="11.85546875" style="1245" customWidth="1"/>
    <col min="3082" max="3328" width="9.140625" style="1245"/>
    <col min="3329" max="3329" width="5.85546875" style="1245" customWidth="1"/>
    <col min="3330" max="3330" width="42.5703125" style="1245" customWidth="1"/>
    <col min="3331" max="3336" width="11" style="1245" customWidth="1"/>
    <col min="3337" max="3337" width="11.85546875" style="1245" customWidth="1"/>
    <col min="3338" max="3584" width="9.140625" style="1245"/>
    <col min="3585" max="3585" width="5.85546875" style="1245" customWidth="1"/>
    <col min="3586" max="3586" width="42.5703125" style="1245" customWidth="1"/>
    <col min="3587" max="3592" width="11" style="1245" customWidth="1"/>
    <col min="3593" max="3593" width="11.85546875" style="1245" customWidth="1"/>
    <col min="3594" max="3840" width="9.140625" style="1245"/>
    <col min="3841" max="3841" width="5.85546875" style="1245" customWidth="1"/>
    <col min="3842" max="3842" width="42.5703125" style="1245" customWidth="1"/>
    <col min="3843" max="3848" width="11" style="1245" customWidth="1"/>
    <col min="3849" max="3849" width="11.85546875" style="1245" customWidth="1"/>
    <col min="3850" max="4096" width="9.140625" style="1245"/>
    <col min="4097" max="4097" width="5.85546875" style="1245" customWidth="1"/>
    <col min="4098" max="4098" width="42.5703125" style="1245" customWidth="1"/>
    <col min="4099" max="4104" width="11" style="1245" customWidth="1"/>
    <col min="4105" max="4105" width="11.85546875" style="1245" customWidth="1"/>
    <col min="4106" max="4352" width="9.140625" style="1245"/>
    <col min="4353" max="4353" width="5.85546875" style="1245" customWidth="1"/>
    <col min="4354" max="4354" width="42.5703125" style="1245" customWidth="1"/>
    <col min="4355" max="4360" width="11" style="1245" customWidth="1"/>
    <col min="4361" max="4361" width="11.85546875" style="1245" customWidth="1"/>
    <col min="4362" max="4608" width="9.140625" style="1245"/>
    <col min="4609" max="4609" width="5.85546875" style="1245" customWidth="1"/>
    <col min="4610" max="4610" width="42.5703125" style="1245" customWidth="1"/>
    <col min="4611" max="4616" width="11" style="1245" customWidth="1"/>
    <col min="4617" max="4617" width="11.85546875" style="1245" customWidth="1"/>
    <col min="4618" max="4864" width="9.140625" style="1245"/>
    <col min="4865" max="4865" width="5.85546875" style="1245" customWidth="1"/>
    <col min="4866" max="4866" width="42.5703125" style="1245" customWidth="1"/>
    <col min="4867" max="4872" width="11" style="1245" customWidth="1"/>
    <col min="4873" max="4873" width="11.85546875" style="1245" customWidth="1"/>
    <col min="4874" max="5120" width="9.140625" style="1245"/>
    <col min="5121" max="5121" width="5.85546875" style="1245" customWidth="1"/>
    <col min="5122" max="5122" width="42.5703125" style="1245" customWidth="1"/>
    <col min="5123" max="5128" width="11" style="1245" customWidth="1"/>
    <col min="5129" max="5129" width="11.85546875" style="1245" customWidth="1"/>
    <col min="5130" max="5376" width="9.140625" style="1245"/>
    <col min="5377" max="5377" width="5.85546875" style="1245" customWidth="1"/>
    <col min="5378" max="5378" width="42.5703125" style="1245" customWidth="1"/>
    <col min="5379" max="5384" width="11" style="1245" customWidth="1"/>
    <col min="5385" max="5385" width="11.85546875" style="1245" customWidth="1"/>
    <col min="5386" max="5632" width="9.140625" style="1245"/>
    <col min="5633" max="5633" width="5.85546875" style="1245" customWidth="1"/>
    <col min="5634" max="5634" width="42.5703125" style="1245" customWidth="1"/>
    <col min="5635" max="5640" width="11" style="1245" customWidth="1"/>
    <col min="5641" max="5641" width="11.85546875" style="1245" customWidth="1"/>
    <col min="5642" max="5888" width="9.140625" style="1245"/>
    <col min="5889" max="5889" width="5.85546875" style="1245" customWidth="1"/>
    <col min="5890" max="5890" width="42.5703125" style="1245" customWidth="1"/>
    <col min="5891" max="5896" width="11" style="1245" customWidth="1"/>
    <col min="5897" max="5897" width="11.85546875" style="1245" customWidth="1"/>
    <col min="5898" max="6144" width="9.140625" style="1245"/>
    <col min="6145" max="6145" width="5.85546875" style="1245" customWidth="1"/>
    <col min="6146" max="6146" width="42.5703125" style="1245" customWidth="1"/>
    <col min="6147" max="6152" width="11" style="1245" customWidth="1"/>
    <col min="6153" max="6153" width="11.85546875" style="1245" customWidth="1"/>
    <col min="6154" max="6400" width="9.140625" style="1245"/>
    <col min="6401" max="6401" width="5.85546875" style="1245" customWidth="1"/>
    <col min="6402" max="6402" width="42.5703125" style="1245" customWidth="1"/>
    <col min="6403" max="6408" width="11" style="1245" customWidth="1"/>
    <col min="6409" max="6409" width="11.85546875" style="1245" customWidth="1"/>
    <col min="6410" max="6656" width="9.140625" style="1245"/>
    <col min="6657" max="6657" width="5.85546875" style="1245" customWidth="1"/>
    <col min="6658" max="6658" width="42.5703125" style="1245" customWidth="1"/>
    <col min="6659" max="6664" width="11" style="1245" customWidth="1"/>
    <col min="6665" max="6665" width="11.85546875" style="1245" customWidth="1"/>
    <col min="6666" max="6912" width="9.140625" style="1245"/>
    <col min="6913" max="6913" width="5.85546875" style="1245" customWidth="1"/>
    <col min="6914" max="6914" width="42.5703125" style="1245" customWidth="1"/>
    <col min="6915" max="6920" width="11" style="1245" customWidth="1"/>
    <col min="6921" max="6921" width="11.85546875" style="1245" customWidth="1"/>
    <col min="6922" max="7168" width="9.140625" style="1245"/>
    <col min="7169" max="7169" width="5.85546875" style="1245" customWidth="1"/>
    <col min="7170" max="7170" width="42.5703125" style="1245" customWidth="1"/>
    <col min="7171" max="7176" width="11" style="1245" customWidth="1"/>
    <col min="7177" max="7177" width="11.85546875" style="1245" customWidth="1"/>
    <col min="7178" max="7424" width="9.140625" style="1245"/>
    <col min="7425" max="7425" width="5.85546875" style="1245" customWidth="1"/>
    <col min="7426" max="7426" width="42.5703125" style="1245" customWidth="1"/>
    <col min="7427" max="7432" width="11" style="1245" customWidth="1"/>
    <col min="7433" max="7433" width="11.85546875" style="1245" customWidth="1"/>
    <col min="7434" max="7680" width="9.140625" style="1245"/>
    <col min="7681" max="7681" width="5.85546875" style="1245" customWidth="1"/>
    <col min="7682" max="7682" width="42.5703125" style="1245" customWidth="1"/>
    <col min="7683" max="7688" width="11" style="1245" customWidth="1"/>
    <col min="7689" max="7689" width="11.85546875" style="1245" customWidth="1"/>
    <col min="7690" max="7936" width="9.140625" style="1245"/>
    <col min="7937" max="7937" width="5.85546875" style="1245" customWidth="1"/>
    <col min="7938" max="7938" width="42.5703125" style="1245" customWidth="1"/>
    <col min="7939" max="7944" width="11" style="1245" customWidth="1"/>
    <col min="7945" max="7945" width="11.85546875" style="1245" customWidth="1"/>
    <col min="7946" max="8192" width="9.140625" style="1245"/>
    <col min="8193" max="8193" width="5.85546875" style="1245" customWidth="1"/>
    <col min="8194" max="8194" width="42.5703125" style="1245" customWidth="1"/>
    <col min="8195" max="8200" width="11" style="1245" customWidth="1"/>
    <col min="8201" max="8201" width="11.85546875" style="1245" customWidth="1"/>
    <col min="8202" max="8448" width="9.140625" style="1245"/>
    <col min="8449" max="8449" width="5.85546875" style="1245" customWidth="1"/>
    <col min="8450" max="8450" width="42.5703125" style="1245" customWidth="1"/>
    <col min="8451" max="8456" width="11" style="1245" customWidth="1"/>
    <col min="8457" max="8457" width="11.85546875" style="1245" customWidth="1"/>
    <col min="8458" max="8704" width="9.140625" style="1245"/>
    <col min="8705" max="8705" width="5.85546875" style="1245" customWidth="1"/>
    <col min="8706" max="8706" width="42.5703125" style="1245" customWidth="1"/>
    <col min="8707" max="8712" width="11" style="1245" customWidth="1"/>
    <col min="8713" max="8713" width="11.85546875" style="1245" customWidth="1"/>
    <col min="8714" max="8960" width="9.140625" style="1245"/>
    <col min="8961" max="8961" width="5.85546875" style="1245" customWidth="1"/>
    <col min="8962" max="8962" width="42.5703125" style="1245" customWidth="1"/>
    <col min="8963" max="8968" width="11" style="1245" customWidth="1"/>
    <col min="8969" max="8969" width="11.85546875" style="1245" customWidth="1"/>
    <col min="8970" max="9216" width="9.140625" style="1245"/>
    <col min="9217" max="9217" width="5.85546875" style="1245" customWidth="1"/>
    <col min="9218" max="9218" width="42.5703125" style="1245" customWidth="1"/>
    <col min="9219" max="9224" width="11" style="1245" customWidth="1"/>
    <col min="9225" max="9225" width="11.85546875" style="1245" customWidth="1"/>
    <col min="9226" max="9472" width="9.140625" style="1245"/>
    <col min="9473" max="9473" width="5.85546875" style="1245" customWidth="1"/>
    <col min="9474" max="9474" width="42.5703125" style="1245" customWidth="1"/>
    <col min="9475" max="9480" width="11" style="1245" customWidth="1"/>
    <col min="9481" max="9481" width="11.85546875" style="1245" customWidth="1"/>
    <col min="9482" max="9728" width="9.140625" style="1245"/>
    <col min="9729" max="9729" width="5.85546875" style="1245" customWidth="1"/>
    <col min="9730" max="9730" width="42.5703125" style="1245" customWidth="1"/>
    <col min="9731" max="9736" width="11" style="1245" customWidth="1"/>
    <col min="9737" max="9737" width="11.85546875" style="1245" customWidth="1"/>
    <col min="9738" max="9984" width="9.140625" style="1245"/>
    <col min="9985" max="9985" width="5.85546875" style="1245" customWidth="1"/>
    <col min="9986" max="9986" width="42.5703125" style="1245" customWidth="1"/>
    <col min="9987" max="9992" width="11" style="1245" customWidth="1"/>
    <col min="9993" max="9993" width="11.85546875" style="1245" customWidth="1"/>
    <col min="9994" max="10240" width="9.140625" style="1245"/>
    <col min="10241" max="10241" width="5.85546875" style="1245" customWidth="1"/>
    <col min="10242" max="10242" width="42.5703125" style="1245" customWidth="1"/>
    <col min="10243" max="10248" width="11" style="1245" customWidth="1"/>
    <col min="10249" max="10249" width="11.85546875" style="1245" customWidth="1"/>
    <col min="10250" max="10496" width="9.140625" style="1245"/>
    <col min="10497" max="10497" width="5.85546875" style="1245" customWidth="1"/>
    <col min="10498" max="10498" width="42.5703125" style="1245" customWidth="1"/>
    <col min="10499" max="10504" width="11" style="1245" customWidth="1"/>
    <col min="10505" max="10505" width="11.85546875" style="1245" customWidth="1"/>
    <col min="10506" max="10752" width="9.140625" style="1245"/>
    <col min="10753" max="10753" width="5.85546875" style="1245" customWidth="1"/>
    <col min="10754" max="10754" width="42.5703125" style="1245" customWidth="1"/>
    <col min="10755" max="10760" width="11" style="1245" customWidth="1"/>
    <col min="10761" max="10761" width="11.85546875" style="1245" customWidth="1"/>
    <col min="10762" max="11008" width="9.140625" style="1245"/>
    <col min="11009" max="11009" width="5.85546875" style="1245" customWidth="1"/>
    <col min="11010" max="11010" width="42.5703125" style="1245" customWidth="1"/>
    <col min="11011" max="11016" width="11" style="1245" customWidth="1"/>
    <col min="11017" max="11017" width="11.85546875" style="1245" customWidth="1"/>
    <col min="11018" max="11264" width="9.140625" style="1245"/>
    <col min="11265" max="11265" width="5.85546875" style="1245" customWidth="1"/>
    <col min="11266" max="11266" width="42.5703125" style="1245" customWidth="1"/>
    <col min="11267" max="11272" width="11" style="1245" customWidth="1"/>
    <col min="11273" max="11273" width="11.85546875" style="1245" customWidth="1"/>
    <col min="11274" max="11520" width="9.140625" style="1245"/>
    <col min="11521" max="11521" width="5.85546875" style="1245" customWidth="1"/>
    <col min="11522" max="11522" width="42.5703125" style="1245" customWidth="1"/>
    <col min="11523" max="11528" width="11" style="1245" customWidth="1"/>
    <col min="11529" max="11529" width="11.85546875" style="1245" customWidth="1"/>
    <col min="11530" max="11776" width="9.140625" style="1245"/>
    <col min="11777" max="11777" width="5.85546875" style="1245" customWidth="1"/>
    <col min="11778" max="11778" width="42.5703125" style="1245" customWidth="1"/>
    <col min="11779" max="11784" width="11" style="1245" customWidth="1"/>
    <col min="11785" max="11785" width="11.85546875" style="1245" customWidth="1"/>
    <col min="11786" max="12032" width="9.140625" style="1245"/>
    <col min="12033" max="12033" width="5.85546875" style="1245" customWidth="1"/>
    <col min="12034" max="12034" width="42.5703125" style="1245" customWidth="1"/>
    <col min="12035" max="12040" width="11" style="1245" customWidth="1"/>
    <col min="12041" max="12041" width="11.85546875" style="1245" customWidth="1"/>
    <col min="12042" max="12288" width="9.140625" style="1245"/>
    <col min="12289" max="12289" width="5.85546875" style="1245" customWidth="1"/>
    <col min="12290" max="12290" width="42.5703125" style="1245" customWidth="1"/>
    <col min="12291" max="12296" width="11" style="1245" customWidth="1"/>
    <col min="12297" max="12297" width="11.85546875" style="1245" customWidth="1"/>
    <col min="12298" max="12544" width="9.140625" style="1245"/>
    <col min="12545" max="12545" width="5.85546875" style="1245" customWidth="1"/>
    <col min="12546" max="12546" width="42.5703125" style="1245" customWidth="1"/>
    <col min="12547" max="12552" width="11" style="1245" customWidth="1"/>
    <col min="12553" max="12553" width="11.85546875" style="1245" customWidth="1"/>
    <col min="12554" max="12800" width="9.140625" style="1245"/>
    <col min="12801" max="12801" width="5.85546875" style="1245" customWidth="1"/>
    <col min="12802" max="12802" width="42.5703125" style="1245" customWidth="1"/>
    <col min="12803" max="12808" width="11" style="1245" customWidth="1"/>
    <col min="12809" max="12809" width="11.85546875" style="1245" customWidth="1"/>
    <col min="12810" max="13056" width="9.140625" style="1245"/>
    <col min="13057" max="13057" width="5.85546875" style="1245" customWidth="1"/>
    <col min="13058" max="13058" width="42.5703125" style="1245" customWidth="1"/>
    <col min="13059" max="13064" width="11" style="1245" customWidth="1"/>
    <col min="13065" max="13065" width="11.85546875" style="1245" customWidth="1"/>
    <col min="13066" max="13312" width="9.140625" style="1245"/>
    <col min="13313" max="13313" width="5.85546875" style="1245" customWidth="1"/>
    <col min="13314" max="13314" width="42.5703125" style="1245" customWidth="1"/>
    <col min="13315" max="13320" width="11" style="1245" customWidth="1"/>
    <col min="13321" max="13321" width="11.85546875" style="1245" customWidth="1"/>
    <col min="13322" max="13568" width="9.140625" style="1245"/>
    <col min="13569" max="13569" width="5.85546875" style="1245" customWidth="1"/>
    <col min="13570" max="13570" width="42.5703125" style="1245" customWidth="1"/>
    <col min="13571" max="13576" width="11" style="1245" customWidth="1"/>
    <col min="13577" max="13577" width="11.85546875" style="1245" customWidth="1"/>
    <col min="13578" max="13824" width="9.140625" style="1245"/>
    <col min="13825" max="13825" width="5.85546875" style="1245" customWidth="1"/>
    <col min="13826" max="13826" width="42.5703125" style="1245" customWidth="1"/>
    <col min="13827" max="13832" width="11" style="1245" customWidth="1"/>
    <col min="13833" max="13833" width="11.85546875" style="1245" customWidth="1"/>
    <col min="13834" max="14080" width="9.140625" style="1245"/>
    <col min="14081" max="14081" width="5.85546875" style="1245" customWidth="1"/>
    <col min="14082" max="14082" width="42.5703125" style="1245" customWidth="1"/>
    <col min="14083" max="14088" width="11" style="1245" customWidth="1"/>
    <col min="14089" max="14089" width="11.85546875" style="1245" customWidth="1"/>
    <col min="14090" max="14336" width="9.140625" style="1245"/>
    <col min="14337" max="14337" width="5.85546875" style="1245" customWidth="1"/>
    <col min="14338" max="14338" width="42.5703125" style="1245" customWidth="1"/>
    <col min="14339" max="14344" width="11" style="1245" customWidth="1"/>
    <col min="14345" max="14345" width="11.85546875" style="1245" customWidth="1"/>
    <col min="14346" max="14592" width="9.140625" style="1245"/>
    <col min="14593" max="14593" width="5.85546875" style="1245" customWidth="1"/>
    <col min="14594" max="14594" width="42.5703125" style="1245" customWidth="1"/>
    <col min="14595" max="14600" width="11" style="1245" customWidth="1"/>
    <col min="14601" max="14601" width="11.85546875" style="1245" customWidth="1"/>
    <col min="14602" max="14848" width="9.140625" style="1245"/>
    <col min="14849" max="14849" width="5.85546875" style="1245" customWidth="1"/>
    <col min="14850" max="14850" width="42.5703125" style="1245" customWidth="1"/>
    <col min="14851" max="14856" width="11" style="1245" customWidth="1"/>
    <col min="14857" max="14857" width="11.85546875" style="1245" customWidth="1"/>
    <col min="14858" max="15104" width="9.140625" style="1245"/>
    <col min="15105" max="15105" width="5.85546875" style="1245" customWidth="1"/>
    <col min="15106" max="15106" width="42.5703125" style="1245" customWidth="1"/>
    <col min="15107" max="15112" width="11" style="1245" customWidth="1"/>
    <col min="15113" max="15113" width="11.85546875" style="1245" customWidth="1"/>
    <col min="15114" max="15360" width="9.140625" style="1245"/>
    <col min="15361" max="15361" width="5.85546875" style="1245" customWidth="1"/>
    <col min="15362" max="15362" width="42.5703125" style="1245" customWidth="1"/>
    <col min="15363" max="15368" width="11" style="1245" customWidth="1"/>
    <col min="15369" max="15369" width="11.85546875" style="1245" customWidth="1"/>
    <col min="15370" max="15616" width="9.140625" style="1245"/>
    <col min="15617" max="15617" width="5.85546875" style="1245" customWidth="1"/>
    <col min="15618" max="15618" width="42.5703125" style="1245" customWidth="1"/>
    <col min="15619" max="15624" width="11" style="1245" customWidth="1"/>
    <col min="15625" max="15625" width="11.85546875" style="1245" customWidth="1"/>
    <col min="15626" max="15872" width="9.140625" style="1245"/>
    <col min="15873" max="15873" width="5.85546875" style="1245" customWidth="1"/>
    <col min="15874" max="15874" width="42.5703125" style="1245" customWidth="1"/>
    <col min="15875" max="15880" width="11" style="1245" customWidth="1"/>
    <col min="15881" max="15881" width="11.85546875" style="1245" customWidth="1"/>
    <col min="15882" max="16128" width="9.140625" style="1245"/>
    <col min="16129" max="16129" width="5.85546875" style="1245" customWidth="1"/>
    <col min="16130" max="16130" width="42.5703125" style="1245" customWidth="1"/>
    <col min="16131" max="16136" width="11" style="1245" customWidth="1"/>
    <col min="16137" max="16137" width="11.85546875" style="1245" customWidth="1"/>
    <col min="16138" max="16384" width="9.140625" style="1245"/>
  </cols>
  <sheetData>
    <row r="1" spans="1:9" ht="27.75" customHeight="1" x14ac:dyDescent="0.25">
      <c r="A1" s="1837" t="s">
        <v>1170</v>
      </c>
      <c r="B1" s="1837"/>
      <c r="C1" s="1837"/>
      <c r="D1" s="1837"/>
      <c r="E1" s="1837"/>
      <c r="F1" s="1837"/>
      <c r="G1" s="1837"/>
      <c r="H1" s="1837"/>
      <c r="I1" s="1837"/>
    </row>
    <row r="2" spans="1:9" ht="20.25" customHeight="1" thickBot="1" x14ac:dyDescent="0.3">
      <c r="I2" s="1612" t="s">
        <v>988</v>
      </c>
    </row>
    <row r="3" spans="1:9" s="1613" customFormat="1" ht="26.25" customHeight="1" x14ac:dyDescent="0.25">
      <c r="A3" s="1906" t="s">
        <v>989</v>
      </c>
      <c r="B3" s="1908" t="s">
        <v>1171</v>
      </c>
      <c r="C3" s="1906" t="s">
        <v>1172</v>
      </c>
      <c r="D3" s="1906" t="s">
        <v>1183</v>
      </c>
      <c r="E3" s="1910" t="s">
        <v>1173</v>
      </c>
      <c r="F3" s="1911"/>
      <c r="G3" s="1911"/>
      <c r="H3" s="1912"/>
      <c r="I3" s="1908" t="s">
        <v>260</v>
      </c>
    </row>
    <row r="4" spans="1:9" s="1616" customFormat="1" ht="32.25" customHeight="1" thickBot="1" x14ac:dyDescent="0.3">
      <c r="A4" s="1907"/>
      <c r="B4" s="1909"/>
      <c r="C4" s="1909"/>
      <c r="D4" s="1907"/>
      <c r="E4" s="1614">
        <v>2020</v>
      </c>
      <c r="F4" s="1614">
        <v>2021</v>
      </c>
      <c r="G4" s="1614">
        <v>2022</v>
      </c>
      <c r="H4" s="1615">
        <v>2023</v>
      </c>
      <c r="I4" s="1909"/>
    </row>
    <row r="5" spans="1:9" s="1622" customFormat="1" ht="12.95" customHeight="1" thickBot="1" x14ac:dyDescent="0.3">
      <c r="A5" s="1617">
        <v>1</v>
      </c>
      <c r="B5" s="1618">
        <v>2</v>
      </c>
      <c r="C5" s="1619">
        <v>3</v>
      </c>
      <c r="D5" s="1618">
        <v>4</v>
      </c>
      <c r="E5" s="1617">
        <v>5</v>
      </c>
      <c r="F5" s="1619">
        <v>6</v>
      </c>
      <c r="G5" s="1619">
        <v>7</v>
      </c>
      <c r="H5" s="1620">
        <v>8</v>
      </c>
      <c r="I5" s="1621" t="s">
        <v>1174</v>
      </c>
    </row>
    <row r="6" spans="1:9" ht="24.75" customHeight="1" thickBot="1" x14ac:dyDescent="0.3">
      <c r="A6" s="1623" t="s">
        <v>696</v>
      </c>
      <c r="B6" s="1624" t="s">
        <v>1175</v>
      </c>
      <c r="C6" s="1625"/>
      <c r="D6" s="1626">
        <f>+D7+D8</f>
        <v>0</v>
      </c>
      <c r="E6" s="1627">
        <f>+E7+E8</f>
        <v>6713595</v>
      </c>
      <c r="F6" s="1628">
        <f>+F7+F8</f>
        <v>0</v>
      </c>
      <c r="G6" s="1628">
        <f>+G7+G8</f>
        <v>0</v>
      </c>
      <c r="H6" s="1629">
        <f>+H7+H8</f>
        <v>0</v>
      </c>
      <c r="I6" s="1626">
        <f t="shared" ref="I6:I17" si="0">SUM(D6:H6)</f>
        <v>6713595</v>
      </c>
    </row>
    <row r="7" spans="1:9" ht="20.100000000000001" customHeight="1" x14ac:dyDescent="0.25">
      <c r="A7" s="1630" t="s">
        <v>710</v>
      </c>
      <c r="B7" s="1631" t="s">
        <v>1076</v>
      </c>
      <c r="C7" s="1632" t="s">
        <v>1099</v>
      </c>
      <c r="D7" s="1633"/>
      <c r="E7" s="1634">
        <f>'7.1 Önkormányzat'!C137</f>
        <v>6713595</v>
      </c>
      <c r="F7" s="1635"/>
      <c r="G7" s="1635"/>
      <c r="H7" s="1636"/>
      <c r="I7" s="1637">
        <f t="shared" si="0"/>
        <v>6713595</v>
      </c>
    </row>
    <row r="8" spans="1:9" ht="20.100000000000001" customHeight="1" thickBot="1" x14ac:dyDescent="0.3">
      <c r="A8" s="1630" t="s">
        <v>724</v>
      </c>
      <c r="B8" s="1631" t="s">
        <v>1176</v>
      </c>
      <c r="C8" s="1632"/>
      <c r="D8" s="1633"/>
      <c r="E8" s="1634"/>
      <c r="F8" s="1635"/>
      <c r="G8" s="1635"/>
      <c r="H8" s="1636"/>
      <c r="I8" s="1637">
        <f t="shared" si="0"/>
        <v>0</v>
      </c>
    </row>
    <row r="9" spans="1:9" ht="26.1" customHeight="1" thickBot="1" x14ac:dyDescent="0.3">
      <c r="A9" s="1623" t="s">
        <v>900</v>
      </c>
      <c r="B9" s="1624" t="s">
        <v>1177</v>
      </c>
      <c r="C9" s="1638"/>
      <c r="D9" s="1626">
        <f>+D10+D11</f>
        <v>0</v>
      </c>
      <c r="E9" s="1627">
        <f>+E10+E11</f>
        <v>0</v>
      </c>
      <c r="F9" s="1628">
        <f>+F10+F11</f>
        <v>0</v>
      </c>
      <c r="G9" s="1628">
        <f>+G10+G11</f>
        <v>0</v>
      </c>
      <c r="H9" s="1629">
        <f>+H10+H11</f>
        <v>0</v>
      </c>
      <c r="I9" s="1626">
        <f t="shared" si="0"/>
        <v>0</v>
      </c>
    </row>
    <row r="10" spans="1:9" ht="20.100000000000001" customHeight="1" x14ac:dyDescent="0.25">
      <c r="A10" s="1630" t="s">
        <v>753</v>
      </c>
      <c r="B10" s="1631" t="s">
        <v>1178</v>
      </c>
      <c r="C10" s="1632"/>
      <c r="D10" s="1633"/>
      <c r="E10" s="1634"/>
      <c r="F10" s="1635"/>
      <c r="G10" s="1635"/>
      <c r="H10" s="1636"/>
      <c r="I10" s="1637">
        <f t="shared" si="0"/>
        <v>0</v>
      </c>
    </row>
    <row r="11" spans="1:9" ht="20.100000000000001" customHeight="1" thickBot="1" x14ac:dyDescent="0.3">
      <c r="A11" s="1630" t="s">
        <v>775</v>
      </c>
      <c r="B11" s="1631" t="s">
        <v>1176</v>
      </c>
      <c r="C11" s="1632"/>
      <c r="D11" s="1633"/>
      <c r="E11" s="1634"/>
      <c r="F11" s="1635"/>
      <c r="G11" s="1635"/>
      <c r="H11" s="1636"/>
      <c r="I11" s="1637">
        <f t="shared" si="0"/>
        <v>0</v>
      </c>
    </row>
    <row r="12" spans="1:9" ht="20.100000000000001" customHeight="1" thickBot="1" x14ac:dyDescent="0.3">
      <c r="A12" s="1623" t="s">
        <v>911</v>
      </c>
      <c r="B12" s="1624" t="s">
        <v>1179</v>
      </c>
      <c r="C12" s="1638"/>
      <c r="D12" s="1626"/>
      <c r="E12" s="1627"/>
      <c r="F12" s="1628">
        <v>8890000</v>
      </c>
      <c r="G12" s="1628">
        <f>+G13</f>
        <v>0</v>
      </c>
      <c r="H12" s="1629">
        <f>+H13</f>
        <v>0</v>
      </c>
      <c r="I12" s="1626">
        <f t="shared" si="0"/>
        <v>8890000</v>
      </c>
    </row>
    <row r="13" spans="1:9" ht="30.75" customHeight="1" thickBot="1" x14ac:dyDescent="0.3">
      <c r="A13" s="1630" t="s">
        <v>796</v>
      </c>
      <c r="B13" s="1631" t="s">
        <v>1184</v>
      </c>
      <c r="C13" s="1632" t="s">
        <v>1226</v>
      </c>
      <c r="D13" s="1633"/>
      <c r="E13" s="1634"/>
      <c r="F13" s="1635">
        <v>8890000</v>
      </c>
      <c r="G13" s="1635"/>
      <c r="H13" s="1636"/>
      <c r="I13" s="1637">
        <f t="shared" si="0"/>
        <v>8890000</v>
      </c>
    </row>
    <row r="14" spans="1:9" ht="20.100000000000001" customHeight="1" thickBot="1" x14ac:dyDescent="0.3">
      <c r="A14" s="1623" t="s">
        <v>806</v>
      </c>
      <c r="B14" s="1624" t="s">
        <v>1180</v>
      </c>
      <c r="C14" s="1638"/>
      <c r="D14" s="1626"/>
      <c r="E14" s="1627"/>
      <c r="F14" s="1628">
        <f>+F15</f>
        <v>0</v>
      </c>
      <c r="G14" s="1628">
        <f>+G15</f>
        <v>0</v>
      </c>
      <c r="H14" s="1629">
        <f>+H15</f>
        <v>0</v>
      </c>
      <c r="I14" s="1626">
        <f t="shared" si="0"/>
        <v>0</v>
      </c>
    </row>
    <row r="15" spans="1:9" ht="20.100000000000001" customHeight="1" thickBot="1" x14ac:dyDescent="0.3">
      <c r="A15" s="1639" t="s">
        <v>923</v>
      </c>
      <c r="B15" s="1640"/>
      <c r="C15" s="1641"/>
      <c r="D15" s="1642"/>
      <c r="E15" s="1643"/>
      <c r="F15" s="1644"/>
      <c r="G15" s="1644"/>
      <c r="H15" s="1645"/>
      <c r="I15" s="1646">
        <f t="shared" si="0"/>
        <v>0</v>
      </c>
    </row>
    <row r="16" spans="1:9" ht="20.100000000000001" customHeight="1" thickBot="1" x14ac:dyDescent="0.3">
      <c r="A16" s="1623" t="s">
        <v>996</v>
      </c>
      <c r="B16" s="1647" t="s">
        <v>1181</v>
      </c>
      <c r="C16" s="1638"/>
      <c r="D16" s="1626">
        <f>+D17</f>
        <v>0</v>
      </c>
      <c r="E16" s="1627">
        <f>+E17</f>
        <v>0</v>
      </c>
      <c r="F16" s="1628">
        <f>+F17</f>
        <v>5199940</v>
      </c>
      <c r="G16" s="1628">
        <f>+G17</f>
        <v>0</v>
      </c>
      <c r="H16" s="1629">
        <f>+H17</f>
        <v>0</v>
      </c>
      <c r="I16" s="1626">
        <f t="shared" si="0"/>
        <v>5199940</v>
      </c>
    </row>
    <row r="17" spans="1:9" ht="20.100000000000001" customHeight="1" thickBot="1" x14ac:dyDescent="0.3">
      <c r="A17" s="1648" t="s">
        <v>997</v>
      </c>
      <c r="B17" s="1649" t="s">
        <v>1185</v>
      </c>
      <c r="C17" s="1650"/>
      <c r="D17" s="1651"/>
      <c r="E17" s="1652"/>
      <c r="F17" s="1653">
        <v>5199940</v>
      </c>
      <c r="G17" s="1653"/>
      <c r="H17" s="1654"/>
      <c r="I17" s="1655">
        <f t="shared" si="0"/>
        <v>5199940</v>
      </c>
    </row>
    <row r="18" spans="1:9" ht="20.100000000000001" customHeight="1" thickBot="1" x14ac:dyDescent="0.3">
      <c r="A18" s="1904" t="s">
        <v>1182</v>
      </c>
      <c r="B18" s="1905"/>
      <c r="C18" s="1656"/>
      <c r="D18" s="1626">
        <f t="shared" ref="D18:I18" si="1">+D6+D9+D12+D14+D16</f>
        <v>0</v>
      </c>
      <c r="E18" s="1627">
        <f t="shared" si="1"/>
        <v>6713595</v>
      </c>
      <c r="F18" s="1628">
        <f t="shared" si="1"/>
        <v>14089940</v>
      </c>
      <c r="G18" s="1628">
        <f t="shared" si="1"/>
        <v>0</v>
      </c>
      <c r="H18" s="1629">
        <f t="shared" si="1"/>
        <v>0</v>
      </c>
      <c r="I18" s="1626">
        <f t="shared" si="1"/>
        <v>20803535</v>
      </c>
    </row>
  </sheetData>
  <sheetProtection selectLockedCells="1" selectUnlockedCells="1"/>
  <mergeCells count="8">
    <mergeCell ref="A18:B18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95" orientation="landscape" r:id="rId1"/>
  <headerFooter alignWithMargins="0">
    <oddHeader>&amp;R&amp;"Times New Roman CE,Félkövér dőlt"3. számú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2" tint="-0.499984740745262"/>
  </sheetPr>
  <dimension ref="A1:D31"/>
  <sheetViews>
    <sheetView view="pageBreakPreview" zoomScaleNormal="100" zoomScaleSheetLayoutView="100" workbookViewId="0">
      <selection activeCell="C6" sqref="C6"/>
    </sheetView>
  </sheetViews>
  <sheetFormatPr defaultRowHeight="12.75" x14ac:dyDescent="0.25"/>
  <cols>
    <col min="1" max="1" width="5" style="1657" customWidth="1"/>
    <col min="2" max="2" width="47" style="1118" customWidth="1"/>
    <col min="3" max="4" width="15.140625" style="1118" customWidth="1"/>
    <col min="5" max="256" width="9.140625" style="1118"/>
    <col min="257" max="257" width="5" style="1118" customWidth="1"/>
    <col min="258" max="258" width="47" style="1118" customWidth="1"/>
    <col min="259" max="260" width="15.140625" style="1118" customWidth="1"/>
    <col min="261" max="512" width="9.140625" style="1118"/>
    <col min="513" max="513" width="5" style="1118" customWidth="1"/>
    <col min="514" max="514" width="47" style="1118" customWidth="1"/>
    <col min="515" max="516" width="15.140625" style="1118" customWidth="1"/>
    <col min="517" max="768" width="9.140625" style="1118"/>
    <col min="769" max="769" width="5" style="1118" customWidth="1"/>
    <col min="770" max="770" width="47" style="1118" customWidth="1"/>
    <col min="771" max="772" width="15.140625" style="1118" customWidth="1"/>
    <col min="773" max="1024" width="9.140625" style="1118"/>
    <col min="1025" max="1025" width="5" style="1118" customWidth="1"/>
    <col min="1026" max="1026" width="47" style="1118" customWidth="1"/>
    <col min="1027" max="1028" width="15.140625" style="1118" customWidth="1"/>
    <col min="1029" max="1280" width="9.140625" style="1118"/>
    <col min="1281" max="1281" width="5" style="1118" customWidth="1"/>
    <col min="1282" max="1282" width="47" style="1118" customWidth="1"/>
    <col min="1283" max="1284" width="15.140625" style="1118" customWidth="1"/>
    <col min="1285" max="1536" width="9.140625" style="1118"/>
    <col min="1537" max="1537" width="5" style="1118" customWidth="1"/>
    <col min="1538" max="1538" width="47" style="1118" customWidth="1"/>
    <col min="1539" max="1540" width="15.140625" style="1118" customWidth="1"/>
    <col min="1541" max="1792" width="9.140625" style="1118"/>
    <col min="1793" max="1793" width="5" style="1118" customWidth="1"/>
    <col min="1794" max="1794" width="47" style="1118" customWidth="1"/>
    <col min="1795" max="1796" width="15.140625" style="1118" customWidth="1"/>
    <col min="1797" max="2048" width="9.140625" style="1118"/>
    <col min="2049" max="2049" width="5" style="1118" customWidth="1"/>
    <col min="2050" max="2050" width="47" style="1118" customWidth="1"/>
    <col min="2051" max="2052" width="15.140625" style="1118" customWidth="1"/>
    <col min="2053" max="2304" width="9.140625" style="1118"/>
    <col min="2305" max="2305" width="5" style="1118" customWidth="1"/>
    <col min="2306" max="2306" width="47" style="1118" customWidth="1"/>
    <col min="2307" max="2308" width="15.140625" style="1118" customWidth="1"/>
    <col min="2309" max="2560" width="9.140625" style="1118"/>
    <col min="2561" max="2561" width="5" style="1118" customWidth="1"/>
    <col min="2562" max="2562" width="47" style="1118" customWidth="1"/>
    <col min="2563" max="2564" width="15.140625" style="1118" customWidth="1"/>
    <col min="2565" max="2816" width="9.140625" style="1118"/>
    <col min="2817" max="2817" width="5" style="1118" customWidth="1"/>
    <col min="2818" max="2818" width="47" style="1118" customWidth="1"/>
    <col min="2819" max="2820" width="15.140625" style="1118" customWidth="1"/>
    <col min="2821" max="3072" width="9.140625" style="1118"/>
    <col min="3073" max="3073" width="5" style="1118" customWidth="1"/>
    <col min="3074" max="3074" width="47" style="1118" customWidth="1"/>
    <col min="3075" max="3076" width="15.140625" style="1118" customWidth="1"/>
    <col min="3077" max="3328" width="9.140625" style="1118"/>
    <col min="3329" max="3329" width="5" style="1118" customWidth="1"/>
    <col min="3330" max="3330" width="47" style="1118" customWidth="1"/>
    <col min="3331" max="3332" width="15.140625" style="1118" customWidth="1"/>
    <col min="3333" max="3584" width="9.140625" style="1118"/>
    <col min="3585" max="3585" width="5" style="1118" customWidth="1"/>
    <col min="3586" max="3586" width="47" style="1118" customWidth="1"/>
    <col min="3587" max="3588" width="15.140625" style="1118" customWidth="1"/>
    <col min="3589" max="3840" width="9.140625" style="1118"/>
    <col min="3841" max="3841" width="5" style="1118" customWidth="1"/>
    <col min="3842" max="3842" width="47" style="1118" customWidth="1"/>
    <col min="3843" max="3844" width="15.140625" style="1118" customWidth="1"/>
    <col min="3845" max="4096" width="9.140625" style="1118"/>
    <col min="4097" max="4097" width="5" style="1118" customWidth="1"/>
    <col min="4098" max="4098" width="47" style="1118" customWidth="1"/>
    <col min="4099" max="4100" width="15.140625" style="1118" customWidth="1"/>
    <col min="4101" max="4352" width="9.140625" style="1118"/>
    <col min="4353" max="4353" width="5" style="1118" customWidth="1"/>
    <col min="4354" max="4354" width="47" style="1118" customWidth="1"/>
    <col min="4355" max="4356" width="15.140625" style="1118" customWidth="1"/>
    <col min="4357" max="4608" width="9.140625" style="1118"/>
    <col min="4609" max="4609" width="5" style="1118" customWidth="1"/>
    <col min="4610" max="4610" width="47" style="1118" customWidth="1"/>
    <col min="4611" max="4612" width="15.140625" style="1118" customWidth="1"/>
    <col min="4613" max="4864" width="9.140625" style="1118"/>
    <col min="4865" max="4865" width="5" style="1118" customWidth="1"/>
    <col min="4866" max="4866" width="47" style="1118" customWidth="1"/>
    <col min="4867" max="4868" width="15.140625" style="1118" customWidth="1"/>
    <col min="4869" max="5120" width="9.140625" style="1118"/>
    <col min="5121" max="5121" width="5" style="1118" customWidth="1"/>
    <col min="5122" max="5122" width="47" style="1118" customWidth="1"/>
    <col min="5123" max="5124" width="15.140625" style="1118" customWidth="1"/>
    <col min="5125" max="5376" width="9.140625" style="1118"/>
    <col min="5377" max="5377" width="5" style="1118" customWidth="1"/>
    <col min="5378" max="5378" width="47" style="1118" customWidth="1"/>
    <col min="5379" max="5380" width="15.140625" style="1118" customWidth="1"/>
    <col min="5381" max="5632" width="9.140625" style="1118"/>
    <col min="5633" max="5633" width="5" style="1118" customWidth="1"/>
    <col min="5634" max="5634" width="47" style="1118" customWidth="1"/>
    <col min="5635" max="5636" width="15.140625" style="1118" customWidth="1"/>
    <col min="5637" max="5888" width="9.140625" style="1118"/>
    <col min="5889" max="5889" width="5" style="1118" customWidth="1"/>
    <col min="5890" max="5890" width="47" style="1118" customWidth="1"/>
    <col min="5891" max="5892" width="15.140625" style="1118" customWidth="1"/>
    <col min="5893" max="6144" width="9.140625" style="1118"/>
    <col min="6145" max="6145" width="5" style="1118" customWidth="1"/>
    <col min="6146" max="6146" width="47" style="1118" customWidth="1"/>
    <col min="6147" max="6148" width="15.140625" style="1118" customWidth="1"/>
    <col min="6149" max="6400" width="9.140625" style="1118"/>
    <col min="6401" max="6401" width="5" style="1118" customWidth="1"/>
    <col min="6402" max="6402" width="47" style="1118" customWidth="1"/>
    <col min="6403" max="6404" width="15.140625" style="1118" customWidth="1"/>
    <col min="6405" max="6656" width="9.140625" style="1118"/>
    <col min="6657" max="6657" width="5" style="1118" customWidth="1"/>
    <col min="6658" max="6658" width="47" style="1118" customWidth="1"/>
    <col min="6659" max="6660" width="15.140625" style="1118" customWidth="1"/>
    <col min="6661" max="6912" width="9.140625" style="1118"/>
    <col min="6913" max="6913" width="5" style="1118" customWidth="1"/>
    <col min="6914" max="6914" width="47" style="1118" customWidth="1"/>
    <col min="6915" max="6916" width="15.140625" style="1118" customWidth="1"/>
    <col min="6917" max="7168" width="9.140625" style="1118"/>
    <col min="7169" max="7169" width="5" style="1118" customWidth="1"/>
    <col min="7170" max="7170" width="47" style="1118" customWidth="1"/>
    <col min="7171" max="7172" width="15.140625" style="1118" customWidth="1"/>
    <col min="7173" max="7424" width="9.140625" style="1118"/>
    <col min="7425" max="7425" width="5" style="1118" customWidth="1"/>
    <col min="7426" max="7426" width="47" style="1118" customWidth="1"/>
    <col min="7427" max="7428" width="15.140625" style="1118" customWidth="1"/>
    <col min="7429" max="7680" width="9.140625" style="1118"/>
    <col min="7681" max="7681" width="5" style="1118" customWidth="1"/>
    <col min="7682" max="7682" width="47" style="1118" customWidth="1"/>
    <col min="7683" max="7684" width="15.140625" style="1118" customWidth="1"/>
    <col min="7685" max="7936" width="9.140625" style="1118"/>
    <col min="7937" max="7937" width="5" style="1118" customWidth="1"/>
    <col min="7938" max="7938" width="47" style="1118" customWidth="1"/>
    <col min="7939" max="7940" width="15.140625" style="1118" customWidth="1"/>
    <col min="7941" max="8192" width="9.140625" style="1118"/>
    <col min="8193" max="8193" width="5" style="1118" customWidth="1"/>
    <col min="8194" max="8194" width="47" style="1118" customWidth="1"/>
    <col min="8195" max="8196" width="15.140625" style="1118" customWidth="1"/>
    <col min="8197" max="8448" width="9.140625" style="1118"/>
    <col min="8449" max="8449" width="5" style="1118" customWidth="1"/>
    <col min="8450" max="8450" width="47" style="1118" customWidth="1"/>
    <col min="8451" max="8452" width="15.140625" style="1118" customWidth="1"/>
    <col min="8453" max="8704" width="9.140625" style="1118"/>
    <col min="8705" max="8705" width="5" style="1118" customWidth="1"/>
    <col min="8706" max="8706" width="47" style="1118" customWidth="1"/>
    <col min="8707" max="8708" width="15.140625" style="1118" customWidth="1"/>
    <col min="8709" max="8960" width="9.140625" style="1118"/>
    <col min="8961" max="8961" width="5" style="1118" customWidth="1"/>
    <col min="8962" max="8962" width="47" style="1118" customWidth="1"/>
    <col min="8963" max="8964" width="15.140625" style="1118" customWidth="1"/>
    <col min="8965" max="9216" width="9.140625" style="1118"/>
    <col min="9217" max="9217" width="5" style="1118" customWidth="1"/>
    <col min="9218" max="9218" width="47" style="1118" customWidth="1"/>
    <col min="9219" max="9220" width="15.140625" style="1118" customWidth="1"/>
    <col min="9221" max="9472" width="9.140625" style="1118"/>
    <col min="9473" max="9473" width="5" style="1118" customWidth="1"/>
    <col min="9474" max="9474" width="47" style="1118" customWidth="1"/>
    <col min="9475" max="9476" width="15.140625" style="1118" customWidth="1"/>
    <col min="9477" max="9728" width="9.140625" style="1118"/>
    <col min="9729" max="9729" width="5" style="1118" customWidth="1"/>
    <col min="9730" max="9730" width="47" style="1118" customWidth="1"/>
    <col min="9731" max="9732" width="15.140625" style="1118" customWidth="1"/>
    <col min="9733" max="9984" width="9.140625" style="1118"/>
    <col min="9985" max="9985" width="5" style="1118" customWidth="1"/>
    <col min="9986" max="9986" width="47" style="1118" customWidth="1"/>
    <col min="9987" max="9988" width="15.140625" style="1118" customWidth="1"/>
    <col min="9989" max="10240" width="9.140625" style="1118"/>
    <col min="10241" max="10241" width="5" style="1118" customWidth="1"/>
    <col min="10242" max="10242" width="47" style="1118" customWidth="1"/>
    <col min="10243" max="10244" width="15.140625" style="1118" customWidth="1"/>
    <col min="10245" max="10496" width="9.140625" style="1118"/>
    <col min="10497" max="10497" width="5" style="1118" customWidth="1"/>
    <col min="10498" max="10498" width="47" style="1118" customWidth="1"/>
    <col min="10499" max="10500" width="15.140625" style="1118" customWidth="1"/>
    <col min="10501" max="10752" width="9.140625" style="1118"/>
    <col min="10753" max="10753" width="5" style="1118" customWidth="1"/>
    <col min="10754" max="10754" width="47" style="1118" customWidth="1"/>
    <col min="10755" max="10756" width="15.140625" style="1118" customWidth="1"/>
    <col min="10757" max="11008" width="9.140625" style="1118"/>
    <col min="11009" max="11009" width="5" style="1118" customWidth="1"/>
    <col min="11010" max="11010" width="47" style="1118" customWidth="1"/>
    <col min="11011" max="11012" width="15.140625" style="1118" customWidth="1"/>
    <col min="11013" max="11264" width="9.140625" style="1118"/>
    <col min="11265" max="11265" width="5" style="1118" customWidth="1"/>
    <col min="11266" max="11266" width="47" style="1118" customWidth="1"/>
    <col min="11267" max="11268" width="15.140625" style="1118" customWidth="1"/>
    <col min="11269" max="11520" width="9.140625" style="1118"/>
    <col min="11521" max="11521" width="5" style="1118" customWidth="1"/>
    <col min="11522" max="11522" width="47" style="1118" customWidth="1"/>
    <col min="11523" max="11524" width="15.140625" style="1118" customWidth="1"/>
    <col min="11525" max="11776" width="9.140625" style="1118"/>
    <col min="11777" max="11777" width="5" style="1118" customWidth="1"/>
    <col min="11778" max="11778" width="47" style="1118" customWidth="1"/>
    <col min="11779" max="11780" width="15.140625" style="1118" customWidth="1"/>
    <col min="11781" max="12032" width="9.140625" style="1118"/>
    <col min="12033" max="12033" width="5" style="1118" customWidth="1"/>
    <col min="12034" max="12034" width="47" style="1118" customWidth="1"/>
    <col min="12035" max="12036" width="15.140625" style="1118" customWidth="1"/>
    <col min="12037" max="12288" width="9.140625" style="1118"/>
    <col min="12289" max="12289" width="5" style="1118" customWidth="1"/>
    <col min="12290" max="12290" width="47" style="1118" customWidth="1"/>
    <col min="12291" max="12292" width="15.140625" style="1118" customWidth="1"/>
    <col min="12293" max="12544" width="9.140625" style="1118"/>
    <col min="12545" max="12545" width="5" style="1118" customWidth="1"/>
    <col min="12546" max="12546" width="47" style="1118" customWidth="1"/>
    <col min="12547" max="12548" width="15.140625" style="1118" customWidth="1"/>
    <col min="12549" max="12800" width="9.140625" style="1118"/>
    <col min="12801" max="12801" width="5" style="1118" customWidth="1"/>
    <col min="12802" max="12802" width="47" style="1118" customWidth="1"/>
    <col min="12803" max="12804" width="15.140625" style="1118" customWidth="1"/>
    <col min="12805" max="13056" width="9.140625" style="1118"/>
    <col min="13057" max="13057" width="5" style="1118" customWidth="1"/>
    <col min="13058" max="13058" width="47" style="1118" customWidth="1"/>
    <col min="13059" max="13060" width="15.140625" style="1118" customWidth="1"/>
    <col min="13061" max="13312" width="9.140625" style="1118"/>
    <col min="13313" max="13313" width="5" style="1118" customWidth="1"/>
    <col min="13314" max="13314" width="47" style="1118" customWidth="1"/>
    <col min="13315" max="13316" width="15.140625" style="1118" customWidth="1"/>
    <col min="13317" max="13568" width="9.140625" style="1118"/>
    <col min="13569" max="13569" width="5" style="1118" customWidth="1"/>
    <col min="13570" max="13570" width="47" style="1118" customWidth="1"/>
    <col min="13571" max="13572" width="15.140625" style="1118" customWidth="1"/>
    <col min="13573" max="13824" width="9.140625" style="1118"/>
    <col min="13825" max="13825" width="5" style="1118" customWidth="1"/>
    <col min="13826" max="13826" width="47" style="1118" customWidth="1"/>
    <col min="13827" max="13828" width="15.140625" style="1118" customWidth="1"/>
    <col min="13829" max="14080" width="9.140625" style="1118"/>
    <col min="14081" max="14081" width="5" style="1118" customWidth="1"/>
    <col min="14082" max="14082" width="47" style="1118" customWidth="1"/>
    <col min="14083" max="14084" width="15.140625" style="1118" customWidth="1"/>
    <col min="14085" max="14336" width="9.140625" style="1118"/>
    <col min="14337" max="14337" width="5" style="1118" customWidth="1"/>
    <col min="14338" max="14338" width="47" style="1118" customWidth="1"/>
    <col min="14339" max="14340" width="15.140625" style="1118" customWidth="1"/>
    <col min="14341" max="14592" width="9.140625" style="1118"/>
    <col min="14593" max="14593" width="5" style="1118" customWidth="1"/>
    <col min="14594" max="14594" width="47" style="1118" customWidth="1"/>
    <col min="14595" max="14596" width="15.140625" style="1118" customWidth="1"/>
    <col min="14597" max="14848" width="9.140625" style="1118"/>
    <col min="14849" max="14849" width="5" style="1118" customWidth="1"/>
    <col min="14850" max="14850" width="47" style="1118" customWidth="1"/>
    <col min="14851" max="14852" width="15.140625" style="1118" customWidth="1"/>
    <col min="14853" max="15104" width="9.140625" style="1118"/>
    <col min="15105" max="15105" width="5" style="1118" customWidth="1"/>
    <col min="15106" max="15106" width="47" style="1118" customWidth="1"/>
    <col min="15107" max="15108" width="15.140625" style="1118" customWidth="1"/>
    <col min="15109" max="15360" width="9.140625" style="1118"/>
    <col min="15361" max="15361" width="5" style="1118" customWidth="1"/>
    <col min="15362" max="15362" width="47" style="1118" customWidth="1"/>
    <col min="15363" max="15364" width="15.140625" style="1118" customWidth="1"/>
    <col min="15365" max="15616" width="9.140625" style="1118"/>
    <col min="15617" max="15617" width="5" style="1118" customWidth="1"/>
    <col min="15618" max="15618" width="47" style="1118" customWidth="1"/>
    <col min="15619" max="15620" width="15.140625" style="1118" customWidth="1"/>
    <col min="15621" max="15872" width="9.140625" style="1118"/>
    <col min="15873" max="15873" width="5" style="1118" customWidth="1"/>
    <col min="15874" max="15874" width="47" style="1118" customWidth="1"/>
    <col min="15875" max="15876" width="15.140625" style="1118" customWidth="1"/>
    <col min="15877" max="16128" width="9.140625" style="1118"/>
    <col min="16129" max="16129" width="5" style="1118" customWidth="1"/>
    <col min="16130" max="16130" width="47" style="1118" customWidth="1"/>
    <col min="16131" max="16132" width="15.140625" style="1118" customWidth="1"/>
    <col min="16133" max="16384" width="9.140625" style="1118"/>
  </cols>
  <sheetData>
    <row r="1" spans="1:4" ht="31.5" customHeight="1" x14ac:dyDescent="0.25">
      <c r="B1" s="1913" t="s">
        <v>1186</v>
      </c>
      <c r="C1" s="1913"/>
      <c r="D1" s="1913"/>
    </row>
    <row r="2" spans="1:4" s="1660" customFormat="1" ht="16.5" thickBot="1" x14ac:dyDescent="0.3">
      <c r="A2" s="1658"/>
      <c r="B2" s="1659"/>
      <c r="D2" s="1661" t="s">
        <v>988</v>
      </c>
    </row>
    <row r="3" spans="1:4" s="1545" customFormat="1" ht="48" customHeight="1" thickBot="1" x14ac:dyDescent="0.3">
      <c r="A3" s="1542" t="s">
        <v>1071</v>
      </c>
      <c r="B3" s="1543" t="s">
        <v>1187</v>
      </c>
      <c r="C3" s="1543" t="s">
        <v>1188</v>
      </c>
      <c r="D3" s="1544" t="s">
        <v>1189</v>
      </c>
    </row>
    <row r="4" spans="1:4" s="1545" customFormat="1" ht="14.1" customHeight="1" thickBot="1" x14ac:dyDescent="0.3">
      <c r="A4" s="1662">
        <v>1</v>
      </c>
      <c r="B4" s="1663">
        <v>2</v>
      </c>
      <c r="C4" s="1663">
        <v>3</v>
      </c>
      <c r="D4" s="1664">
        <v>4</v>
      </c>
    </row>
    <row r="5" spans="1:4" ht="18" customHeight="1" x14ac:dyDescent="0.25">
      <c r="A5" s="1665" t="s">
        <v>696</v>
      </c>
      <c r="B5" s="1666" t="s">
        <v>1190</v>
      </c>
      <c r="C5" s="1667">
        <f>'7.2 Hivatal'!C13</f>
        <v>7400000</v>
      </c>
      <c r="D5" s="1668"/>
    </row>
    <row r="6" spans="1:4" ht="18" customHeight="1" x14ac:dyDescent="0.25">
      <c r="A6" s="1669" t="s">
        <v>710</v>
      </c>
      <c r="B6" s="1670" t="s">
        <v>1191</v>
      </c>
      <c r="C6" s="1671"/>
      <c r="D6" s="1672"/>
    </row>
    <row r="7" spans="1:4" ht="18" customHeight="1" x14ac:dyDescent="0.25">
      <c r="A7" s="1669" t="s">
        <v>724</v>
      </c>
      <c r="B7" s="1670" t="s">
        <v>1192</v>
      </c>
      <c r="C7" s="1671"/>
      <c r="D7" s="1672"/>
    </row>
    <row r="8" spans="1:4" ht="18" customHeight="1" x14ac:dyDescent="0.25">
      <c r="A8" s="1669" t="s">
        <v>900</v>
      </c>
      <c r="B8" s="1670" t="s">
        <v>1193</v>
      </c>
      <c r="C8" s="1671"/>
      <c r="D8" s="1672"/>
    </row>
    <row r="9" spans="1:4" ht="18" customHeight="1" x14ac:dyDescent="0.25">
      <c r="A9" s="1669" t="s">
        <v>753</v>
      </c>
      <c r="B9" s="1670" t="s">
        <v>1194</v>
      </c>
      <c r="C9" s="1671">
        <f>SUM(C10:C18)</f>
        <v>91440000</v>
      </c>
      <c r="D9" s="1671">
        <v>0</v>
      </c>
    </row>
    <row r="10" spans="1:4" ht="18" customHeight="1" x14ac:dyDescent="0.25">
      <c r="A10" s="1669" t="s">
        <v>775</v>
      </c>
      <c r="B10" s="1670" t="s">
        <v>1195</v>
      </c>
      <c r="C10" s="1671"/>
      <c r="D10" s="1672"/>
    </row>
    <row r="11" spans="1:4" ht="18" customHeight="1" x14ac:dyDescent="0.25">
      <c r="A11" s="1669" t="s">
        <v>911</v>
      </c>
      <c r="B11" s="1673" t="s">
        <v>1196</v>
      </c>
      <c r="C11" s="1671">
        <f>'7.1 Önkormányzat'!C31</f>
        <v>40000</v>
      </c>
      <c r="D11" s="1672"/>
    </row>
    <row r="12" spans="1:4" ht="18" customHeight="1" x14ac:dyDescent="0.25">
      <c r="A12" s="1669" t="s">
        <v>806</v>
      </c>
      <c r="B12" s="1673" t="s">
        <v>1197</v>
      </c>
      <c r="C12" s="1671">
        <f>'7.1 Önkormányzat'!C32</f>
        <v>7500000</v>
      </c>
      <c r="D12" s="1672"/>
    </row>
    <row r="13" spans="1:4" ht="18" customHeight="1" x14ac:dyDescent="0.25">
      <c r="A13" s="1669" t="s">
        <v>923</v>
      </c>
      <c r="B13" s="1673" t="s">
        <v>1198</v>
      </c>
      <c r="C13" s="1671"/>
      <c r="D13" s="1672"/>
    </row>
    <row r="14" spans="1:4" ht="18" customHeight="1" x14ac:dyDescent="0.25">
      <c r="A14" s="1669" t="s">
        <v>996</v>
      </c>
      <c r="B14" s="1673" t="s">
        <v>1199</v>
      </c>
      <c r="C14" s="1671"/>
      <c r="D14" s="1672">
        <v>0</v>
      </c>
    </row>
    <row r="15" spans="1:4" ht="22.5" customHeight="1" x14ac:dyDescent="0.25">
      <c r="A15" s="1669" t="s">
        <v>997</v>
      </c>
      <c r="B15" s="1673" t="s">
        <v>1200</v>
      </c>
      <c r="C15" s="1671">
        <f>'7.1 Önkormányzat'!C33</f>
        <v>72000000</v>
      </c>
      <c r="D15" s="1672">
        <v>0</v>
      </c>
    </row>
    <row r="16" spans="1:4" ht="18" customHeight="1" x14ac:dyDescent="0.25">
      <c r="A16" s="1669" t="s">
        <v>998</v>
      </c>
      <c r="B16" s="1670" t="s">
        <v>1201</v>
      </c>
      <c r="C16" s="1671">
        <f>'7.1 Önkormányzat'!C34</f>
        <v>11000000</v>
      </c>
      <c r="D16" s="1672"/>
    </row>
    <row r="17" spans="1:4" ht="18" customHeight="1" x14ac:dyDescent="0.25">
      <c r="A17" s="1669" t="s">
        <v>1001</v>
      </c>
      <c r="B17" s="1670" t="s">
        <v>1202</v>
      </c>
      <c r="C17" s="1671">
        <f>'7.1 Önkormányzat'!C35</f>
        <v>200000</v>
      </c>
      <c r="D17" s="1672"/>
    </row>
    <row r="18" spans="1:4" ht="18" customHeight="1" x14ac:dyDescent="0.25">
      <c r="A18" s="1669" t="s">
        <v>1004</v>
      </c>
      <c r="B18" s="1670" t="s">
        <v>248</v>
      </c>
      <c r="C18" s="1671">
        <f>'7.1 Önkormányzat'!C36</f>
        <v>700000</v>
      </c>
      <c r="D18" s="1672"/>
    </row>
    <row r="19" spans="1:4" ht="18" customHeight="1" x14ac:dyDescent="0.25">
      <c r="A19" s="1669" t="s">
        <v>1007</v>
      </c>
      <c r="B19" s="1670" t="s">
        <v>1203</v>
      </c>
      <c r="C19" s="1671"/>
      <c r="D19" s="1672"/>
    </row>
    <row r="20" spans="1:4" ht="18" customHeight="1" x14ac:dyDescent="0.25">
      <c r="A20" s="1669" t="s">
        <v>1010</v>
      </c>
      <c r="B20" s="1670" t="s">
        <v>1204</v>
      </c>
      <c r="C20" s="1671"/>
      <c r="D20" s="1672"/>
    </row>
    <row r="21" spans="1:4" ht="18" customHeight="1" x14ac:dyDescent="0.25">
      <c r="A21" s="1669" t="s">
        <v>1013</v>
      </c>
      <c r="B21" s="1670" t="s">
        <v>1205</v>
      </c>
      <c r="C21" s="1674"/>
      <c r="D21" s="1672"/>
    </row>
    <row r="22" spans="1:4" ht="18" customHeight="1" x14ac:dyDescent="0.25">
      <c r="A22" s="1669" t="s">
        <v>1016</v>
      </c>
      <c r="B22" s="1670" t="s">
        <v>1206</v>
      </c>
      <c r="C22" s="1674"/>
      <c r="D22" s="1672"/>
    </row>
    <row r="23" spans="1:4" ht="18" customHeight="1" x14ac:dyDescent="0.25">
      <c r="A23" s="1669" t="s">
        <v>1019</v>
      </c>
      <c r="B23" s="1675"/>
      <c r="C23" s="1674"/>
      <c r="D23" s="1672"/>
    </row>
    <row r="24" spans="1:4" ht="18" customHeight="1" x14ac:dyDescent="0.25">
      <c r="A24" s="1669" t="s">
        <v>1022</v>
      </c>
      <c r="B24" s="1675"/>
      <c r="C24" s="1674"/>
      <c r="D24" s="1672"/>
    </row>
    <row r="25" spans="1:4" ht="18" customHeight="1" x14ac:dyDescent="0.25">
      <c r="A25" s="1669" t="s">
        <v>1025</v>
      </c>
      <c r="B25" s="1675"/>
      <c r="C25" s="1674"/>
      <c r="D25" s="1672"/>
    </row>
    <row r="26" spans="1:4" ht="18" customHeight="1" x14ac:dyDescent="0.25">
      <c r="A26" s="1669" t="s">
        <v>1028</v>
      </c>
      <c r="B26" s="1675"/>
      <c r="C26" s="1674"/>
      <c r="D26" s="1672"/>
    </row>
    <row r="27" spans="1:4" ht="18" customHeight="1" x14ac:dyDescent="0.25">
      <c r="A27" s="1669" t="s">
        <v>1031</v>
      </c>
      <c r="B27" s="1675"/>
      <c r="C27" s="1674"/>
      <c r="D27" s="1672"/>
    </row>
    <row r="28" spans="1:4" ht="18" customHeight="1" x14ac:dyDescent="0.25">
      <c r="A28" s="1669" t="s">
        <v>1034</v>
      </c>
      <c r="B28" s="1675"/>
      <c r="C28" s="1674"/>
      <c r="D28" s="1672"/>
    </row>
    <row r="29" spans="1:4" ht="18" customHeight="1" thickBot="1" x14ac:dyDescent="0.3">
      <c r="A29" s="1676" t="s">
        <v>1041</v>
      </c>
      <c r="B29" s="1677"/>
      <c r="C29" s="1678"/>
      <c r="D29" s="1679"/>
    </row>
    <row r="30" spans="1:4" ht="18" customHeight="1" thickBot="1" x14ac:dyDescent="0.3">
      <c r="A30" s="1680" t="s">
        <v>1038</v>
      </c>
      <c r="B30" s="1681" t="s">
        <v>1135</v>
      </c>
      <c r="C30" s="1682">
        <f>+C5+C6+C7+C8+C9+C19+C20+C21+C22+C23+C24+C25+C26+C27+C28+C29</f>
        <v>98840000</v>
      </c>
      <c r="D30" s="1683">
        <f>+D5+D6+D7+D8+D9+D16+D17+D18+D19+D20+D21+D22+D23+D24+D25+D26+D27+D28+D29</f>
        <v>0</v>
      </c>
    </row>
    <row r="31" spans="1:4" ht="8.25" customHeight="1" x14ac:dyDescent="0.25">
      <c r="A31" s="1684"/>
      <c r="B31" s="1914"/>
      <c r="C31" s="1914"/>
      <c r="D31" s="1914"/>
    </row>
  </sheetData>
  <sheetProtection selectLockedCells="1" selectUnlockedCells="1"/>
  <mergeCells count="2">
    <mergeCell ref="B1:D1"/>
    <mergeCell ref="B31:D31"/>
  </mergeCells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CE,Dőlt" 4&amp;"Times New Roman CE,Félkövér dőlt". számú 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P204"/>
  <sheetViews>
    <sheetView view="pageBreakPreview" topLeftCell="A172" zoomScaleNormal="100" zoomScaleSheetLayoutView="100" workbookViewId="0">
      <pane xSplit="1" topLeftCell="W1" activePane="topRight" state="frozen"/>
      <selection pane="topRight" activeCell="AA195" sqref="AA195"/>
    </sheetView>
  </sheetViews>
  <sheetFormatPr defaultRowHeight="15" x14ac:dyDescent="0.25"/>
  <cols>
    <col min="1" max="1" width="39.42578125" customWidth="1"/>
    <col min="2" max="16" width="12.42578125" customWidth="1"/>
    <col min="17" max="19" width="15.5703125" customWidth="1"/>
    <col min="20" max="20" width="13.85546875" customWidth="1"/>
    <col min="21" max="21" width="12.42578125" customWidth="1"/>
    <col min="22" max="22" width="22" customWidth="1"/>
    <col min="23" max="23" width="12.42578125" customWidth="1"/>
    <col min="24" max="25" width="12.28515625" customWidth="1"/>
    <col min="26" max="26" width="13.28515625" customWidth="1"/>
    <col min="27" max="27" width="17.140625" customWidth="1"/>
    <col min="28" max="29" width="19" customWidth="1"/>
    <col min="30" max="36" width="12.42578125" customWidth="1"/>
    <col min="37" max="37" width="17.140625" customWidth="1"/>
    <col min="38" max="38" width="22.28515625" customWidth="1"/>
    <col min="39" max="39" width="18.7109375" customWidth="1"/>
    <col min="40" max="40" width="15.140625" style="680" customWidth="1"/>
    <col min="41" max="41" width="19" style="1234" customWidth="1"/>
    <col min="42" max="42" width="10.85546875" bestFit="1" customWidth="1"/>
    <col min="242" max="242" width="39.42578125" customWidth="1"/>
    <col min="243" max="258" width="12.42578125" customWidth="1"/>
    <col min="259" max="259" width="15.5703125" customWidth="1"/>
    <col min="260" max="260" width="11.7109375" customWidth="1"/>
    <col min="261" max="261" width="12.42578125" customWidth="1"/>
    <col min="262" max="262" width="22" customWidth="1"/>
    <col min="263" max="263" width="12.42578125" customWidth="1"/>
    <col min="264" max="264" width="12.28515625" customWidth="1"/>
    <col min="265" max="266" width="10.42578125" customWidth="1"/>
    <col min="267" max="267" width="17.140625" customWidth="1"/>
    <col min="268" max="269" width="19" customWidth="1"/>
    <col min="270" max="273" width="12.42578125" customWidth="1"/>
    <col min="274" max="274" width="17.140625" customWidth="1"/>
    <col min="275" max="275" width="22.28515625" customWidth="1"/>
    <col min="276" max="276" width="18.7109375" customWidth="1"/>
    <col min="277" max="277" width="14" customWidth="1"/>
    <col min="278" max="278" width="15.5703125" customWidth="1"/>
    <col min="279" max="279" width="11" bestFit="1" customWidth="1"/>
    <col min="280" max="280" width="9.85546875" bestFit="1" customWidth="1"/>
    <col min="498" max="498" width="39.42578125" customWidth="1"/>
    <col min="499" max="514" width="12.42578125" customWidth="1"/>
    <col min="515" max="515" width="15.5703125" customWidth="1"/>
    <col min="516" max="516" width="11.7109375" customWidth="1"/>
    <col min="517" max="517" width="12.42578125" customWidth="1"/>
    <col min="518" max="518" width="22" customWidth="1"/>
    <col min="519" max="519" width="12.42578125" customWidth="1"/>
    <col min="520" max="520" width="12.28515625" customWidth="1"/>
    <col min="521" max="522" width="10.42578125" customWidth="1"/>
    <col min="523" max="523" width="17.140625" customWidth="1"/>
    <col min="524" max="525" width="19" customWidth="1"/>
    <col min="526" max="529" width="12.42578125" customWidth="1"/>
    <col min="530" max="530" width="17.140625" customWidth="1"/>
    <col min="531" max="531" width="22.28515625" customWidth="1"/>
    <col min="532" max="532" width="18.7109375" customWidth="1"/>
    <col min="533" max="533" width="14" customWidth="1"/>
    <col min="534" max="534" width="15.5703125" customWidth="1"/>
    <col min="535" max="535" width="11" bestFit="1" customWidth="1"/>
    <col min="536" max="536" width="9.85546875" bestFit="1" customWidth="1"/>
    <col min="754" max="754" width="39.42578125" customWidth="1"/>
    <col min="755" max="770" width="12.42578125" customWidth="1"/>
    <col min="771" max="771" width="15.5703125" customWidth="1"/>
    <col min="772" max="772" width="11.7109375" customWidth="1"/>
    <col min="773" max="773" width="12.42578125" customWidth="1"/>
    <col min="774" max="774" width="22" customWidth="1"/>
    <col min="775" max="775" width="12.42578125" customWidth="1"/>
    <col min="776" max="776" width="12.28515625" customWidth="1"/>
    <col min="777" max="778" width="10.42578125" customWidth="1"/>
    <col min="779" max="779" width="17.140625" customWidth="1"/>
    <col min="780" max="781" width="19" customWidth="1"/>
    <col min="782" max="785" width="12.42578125" customWidth="1"/>
    <col min="786" max="786" width="17.140625" customWidth="1"/>
    <col min="787" max="787" width="22.28515625" customWidth="1"/>
    <col min="788" max="788" width="18.7109375" customWidth="1"/>
    <col min="789" max="789" width="14" customWidth="1"/>
    <col min="790" max="790" width="15.5703125" customWidth="1"/>
    <col min="791" max="791" width="11" bestFit="1" customWidth="1"/>
    <col min="792" max="792" width="9.85546875" bestFit="1" customWidth="1"/>
    <col min="1010" max="1010" width="39.42578125" customWidth="1"/>
    <col min="1011" max="1026" width="12.42578125" customWidth="1"/>
    <col min="1027" max="1027" width="15.5703125" customWidth="1"/>
    <col min="1028" max="1028" width="11.7109375" customWidth="1"/>
    <col min="1029" max="1029" width="12.42578125" customWidth="1"/>
    <col min="1030" max="1030" width="22" customWidth="1"/>
    <col min="1031" max="1031" width="12.42578125" customWidth="1"/>
    <col min="1032" max="1032" width="12.28515625" customWidth="1"/>
    <col min="1033" max="1034" width="10.42578125" customWidth="1"/>
    <col min="1035" max="1035" width="17.140625" customWidth="1"/>
    <col min="1036" max="1037" width="19" customWidth="1"/>
    <col min="1038" max="1041" width="12.42578125" customWidth="1"/>
    <col min="1042" max="1042" width="17.140625" customWidth="1"/>
    <col min="1043" max="1043" width="22.28515625" customWidth="1"/>
    <col min="1044" max="1044" width="18.7109375" customWidth="1"/>
    <col min="1045" max="1045" width="14" customWidth="1"/>
    <col min="1046" max="1046" width="15.5703125" customWidth="1"/>
    <col min="1047" max="1047" width="11" bestFit="1" customWidth="1"/>
    <col min="1048" max="1048" width="9.85546875" bestFit="1" customWidth="1"/>
    <col min="1266" max="1266" width="39.42578125" customWidth="1"/>
    <col min="1267" max="1282" width="12.42578125" customWidth="1"/>
    <col min="1283" max="1283" width="15.5703125" customWidth="1"/>
    <col min="1284" max="1284" width="11.7109375" customWidth="1"/>
    <col min="1285" max="1285" width="12.42578125" customWidth="1"/>
    <col min="1286" max="1286" width="22" customWidth="1"/>
    <col min="1287" max="1287" width="12.42578125" customWidth="1"/>
    <col min="1288" max="1288" width="12.28515625" customWidth="1"/>
    <col min="1289" max="1290" width="10.42578125" customWidth="1"/>
    <col min="1291" max="1291" width="17.140625" customWidth="1"/>
    <col min="1292" max="1293" width="19" customWidth="1"/>
    <col min="1294" max="1297" width="12.42578125" customWidth="1"/>
    <col min="1298" max="1298" width="17.140625" customWidth="1"/>
    <col min="1299" max="1299" width="22.28515625" customWidth="1"/>
    <col min="1300" max="1300" width="18.7109375" customWidth="1"/>
    <col min="1301" max="1301" width="14" customWidth="1"/>
    <col min="1302" max="1302" width="15.5703125" customWidth="1"/>
    <col min="1303" max="1303" width="11" bestFit="1" customWidth="1"/>
    <col min="1304" max="1304" width="9.85546875" bestFit="1" customWidth="1"/>
    <col min="1522" max="1522" width="39.42578125" customWidth="1"/>
    <col min="1523" max="1538" width="12.42578125" customWidth="1"/>
    <col min="1539" max="1539" width="15.5703125" customWidth="1"/>
    <col min="1540" max="1540" width="11.7109375" customWidth="1"/>
    <col min="1541" max="1541" width="12.42578125" customWidth="1"/>
    <col min="1542" max="1542" width="22" customWidth="1"/>
    <col min="1543" max="1543" width="12.42578125" customWidth="1"/>
    <col min="1544" max="1544" width="12.28515625" customWidth="1"/>
    <col min="1545" max="1546" width="10.42578125" customWidth="1"/>
    <col min="1547" max="1547" width="17.140625" customWidth="1"/>
    <col min="1548" max="1549" width="19" customWidth="1"/>
    <col min="1550" max="1553" width="12.42578125" customWidth="1"/>
    <col min="1554" max="1554" width="17.140625" customWidth="1"/>
    <col min="1555" max="1555" width="22.28515625" customWidth="1"/>
    <col min="1556" max="1556" width="18.7109375" customWidth="1"/>
    <col min="1557" max="1557" width="14" customWidth="1"/>
    <col min="1558" max="1558" width="15.5703125" customWidth="1"/>
    <col min="1559" max="1559" width="11" bestFit="1" customWidth="1"/>
    <col min="1560" max="1560" width="9.85546875" bestFit="1" customWidth="1"/>
    <col min="1778" max="1778" width="39.42578125" customWidth="1"/>
    <col min="1779" max="1794" width="12.42578125" customWidth="1"/>
    <col min="1795" max="1795" width="15.5703125" customWidth="1"/>
    <col min="1796" max="1796" width="11.7109375" customWidth="1"/>
    <col min="1797" max="1797" width="12.42578125" customWidth="1"/>
    <col min="1798" max="1798" width="22" customWidth="1"/>
    <col min="1799" max="1799" width="12.42578125" customWidth="1"/>
    <col min="1800" max="1800" width="12.28515625" customWidth="1"/>
    <col min="1801" max="1802" width="10.42578125" customWidth="1"/>
    <col min="1803" max="1803" width="17.140625" customWidth="1"/>
    <col min="1804" max="1805" width="19" customWidth="1"/>
    <col min="1806" max="1809" width="12.42578125" customWidth="1"/>
    <col min="1810" max="1810" width="17.140625" customWidth="1"/>
    <col min="1811" max="1811" width="22.28515625" customWidth="1"/>
    <col min="1812" max="1812" width="18.7109375" customWidth="1"/>
    <col min="1813" max="1813" width="14" customWidth="1"/>
    <col min="1814" max="1814" width="15.5703125" customWidth="1"/>
    <col min="1815" max="1815" width="11" bestFit="1" customWidth="1"/>
    <col min="1816" max="1816" width="9.85546875" bestFit="1" customWidth="1"/>
    <col min="2034" max="2034" width="39.42578125" customWidth="1"/>
    <col min="2035" max="2050" width="12.42578125" customWidth="1"/>
    <col min="2051" max="2051" width="15.5703125" customWidth="1"/>
    <col min="2052" max="2052" width="11.7109375" customWidth="1"/>
    <col min="2053" max="2053" width="12.42578125" customWidth="1"/>
    <col min="2054" max="2054" width="22" customWidth="1"/>
    <col min="2055" max="2055" width="12.42578125" customWidth="1"/>
    <col min="2056" max="2056" width="12.28515625" customWidth="1"/>
    <col min="2057" max="2058" width="10.42578125" customWidth="1"/>
    <col min="2059" max="2059" width="17.140625" customWidth="1"/>
    <col min="2060" max="2061" width="19" customWidth="1"/>
    <col min="2062" max="2065" width="12.42578125" customWidth="1"/>
    <col min="2066" max="2066" width="17.140625" customWidth="1"/>
    <col min="2067" max="2067" width="22.28515625" customWidth="1"/>
    <col min="2068" max="2068" width="18.7109375" customWidth="1"/>
    <col min="2069" max="2069" width="14" customWidth="1"/>
    <col min="2070" max="2070" width="15.5703125" customWidth="1"/>
    <col min="2071" max="2071" width="11" bestFit="1" customWidth="1"/>
    <col min="2072" max="2072" width="9.85546875" bestFit="1" customWidth="1"/>
    <col min="2290" max="2290" width="39.42578125" customWidth="1"/>
    <col min="2291" max="2306" width="12.42578125" customWidth="1"/>
    <col min="2307" max="2307" width="15.5703125" customWidth="1"/>
    <col min="2308" max="2308" width="11.7109375" customWidth="1"/>
    <col min="2309" max="2309" width="12.42578125" customWidth="1"/>
    <col min="2310" max="2310" width="22" customWidth="1"/>
    <col min="2311" max="2311" width="12.42578125" customWidth="1"/>
    <col min="2312" max="2312" width="12.28515625" customWidth="1"/>
    <col min="2313" max="2314" width="10.42578125" customWidth="1"/>
    <col min="2315" max="2315" width="17.140625" customWidth="1"/>
    <col min="2316" max="2317" width="19" customWidth="1"/>
    <col min="2318" max="2321" width="12.42578125" customWidth="1"/>
    <col min="2322" max="2322" width="17.140625" customWidth="1"/>
    <col min="2323" max="2323" width="22.28515625" customWidth="1"/>
    <col min="2324" max="2324" width="18.7109375" customWidth="1"/>
    <col min="2325" max="2325" width="14" customWidth="1"/>
    <col min="2326" max="2326" width="15.5703125" customWidth="1"/>
    <col min="2327" max="2327" width="11" bestFit="1" customWidth="1"/>
    <col min="2328" max="2328" width="9.85546875" bestFit="1" customWidth="1"/>
    <col min="2546" max="2546" width="39.42578125" customWidth="1"/>
    <col min="2547" max="2562" width="12.42578125" customWidth="1"/>
    <col min="2563" max="2563" width="15.5703125" customWidth="1"/>
    <col min="2564" max="2564" width="11.7109375" customWidth="1"/>
    <col min="2565" max="2565" width="12.42578125" customWidth="1"/>
    <col min="2566" max="2566" width="22" customWidth="1"/>
    <col min="2567" max="2567" width="12.42578125" customWidth="1"/>
    <col min="2568" max="2568" width="12.28515625" customWidth="1"/>
    <col min="2569" max="2570" width="10.42578125" customWidth="1"/>
    <col min="2571" max="2571" width="17.140625" customWidth="1"/>
    <col min="2572" max="2573" width="19" customWidth="1"/>
    <col min="2574" max="2577" width="12.42578125" customWidth="1"/>
    <col min="2578" max="2578" width="17.140625" customWidth="1"/>
    <col min="2579" max="2579" width="22.28515625" customWidth="1"/>
    <col min="2580" max="2580" width="18.7109375" customWidth="1"/>
    <col min="2581" max="2581" width="14" customWidth="1"/>
    <col min="2582" max="2582" width="15.5703125" customWidth="1"/>
    <col min="2583" max="2583" width="11" bestFit="1" customWidth="1"/>
    <col min="2584" max="2584" width="9.85546875" bestFit="1" customWidth="1"/>
    <col min="2802" max="2802" width="39.42578125" customWidth="1"/>
    <col min="2803" max="2818" width="12.42578125" customWidth="1"/>
    <col min="2819" max="2819" width="15.5703125" customWidth="1"/>
    <col min="2820" max="2820" width="11.7109375" customWidth="1"/>
    <col min="2821" max="2821" width="12.42578125" customWidth="1"/>
    <col min="2822" max="2822" width="22" customWidth="1"/>
    <col min="2823" max="2823" width="12.42578125" customWidth="1"/>
    <col min="2824" max="2824" width="12.28515625" customWidth="1"/>
    <col min="2825" max="2826" width="10.42578125" customWidth="1"/>
    <col min="2827" max="2827" width="17.140625" customWidth="1"/>
    <col min="2828" max="2829" width="19" customWidth="1"/>
    <col min="2830" max="2833" width="12.42578125" customWidth="1"/>
    <col min="2834" max="2834" width="17.140625" customWidth="1"/>
    <col min="2835" max="2835" width="22.28515625" customWidth="1"/>
    <col min="2836" max="2836" width="18.7109375" customWidth="1"/>
    <col min="2837" max="2837" width="14" customWidth="1"/>
    <col min="2838" max="2838" width="15.5703125" customWidth="1"/>
    <col min="2839" max="2839" width="11" bestFit="1" customWidth="1"/>
    <col min="2840" max="2840" width="9.85546875" bestFit="1" customWidth="1"/>
    <col min="3058" max="3058" width="39.42578125" customWidth="1"/>
    <col min="3059" max="3074" width="12.42578125" customWidth="1"/>
    <col min="3075" max="3075" width="15.5703125" customWidth="1"/>
    <col min="3076" max="3076" width="11.7109375" customWidth="1"/>
    <col min="3077" max="3077" width="12.42578125" customWidth="1"/>
    <col min="3078" max="3078" width="22" customWidth="1"/>
    <col min="3079" max="3079" width="12.42578125" customWidth="1"/>
    <col min="3080" max="3080" width="12.28515625" customWidth="1"/>
    <col min="3081" max="3082" width="10.42578125" customWidth="1"/>
    <col min="3083" max="3083" width="17.140625" customWidth="1"/>
    <col min="3084" max="3085" width="19" customWidth="1"/>
    <col min="3086" max="3089" width="12.42578125" customWidth="1"/>
    <col min="3090" max="3090" width="17.140625" customWidth="1"/>
    <col min="3091" max="3091" width="22.28515625" customWidth="1"/>
    <col min="3092" max="3092" width="18.7109375" customWidth="1"/>
    <col min="3093" max="3093" width="14" customWidth="1"/>
    <col min="3094" max="3094" width="15.5703125" customWidth="1"/>
    <col min="3095" max="3095" width="11" bestFit="1" customWidth="1"/>
    <col min="3096" max="3096" width="9.85546875" bestFit="1" customWidth="1"/>
    <col min="3314" max="3314" width="39.42578125" customWidth="1"/>
    <col min="3315" max="3330" width="12.42578125" customWidth="1"/>
    <col min="3331" max="3331" width="15.5703125" customWidth="1"/>
    <col min="3332" max="3332" width="11.7109375" customWidth="1"/>
    <col min="3333" max="3333" width="12.42578125" customWidth="1"/>
    <col min="3334" max="3334" width="22" customWidth="1"/>
    <col min="3335" max="3335" width="12.42578125" customWidth="1"/>
    <col min="3336" max="3336" width="12.28515625" customWidth="1"/>
    <col min="3337" max="3338" width="10.42578125" customWidth="1"/>
    <col min="3339" max="3339" width="17.140625" customWidth="1"/>
    <col min="3340" max="3341" width="19" customWidth="1"/>
    <col min="3342" max="3345" width="12.42578125" customWidth="1"/>
    <col min="3346" max="3346" width="17.140625" customWidth="1"/>
    <col min="3347" max="3347" width="22.28515625" customWidth="1"/>
    <col min="3348" max="3348" width="18.7109375" customWidth="1"/>
    <col min="3349" max="3349" width="14" customWidth="1"/>
    <col min="3350" max="3350" width="15.5703125" customWidth="1"/>
    <col min="3351" max="3351" width="11" bestFit="1" customWidth="1"/>
    <col min="3352" max="3352" width="9.85546875" bestFit="1" customWidth="1"/>
    <col min="3570" max="3570" width="39.42578125" customWidth="1"/>
    <col min="3571" max="3586" width="12.42578125" customWidth="1"/>
    <col min="3587" max="3587" width="15.5703125" customWidth="1"/>
    <col min="3588" max="3588" width="11.7109375" customWidth="1"/>
    <col min="3589" max="3589" width="12.42578125" customWidth="1"/>
    <col min="3590" max="3590" width="22" customWidth="1"/>
    <col min="3591" max="3591" width="12.42578125" customWidth="1"/>
    <col min="3592" max="3592" width="12.28515625" customWidth="1"/>
    <col min="3593" max="3594" width="10.42578125" customWidth="1"/>
    <col min="3595" max="3595" width="17.140625" customWidth="1"/>
    <col min="3596" max="3597" width="19" customWidth="1"/>
    <col min="3598" max="3601" width="12.42578125" customWidth="1"/>
    <col min="3602" max="3602" width="17.140625" customWidth="1"/>
    <col min="3603" max="3603" width="22.28515625" customWidth="1"/>
    <col min="3604" max="3604" width="18.7109375" customWidth="1"/>
    <col min="3605" max="3605" width="14" customWidth="1"/>
    <col min="3606" max="3606" width="15.5703125" customWidth="1"/>
    <col min="3607" max="3607" width="11" bestFit="1" customWidth="1"/>
    <col min="3608" max="3608" width="9.85546875" bestFit="1" customWidth="1"/>
    <col min="3826" max="3826" width="39.42578125" customWidth="1"/>
    <col min="3827" max="3842" width="12.42578125" customWidth="1"/>
    <col min="3843" max="3843" width="15.5703125" customWidth="1"/>
    <col min="3844" max="3844" width="11.7109375" customWidth="1"/>
    <col min="3845" max="3845" width="12.42578125" customWidth="1"/>
    <col min="3846" max="3846" width="22" customWidth="1"/>
    <col min="3847" max="3847" width="12.42578125" customWidth="1"/>
    <col min="3848" max="3848" width="12.28515625" customWidth="1"/>
    <col min="3849" max="3850" width="10.42578125" customWidth="1"/>
    <col min="3851" max="3851" width="17.140625" customWidth="1"/>
    <col min="3852" max="3853" width="19" customWidth="1"/>
    <col min="3854" max="3857" width="12.42578125" customWidth="1"/>
    <col min="3858" max="3858" width="17.140625" customWidth="1"/>
    <col min="3859" max="3859" width="22.28515625" customWidth="1"/>
    <col min="3860" max="3860" width="18.7109375" customWidth="1"/>
    <col min="3861" max="3861" width="14" customWidth="1"/>
    <col min="3862" max="3862" width="15.5703125" customWidth="1"/>
    <col min="3863" max="3863" width="11" bestFit="1" customWidth="1"/>
    <col min="3864" max="3864" width="9.85546875" bestFit="1" customWidth="1"/>
    <col min="4082" max="4082" width="39.42578125" customWidth="1"/>
    <col min="4083" max="4098" width="12.42578125" customWidth="1"/>
    <col min="4099" max="4099" width="15.5703125" customWidth="1"/>
    <col min="4100" max="4100" width="11.7109375" customWidth="1"/>
    <col min="4101" max="4101" width="12.42578125" customWidth="1"/>
    <col min="4102" max="4102" width="22" customWidth="1"/>
    <col min="4103" max="4103" width="12.42578125" customWidth="1"/>
    <col min="4104" max="4104" width="12.28515625" customWidth="1"/>
    <col min="4105" max="4106" width="10.42578125" customWidth="1"/>
    <col min="4107" max="4107" width="17.140625" customWidth="1"/>
    <col min="4108" max="4109" width="19" customWidth="1"/>
    <col min="4110" max="4113" width="12.42578125" customWidth="1"/>
    <col min="4114" max="4114" width="17.140625" customWidth="1"/>
    <col min="4115" max="4115" width="22.28515625" customWidth="1"/>
    <col min="4116" max="4116" width="18.7109375" customWidth="1"/>
    <col min="4117" max="4117" width="14" customWidth="1"/>
    <col min="4118" max="4118" width="15.5703125" customWidth="1"/>
    <col min="4119" max="4119" width="11" bestFit="1" customWidth="1"/>
    <col min="4120" max="4120" width="9.85546875" bestFit="1" customWidth="1"/>
    <col min="4338" max="4338" width="39.42578125" customWidth="1"/>
    <col min="4339" max="4354" width="12.42578125" customWidth="1"/>
    <col min="4355" max="4355" width="15.5703125" customWidth="1"/>
    <col min="4356" max="4356" width="11.7109375" customWidth="1"/>
    <col min="4357" max="4357" width="12.42578125" customWidth="1"/>
    <col min="4358" max="4358" width="22" customWidth="1"/>
    <col min="4359" max="4359" width="12.42578125" customWidth="1"/>
    <col min="4360" max="4360" width="12.28515625" customWidth="1"/>
    <col min="4361" max="4362" width="10.42578125" customWidth="1"/>
    <col min="4363" max="4363" width="17.140625" customWidth="1"/>
    <col min="4364" max="4365" width="19" customWidth="1"/>
    <col min="4366" max="4369" width="12.42578125" customWidth="1"/>
    <col min="4370" max="4370" width="17.140625" customWidth="1"/>
    <col min="4371" max="4371" width="22.28515625" customWidth="1"/>
    <col min="4372" max="4372" width="18.7109375" customWidth="1"/>
    <col min="4373" max="4373" width="14" customWidth="1"/>
    <col min="4374" max="4374" width="15.5703125" customWidth="1"/>
    <col min="4375" max="4375" width="11" bestFit="1" customWidth="1"/>
    <col min="4376" max="4376" width="9.85546875" bestFit="1" customWidth="1"/>
    <col min="4594" max="4594" width="39.42578125" customWidth="1"/>
    <col min="4595" max="4610" width="12.42578125" customWidth="1"/>
    <col min="4611" max="4611" width="15.5703125" customWidth="1"/>
    <col min="4612" max="4612" width="11.7109375" customWidth="1"/>
    <col min="4613" max="4613" width="12.42578125" customWidth="1"/>
    <col min="4614" max="4614" width="22" customWidth="1"/>
    <col min="4615" max="4615" width="12.42578125" customWidth="1"/>
    <col min="4616" max="4616" width="12.28515625" customWidth="1"/>
    <col min="4617" max="4618" width="10.42578125" customWidth="1"/>
    <col min="4619" max="4619" width="17.140625" customWidth="1"/>
    <col min="4620" max="4621" width="19" customWidth="1"/>
    <col min="4622" max="4625" width="12.42578125" customWidth="1"/>
    <col min="4626" max="4626" width="17.140625" customWidth="1"/>
    <col min="4627" max="4627" width="22.28515625" customWidth="1"/>
    <col min="4628" max="4628" width="18.7109375" customWidth="1"/>
    <col min="4629" max="4629" width="14" customWidth="1"/>
    <col min="4630" max="4630" width="15.5703125" customWidth="1"/>
    <col min="4631" max="4631" width="11" bestFit="1" customWidth="1"/>
    <col min="4632" max="4632" width="9.85546875" bestFit="1" customWidth="1"/>
    <col min="4850" max="4850" width="39.42578125" customWidth="1"/>
    <col min="4851" max="4866" width="12.42578125" customWidth="1"/>
    <col min="4867" max="4867" width="15.5703125" customWidth="1"/>
    <col min="4868" max="4868" width="11.7109375" customWidth="1"/>
    <col min="4869" max="4869" width="12.42578125" customWidth="1"/>
    <col min="4870" max="4870" width="22" customWidth="1"/>
    <col min="4871" max="4871" width="12.42578125" customWidth="1"/>
    <col min="4872" max="4872" width="12.28515625" customWidth="1"/>
    <col min="4873" max="4874" width="10.42578125" customWidth="1"/>
    <col min="4875" max="4875" width="17.140625" customWidth="1"/>
    <col min="4876" max="4877" width="19" customWidth="1"/>
    <col min="4878" max="4881" width="12.42578125" customWidth="1"/>
    <col min="4882" max="4882" width="17.140625" customWidth="1"/>
    <col min="4883" max="4883" width="22.28515625" customWidth="1"/>
    <col min="4884" max="4884" width="18.7109375" customWidth="1"/>
    <col min="4885" max="4885" width="14" customWidth="1"/>
    <col min="4886" max="4886" width="15.5703125" customWidth="1"/>
    <col min="4887" max="4887" width="11" bestFit="1" customWidth="1"/>
    <col min="4888" max="4888" width="9.85546875" bestFit="1" customWidth="1"/>
    <col min="5106" max="5106" width="39.42578125" customWidth="1"/>
    <col min="5107" max="5122" width="12.42578125" customWidth="1"/>
    <col min="5123" max="5123" width="15.5703125" customWidth="1"/>
    <col min="5124" max="5124" width="11.7109375" customWidth="1"/>
    <col min="5125" max="5125" width="12.42578125" customWidth="1"/>
    <col min="5126" max="5126" width="22" customWidth="1"/>
    <col min="5127" max="5127" width="12.42578125" customWidth="1"/>
    <col min="5128" max="5128" width="12.28515625" customWidth="1"/>
    <col min="5129" max="5130" width="10.42578125" customWidth="1"/>
    <col min="5131" max="5131" width="17.140625" customWidth="1"/>
    <col min="5132" max="5133" width="19" customWidth="1"/>
    <col min="5134" max="5137" width="12.42578125" customWidth="1"/>
    <col min="5138" max="5138" width="17.140625" customWidth="1"/>
    <col min="5139" max="5139" width="22.28515625" customWidth="1"/>
    <col min="5140" max="5140" width="18.7109375" customWidth="1"/>
    <col min="5141" max="5141" width="14" customWidth="1"/>
    <col min="5142" max="5142" width="15.5703125" customWidth="1"/>
    <col min="5143" max="5143" width="11" bestFit="1" customWidth="1"/>
    <col min="5144" max="5144" width="9.85546875" bestFit="1" customWidth="1"/>
    <col min="5362" max="5362" width="39.42578125" customWidth="1"/>
    <col min="5363" max="5378" width="12.42578125" customWidth="1"/>
    <col min="5379" max="5379" width="15.5703125" customWidth="1"/>
    <col min="5380" max="5380" width="11.7109375" customWidth="1"/>
    <col min="5381" max="5381" width="12.42578125" customWidth="1"/>
    <col min="5382" max="5382" width="22" customWidth="1"/>
    <col min="5383" max="5383" width="12.42578125" customWidth="1"/>
    <col min="5384" max="5384" width="12.28515625" customWidth="1"/>
    <col min="5385" max="5386" width="10.42578125" customWidth="1"/>
    <col min="5387" max="5387" width="17.140625" customWidth="1"/>
    <col min="5388" max="5389" width="19" customWidth="1"/>
    <col min="5390" max="5393" width="12.42578125" customWidth="1"/>
    <col min="5394" max="5394" width="17.140625" customWidth="1"/>
    <col min="5395" max="5395" width="22.28515625" customWidth="1"/>
    <col min="5396" max="5396" width="18.7109375" customWidth="1"/>
    <col min="5397" max="5397" width="14" customWidth="1"/>
    <col min="5398" max="5398" width="15.5703125" customWidth="1"/>
    <col min="5399" max="5399" width="11" bestFit="1" customWidth="1"/>
    <col min="5400" max="5400" width="9.85546875" bestFit="1" customWidth="1"/>
    <col min="5618" max="5618" width="39.42578125" customWidth="1"/>
    <col min="5619" max="5634" width="12.42578125" customWidth="1"/>
    <col min="5635" max="5635" width="15.5703125" customWidth="1"/>
    <col min="5636" max="5636" width="11.7109375" customWidth="1"/>
    <col min="5637" max="5637" width="12.42578125" customWidth="1"/>
    <col min="5638" max="5638" width="22" customWidth="1"/>
    <col min="5639" max="5639" width="12.42578125" customWidth="1"/>
    <col min="5640" max="5640" width="12.28515625" customWidth="1"/>
    <col min="5641" max="5642" width="10.42578125" customWidth="1"/>
    <col min="5643" max="5643" width="17.140625" customWidth="1"/>
    <col min="5644" max="5645" width="19" customWidth="1"/>
    <col min="5646" max="5649" width="12.42578125" customWidth="1"/>
    <col min="5650" max="5650" width="17.140625" customWidth="1"/>
    <col min="5651" max="5651" width="22.28515625" customWidth="1"/>
    <col min="5652" max="5652" width="18.7109375" customWidth="1"/>
    <col min="5653" max="5653" width="14" customWidth="1"/>
    <col min="5654" max="5654" width="15.5703125" customWidth="1"/>
    <col min="5655" max="5655" width="11" bestFit="1" customWidth="1"/>
    <col min="5656" max="5656" width="9.85546875" bestFit="1" customWidth="1"/>
    <col min="5874" max="5874" width="39.42578125" customWidth="1"/>
    <col min="5875" max="5890" width="12.42578125" customWidth="1"/>
    <col min="5891" max="5891" width="15.5703125" customWidth="1"/>
    <col min="5892" max="5892" width="11.7109375" customWidth="1"/>
    <col min="5893" max="5893" width="12.42578125" customWidth="1"/>
    <col min="5894" max="5894" width="22" customWidth="1"/>
    <col min="5895" max="5895" width="12.42578125" customWidth="1"/>
    <col min="5896" max="5896" width="12.28515625" customWidth="1"/>
    <col min="5897" max="5898" width="10.42578125" customWidth="1"/>
    <col min="5899" max="5899" width="17.140625" customWidth="1"/>
    <col min="5900" max="5901" width="19" customWidth="1"/>
    <col min="5902" max="5905" width="12.42578125" customWidth="1"/>
    <col min="5906" max="5906" width="17.140625" customWidth="1"/>
    <col min="5907" max="5907" width="22.28515625" customWidth="1"/>
    <col min="5908" max="5908" width="18.7109375" customWidth="1"/>
    <col min="5909" max="5909" width="14" customWidth="1"/>
    <col min="5910" max="5910" width="15.5703125" customWidth="1"/>
    <col min="5911" max="5911" width="11" bestFit="1" customWidth="1"/>
    <col min="5912" max="5912" width="9.85546875" bestFit="1" customWidth="1"/>
    <col min="6130" max="6130" width="39.42578125" customWidth="1"/>
    <col min="6131" max="6146" width="12.42578125" customWidth="1"/>
    <col min="6147" max="6147" width="15.5703125" customWidth="1"/>
    <col min="6148" max="6148" width="11.7109375" customWidth="1"/>
    <col min="6149" max="6149" width="12.42578125" customWidth="1"/>
    <col min="6150" max="6150" width="22" customWidth="1"/>
    <col min="6151" max="6151" width="12.42578125" customWidth="1"/>
    <col min="6152" max="6152" width="12.28515625" customWidth="1"/>
    <col min="6153" max="6154" width="10.42578125" customWidth="1"/>
    <col min="6155" max="6155" width="17.140625" customWidth="1"/>
    <col min="6156" max="6157" width="19" customWidth="1"/>
    <col min="6158" max="6161" width="12.42578125" customWidth="1"/>
    <col min="6162" max="6162" width="17.140625" customWidth="1"/>
    <col min="6163" max="6163" width="22.28515625" customWidth="1"/>
    <col min="6164" max="6164" width="18.7109375" customWidth="1"/>
    <col min="6165" max="6165" width="14" customWidth="1"/>
    <col min="6166" max="6166" width="15.5703125" customWidth="1"/>
    <col min="6167" max="6167" width="11" bestFit="1" customWidth="1"/>
    <col min="6168" max="6168" width="9.85546875" bestFit="1" customWidth="1"/>
    <col min="6386" max="6386" width="39.42578125" customWidth="1"/>
    <col min="6387" max="6402" width="12.42578125" customWidth="1"/>
    <col min="6403" max="6403" width="15.5703125" customWidth="1"/>
    <col min="6404" max="6404" width="11.7109375" customWidth="1"/>
    <col min="6405" max="6405" width="12.42578125" customWidth="1"/>
    <col min="6406" max="6406" width="22" customWidth="1"/>
    <col min="6407" max="6407" width="12.42578125" customWidth="1"/>
    <col min="6408" max="6408" width="12.28515625" customWidth="1"/>
    <col min="6409" max="6410" width="10.42578125" customWidth="1"/>
    <col min="6411" max="6411" width="17.140625" customWidth="1"/>
    <col min="6412" max="6413" width="19" customWidth="1"/>
    <col min="6414" max="6417" width="12.42578125" customWidth="1"/>
    <col min="6418" max="6418" width="17.140625" customWidth="1"/>
    <col min="6419" max="6419" width="22.28515625" customWidth="1"/>
    <col min="6420" max="6420" width="18.7109375" customWidth="1"/>
    <col min="6421" max="6421" width="14" customWidth="1"/>
    <col min="6422" max="6422" width="15.5703125" customWidth="1"/>
    <col min="6423" max="6423" width="11" bestFit="1" customWidth="1"/>
    <col min="6424" max="6424" width="9.85546875" bestFit="1" customWidth="1"/>
    <col min="6642" max="6642" width="39.42578125" customWidth="1"/>
    <col min="6643" max="6658" width="12.42578125" customWidth="1"/>
    <col min="6659" max="6659" width="15.5703125" customWidth="1"/>
    <col min="6660" max="6660" width="11.7109375" customWidth="1"/>
    <col min="6661" max="6661" width="12.42578125" customWidth="1"/>
    <col min="6662" max="6662" width="22" customWidth="1"/>
    <col min="6663" max="6663" width="12.42578125" customWidth="1"/>
    <col min="6664" max="6664" width="12.28515625" customWidth="1"/>
    <col min="6665" max="6666" width="10.42578125" customWidth="1"/>
    <col min="6667" max="6667" width="17.140625" customWidth="1"/>
    <col min="6668" max="6669" width="19" customWidth="1"/>
    <col min="6670" max="6673" width="12.42578125" customWidth="1"/>
    <col min="6674" max="6674" width="17.140625" customWidth="1"/>
    <col min="6675" max="6675" width="22.28515625" customWidth="1"/>
    <col min="6676" max="6676" width="18.7109375" customWidth="1"/>
    <col min="6677" max="6677" width="14" customWidth="1"/>
    <col min="6678" max="6678" width="15.5703125" customWidth="1"/>
    <col min="6679" max="6679" width="11" bestFit="1" customWidth="1"/>
    <col min="6680" max="6680" width="9.85546875" bestFit="1" customWidth="1"/>
    <col min="6898" max="6898" width="39.42578125" customWidth="1"/>
    <col min="6899" max="6914" width="12.42578125" customWidth="1"/>
    <col min="6915" max="6915" width="15.5703125" customWidth="1"/>
    <col min="6916" max="6916" width="11.7109375" customWidth="1"/>
    <col min="6917" max="6917" width="12.42578125" customWidth="1"/>
    <col min="6918" max="6918" width="22" customWidth="1"/>
    <col min="6919" max="6919" width="12.42578125" customWidth="1"/>
    <col min="6920" max="6920" width="12.28515625" customWidth="1"/>
    <col min="6921" max="6922" width="10.42578125" customWidth="1"/>
    <col min="6923" max="6923" width="17.140625" customWidth="1"/>
    <col min="6924" max="6925" width="19" customWidth="1"/>
    <col min="6926" max="6929" width="12.42578125" customWidth="1"/>
    <col min="6930" max="6930" width="17.140625" customWidth="1"/>
    <col min="6931" max="6931" width="22.28515625" customWidth="1"/>
    <col min="6932" max="6932" width="18.7109375" customWidth="1"/>
    <col min="6933" max="6933" width="14" customWidth="1"/>
    <col min="6934" max="6934" width="15.5703125" customWidth="1"/>
    <col min="6935" max="6935" width="11" bestFit="1" customWidth="1"/>
    <col min="6936" max="6936" width="9.85546875" bestFit="1" customWidth="1"/>
    <col min="7154" max="7154" width="39.42578125" customWidth="1"/>
    <col min="7155" max="7170" width="12.42578125" customWidth="1"/>
    <col min="7171" max="7171" width="15.5703125" customWidth="1"/>
    <col min="7172" max="7172" width="11.7109375" customWidth="1"/>
    <col min="7173" max="7173" width="12.42578125" customWidth="1"/>
    <col min="7174" max="7174" width="22" customWidth="1"/>
    <col min="7175" max="7175" width="12.42578125" customWidth="1"/>
    <col min="7176" max="7176" width="12.28515625" customWidth="1"/>
    <col min="7177" max="7178" width="10.42578125" customWidth="1"/>
    <col min="7179" max="7179" width="17.140625" customWidth="1"/>
    <col min="7180" max="7181" width="19" customWidth="1"/>
    <col min="7182" max="7185" width="12.42578125" customWidth="1"/>
    <col min="7186" max="7186" width="17.140625" customWidth="1"/>
    <col min="7187" max="7187" width="22.28515625" customWidth="1"/>
    <col min="7188" max="7188" width="18.7109375" customWidth="1"/>
    <col min="7189" max="7189" width="14" customWidth="1"/>
    <col min="7190" max="7190" width="15.5703125" customWidth="1"/>
    <col min="7191" max="7191" width="11" bestFit="1" customWidth="1"/>
    <col min="7192" max="7192" width="9.85546875" bestFit="1" customWidth="1"/>
    <col min="7410" max="7410" width="39.42578125" customWidth="1"/>
    <col min="7411" max="7426" width="12.42578125" customWidth="1"/>
    <col min="7427" max="7427" width="15.5703125" customWidth="1"/>
    <col min="7428" max="7428" width="11.7109375" customWidth="1"/>
    <col min="7429" max="7429" width="12.42578125" customWidth="1"/>
    <col min="7430" max="7430" width="22" customWidth="1"/>
    <col min="7431" max="7431" width="12.42578125" customWidth="1"/>
    <col min="7432" max="7432" width="12.28515625" customWidth="1"/>
    <col min="7433" max="7434" width="10.42578125" customWidth="1"/>
    <col min="7435" max="7435" width="17.140625" customWidth="1"/>
    <col min="7436" max="7437" width="19" customWidth="1"/>
    <col min="7438" max="7441" width="12.42578125" customWidth="1"/>
    <col min="7442" max="7442" width="17.140625" customWidth="1"/>
    <col min="7443" max="7443" width="22.28515625" customWidth="1"/>
    <col min="7444" max="7444" width="18.7109375" customWidth="1"/>
    <col min="7445" max="7445" width="14" customWidth="1"/>
    <col min="7446" max="7446" width="15.5703125" customWidth="1"/>
    <col min="7447" max="7447" width="11" bestFit="1" customWidth="1"/>
    <col min="7448" max="7448" width="9.85546875" bestFit="1" customWidth="1"/>
    <col min="7666" max="7666" width="39.42578125" customWidth="1"/>
    <col min="7667" max="7682" width="12.42578125" customWidth="1"/>
    <col min="7683" max="7683" width="15.5703125" customWidth="1"/>
    <col min="7684" max="7684" width="11.7109375" customWidth="1"/>
    <col min="7685" max="7685" width="12.42578125" customWidth="1"/>
    <col min="7686" max="7686" width="22" customWidth="1"/>
    <col min="7687" max="7687" width="12.42578125" customWidth="1"/>
    <col min="7688" max="7688" width="12.28515625" customWidth="1"/>
    <col min="7689" max="7690" width="10.42578125" customWidth="1"/>
    <col min="7691" max="7691" width="17.140625" customWidth="1"/>
    <col min="7692" max="7693" width="19" customWidth="1"/>
    <col min="7694" max="7697" width="12.42578125" customWidth="1"/>
    <col min="7698" max="7698" width="17.140625" customWidth="1"/>
    <col min="7699" max="7699" width="22.28515625" customWidth="1"/>
    <col min="7700" max="7700" width="18.7109375" customWidth="1"/>
    <col min="7701" max="7701" width="14" customWidth="1"/>
    <col min="7702" max="7702" width="15.5703125" customWidth="1"/>
    <col min="7703" max="7703" width="11" bestFit="1" customWidth="1"/>
    <col min="7704" max="7704" width="9.85546875" bestFit="1" customWidth="1"/>
    <col min="7922" max="7922" width="39.42578125" customWidth="1"/>
    <col min="7923" max="7938" width="12.42578125" customWidth="1"/>
    <col min="7939" max="7939" width="15.5703125" customWidth="1"/>
    <col min="7940" max="7940" width="11.7109375" customWidth="1"/>
    <col min="7941" max="7941" width="12.42578125" customWidth="1"/>
    <col min="7942" max="7942" width="22" customWidth="1"/>
    <col min="7943" max="7943" width="12.42578125" customWidth="1"/>
    <col min="7944" max="7944" width="12.28515625" customWidth="1"/>
    <col min="7945" max="7946" width="10.42578125" customWidth="1"/>
    <col min="7947" max="7947" width="17.140625" customWidth="1"/>
    <col min="7948" max="7949" width="19" customWidth="1"/>
    <col min="7950" max="7953" width="12.42578125" customWidth="1"/>
    <col min="7954" max="7954" width="17.140625" customWidth="1"/>
    <col min="7955" max="7955" width="22.28515625" customWidth="1"/>
    <col min="7956" max="7956" width="18.7109375" customWidth="1"/>
    <col min="7957" max="7957" width="14" customWidth="1"/>
    <col min="7958" max="7958" width="15.5703125" customWidth="1"/>
    <col min="7959" max="7959" width="11" bestFit="1" customWidth="1"/>
    <col min="7960" max="7960" width="9.85546875" bestFit="1" customWidth="1"/>
    <col min="8178" max="8178" width="39.42578125" customWidth="1"/>
    <col min="8179" max="8194" width="12.42578125" customWidth="1"/>
    <col min="8195" max="8195" width="15.5703125" customWidth="1"/>
    <col min="8196" max="8196" width="11.7109375" customWidth="1"/>
    <col min="8197" max="8197" width="12.42578125" customWidth="1"/>
    <col min="8198" max="8198" width="22" customWidth="1"/>
    <col min="8199" max="8199" width="12.42578125" customWidth="1"/>
    <col min="8200" max="8200" width="12.28515625" customWidth="1"/>
    <col min="8201" max="8202" width="10.42578125" customWidth="1"/>
    <col min="8203" max="8203" width="17.140625" customWidth="1"/>
    <col min="8204" max="8205" width="19" customWidth="1"/>
    <col min="8206" max="8209" width="12.42578125" customWidth="1"/>
    <col min="8210" max="8210" width="17.140625" customWidth="1"/>
    <col min="8211" max="8211" width="22.28515625" customWidth="1"/>
    <col min="8212" max="8212" width="18.7109375" customWidth="1"/>
    <col min="8213" max="8213" width="14" customWidth="1"/>
    <col min="8214" max="8214" width="15.5703125" customWidth="1"/>
    <col min="8215" max="8215" width="11" bestFit="1" customWidth="1"/>
    <col min="8216" max="8216" width="9.85546875" bestFit="1" customWidth="1"/>
    <col min="8434" max="8434" width="39.42578125" customWidth="1"/>
    <col min="8435" max="8450" width="12.42578125" customWidth="1"/>
    <col min="8451" max="8451" width="15.5703125" customWidth="1"/>
    <col min="8452" max="8452" width="11.7109375" customWidth="1"/>
    <col min="8453" max="8453" width="12.42578125" customWidth="1"/>
    <col min="8454" max="8454" width="22" customWidth="1"/>
    <col min="8455" max="8455" width="12.42578125" customWidth="1"/>
    <col min="8456" max="8456" width="12.28515625" customWidth="1"/>
    <col min="8457" max="8458" width="10.42578125" customWidth="1"/>
    <col min="8459" max="8459" width="17.140625" customWidth="1"/>
    <col min="8460" max="8461" width="19" customWidth="1"/>
    <col min="8462" max="8465" width="12.42578125" customWidth="1"/>
    <col min="8466" max="8466" width="17.140625" customWidth="1"/>
    <col min="8467" max="8467" width="22.28515625" customWidth="1"/>
    <col min="8468" max="8468" width="18.7109375" customWidth="1"/>
    <col min="8469" max="8469" width="14" customWidth="1"/>
    <col min="8470" max="8470" width="15.5703125" customWidth="1"/>
    <col min="8471" max="8471" width="11" bestFit="1" customWidth="1"/>
    <col min="8472" max="8472" width="9.85546875" bestFit="1" customWidth="1"/>
    <col min="8690" max="8690" width="39.42578125" customWidth="1"/>
    <col min="8691" max="8706" width="12.42578125" customWidth="1"/>
    <col min="8707" max="8707" width="15.5703125" customWidth="1"/>
    <col min="8708" max="8708" width="11.7109375" customWidth="1"/>
    <col min="8709" max="8709" width="12.42578125" customWidth="1"/>
    <col min="8710" max="8710" width="22" customWidth="1"/>
    <col min="8711" max="8711" width="12.42578125" customWidth="1"/>
    <col min="8712" max="8712" width="12.28515625" customWidth="1"/>
    <col min="8713" max="8714" width="10.42578125" customWidth="1"/>
    <col min="8715" max="8715" width="17.140625" customWidth="1"/>
    <col min="8716" max="8717" width="19" customWidth="1"/>
    <col min="8718" max="8721" width="12.42578125" customWidth="1"/>
    <col min="8722" max="8722" width="17.140625" customWidth="1"/>
    <col min="8723" max="8723" width="22.28515625" customWidth="1"/>
    <col min="8724" max="8724" width="18.7109375" customWidth="1"/>
    <col min="8725" max="8725" width="14" customWidth="1"/>
    <col min="8726" max="8726" width="15.5703125" customWidth="1"/>
    <col min="8727" max="8727" width="11" bestFit="1" customWidth="1"/>
    <col min="8728" max="8728" width="9.85546875" bestFit="1" customWidth="1"/>
    <col min="8946" max="8946" width="39.42578125" customWidth="1"/>
    <col min="8947" max="8962" width="12.42578125" customWidth="1"/>
    <col min="8963" max="8963" width="15.5703125" customWidth="1"/>
    <col min="8964" max="8964" width="11.7109375" customWidth="1"/>
    <col min="8965" max="8965" width="12.42578125" customWidth="1"/>
    <col min="8966" max="8966" width="22" customWidth="1"/>
    <col min="8967" max="8967" width="12.42578125" customWidth="1"/>
    <col min="8968" max="8968" width="12.28515625" customWidth="1"/>
    <col min="8969" max="8970" width="10.42578125" customWidth="1"/>
    <col min="8971" max="8971" width="17.140625" customWidth="1"/>
    <col min="8972" max="8973" width="19" customWidth="1"/>
    <col min="8974" max="8977" width="12.42578125" customWidth="1"/>
    <col min="8978" max="8978" width="17.140625" customWidth="1"/>
    <col min="8979" max="8979" width="22.28515625" customWidth="1"/>
    <col min="8980" max="8980" width="18.7109375" customWidth="1"/>
    <col min="8981" max="8981" width="14" customWidth="1"/>
    <col min="8982" max="8982" width="15.5703125" customWidth="1"/>
    <col min="8983" max="8983" width="11" bestFit="1" customWidth="1"/>
    <col min="8984" max="8984" width="9.85546875" bestFit="1" customWidth="1"/>
    <col min="9202" max="9202" width="39.42578125" customWidth="1"/>
    <col min="9203" max="9218" width="12.42578125" customWidth="1"/>
    <col min="9219" max="9219" width="15.5703125" customWidth="1"/>
    <col min="9220" max="9220" width="11.7109375" customWidth="1"/>
    <col min="9221" max="9221" width="12.42578125" customWidth="1"/>
    <col min="9222" max="9222" width="22" customWidth="1"/>
    <col min="9223" max="9223" width="12.42578125" customWidth="1"/>
    <col min="9224" max="9224" width="12.28515625" customWidth="1"/>
    <col min="9225" max="9226" width="10.42578125" customWidth="1"/>
    <col min="9227" max="9227" width="17.140625" customWidth="1"/>
    <col min="9228" max="9229" width="19" customWidth="1"/>
    <col min="9230" max="9233" width="12.42578125" customWidth="1"/>
    <col min="9234" max="9234" width="17.140625" customWidth="1"/>
    <col min="9235" max="9235" width="22.28515625" customWidth="1"/>
    <col min="9236" max="9236" width="18.7109375" customWidth="1"/>
    <col min="9237" max="9237" width="14" customWidth="1"/>
    <col min="9238" max="9238" width="15.5703125" customWidth="1"/>
    <col min="9239" max="9239" width="11" bestFit="1" customWidth="1"/>
    <col min="9240" max="9240" width="9.85546875" bestFit="1" customWidth="1"/>
    <col min="9458" max="9458" width="39.42578125" customWidth="1"/>
    <col min="9459" max="9474" width="12.42578125" customWidth="1"/>
    <col min="9475" max="9475" width="15.5703125" customWidth="1"/>
    <col min="9476" max="9476" width="11.7109375" customWidth="1"/>
    <col min="9477" max="9477" width="12.42578125" customWidth="1"/>
    <col min="9478" max="9478" width="22" customWidth="1"/>
    <col min="9479" max="9479" width="12.42578125" customWidth="1"/>
    <col min="9480" max="9480" width="12.28515625" customWidth="1"/>
    <col min="9481" max="9482" width="10.42578125" customWidth="1"/>
    <col min="9483" max="9483" width="17.140625" customWidth="1"/>
    <col min="9484" max="9485" width="19" customWidth="1"/>
    <col min="9486" max="9489" width="12.42578125" customWidth="1"/>
    <col min="9490" max="9490" width="17.140625" customWidth="1"/>
    <col min="9491" max="9491" width="22.28515625" customWidth="1"/>
    <col min="9492" max="9492" width="18.7109375" customWidth="1"/>
    <col min="9493" max="9493" width="14" customWidth="1"/>
    <col min="9494" max="9494" width="15.5703125" customWidth="1"/>
    <col min="9495" max="9495" width="11" bestFit="1" customWidth="1"/>
    <col min="9496" max="9496" width="9.85546875" bestFit="1" customWidth="1"/>
    <col min="9714" max="9714" width="39.42578125" customWidth="1"/>
    <col min="9715" max="9730" width="12.42578125" customWidth="1"/>
    <col min="9731" max="9731" width="15.5703125" customWidth="1"/>
    <col min="9732" max="9732" width="11.7109375" customWidth="1"/>
    <col min="9733" max="9733" width="12.42578125" customWidth="1"/>
    <col min="9734" max="9734" width="22" customWidth="1"/>
    <col min="9735" max="9735" width="12.42578125" customWidth="1"/>
    <col min="9736" max="9736" width="12.28515625" customWidth="1"/>
    <col min="9737" max="9738" width="10.42578125" customWidth="1"/>
    <col min="9739" max="9739" width="17.140625" customWidth="1"/>
    <col min="9740" max="9741" width="19" customWidth="1"/>
    <col min="9742" max="9745" width="12.42578125" customWidth="1"/>
    <col min="9746" max="9746" width="17.140625" customWidth="1"/>
    <col min="9747" max="9747" width="22.28515625" customWidth="1"/>
    <col min="9748" max="9748" width="18.7109375" customWidth="1"/>
    <col min="9749" max="9749" width="14" customWidth="1"/>
    <col min="9750" max="9750" width="15.5703125" customWidth="1"/>
    <col min="9751" max="9751" width="11" bestFit="1" customWidth="1"/>
    <col min="9752" max="9752" width="9.85546875" bestFit="1" customWidth="1"/>
    <col min="9970" max="9970" width="39.42578125" customWidth="1"/>
    <col min="9971" max="9986" width="12.42578125" customWidth="1"/>
    <col min="9987" max="9987" width="15.5703125" customWidth="1"/>
    <col min="9988" max="9988" width="11.7109375" customWidth="1"/>
    <col min="9989" max="9989" width="12.42578125" customWidth="1"/>
    <col min="9990" max="9990" width="22" customWidth="1"/>
    <col min="9991" max="9991" width="12.42578125" customWidth="1"/>
    <col min="9992" max="9992" width="12.28515625" customWidth="1"/>
    <col min="9993" max="9994" width="10.42578125" customWidth="1"/>
    <col min="9995" max="9995" width="17.140625" customWidth="1"/>
    <col min="9996" max="9997" width="19" customWidth="1"/>
    <col min="9998" max="10001" width="12.42578125" customWidth="1"/>
    <col min="10002" max="10002" width="17.140625" customWidth="1"/>
    <col min="10003" max="10003" width="22.28515625" customWidth="1"/>
    <col min="10004" max="10004" width="18.7109375" customWidth="1"/>
    <col min="10005" max="10005" width="14" customWidth="1"/>
    <col min="10006" max="10006" width="15.5703125" customWidth="1"/>
    <col min="10007" max="10007" width="11" bestFit="1" customWidth="1"/>
    <col min="10008" max="10008" width="9.85546875" bestFit="1" customWidth="1"/>
    <col min="10226" max="10226" width="39.42578125" customWidth="1"/>
    <col min="10227" max="10242" width="12.42578125" customWidth="1"/>
    <col min="10243" max="10243" width="15.5703125" customWidth="1"/>
    <col min="10244" max="10244" width="11.7109375" customWidth="1"/>
    <col min="10245" max="10245" width="12.42578125" customWidth="1"/>
    <col min="10246" max="10246" width="22" customWidth="1"/>
    <col min="10247" max="10247" width="12.42578125" customWidth="1"/>
    <col min="10248" max="10248" width="12.28515625" customWidth="1"/>
    <col min="10249" max="10250" width="10.42578125" customWidth="1"/>
    <col min="10251" max="10251" width="17.140625" customWidth="1"/>
    <col min="10252" max="10253" width="19" customWidth="1"/>
    <col min="10254" max="10257" width="12.42578125" customWidth="1"/>
    <col min="10258" max="10258" width="17.140625" customWidth="1"/>
    <col min="10259" max="10259" width="22.28515625" customWidth="1"/>
    <col min="10260" max="10260" width="18.7109375" customWidth="1"/>
    <col min="10261" max="10261" width="14" customWidth="1"/>
    <col min="10262" max="10262" width="15.5703125" customWidth="1"/>
    <col min="10263" max="10263" width="11" bestFit="1" customWidth="1"/>
    <col min="10264" max="10264" width="9.85546875" bestFit="1" customWidth="1"/>
    <col min="10482" max="10482" width="39.42578125" customWidth="1"/>
    <col min="10483" max="10498" width="12.42578125" customWidth="1"/>
    <col min="10499" max="10499" width="15.5703125" customWidth="1"/>
    <col min="10500" max="10500" width="11.7109375" customWidth="1"/>
    <col min="10501" max="10501" width="12.42578125" customWidth="1"/>
    <col min="10502" max="10502" width="22" customWidth="1"/>
    <col min="10503" max="10503" width="12.42578125" customWidth="1"/>
    <col min="10504" max="10504" width="12.28515625" customWidth="1"/>
    <col min="10505" max="10506" width="10.42578125" customWidth="1"/>
    <col min="10507" max="10507" width="17.140625" customWidth="1"/>
    <col min="10508" max="10509" width="19" customWidth="1"/>
    <col min="10510" max="10513" width="12.42578125" customWidth="1"/>
    <col min="10514" max="10514" width="17.140625" customWidth="1"/>
    <col min="10515" max="10515" width="22.28515625" customWidth="1"/>
    <col min="10516" max="10516" width="18.7109375" customWidth="1"/>
    <col min="10517" max="10517" width="14" customWidth="1"/>
    <col min="10518" max="10518" width="15.5703125" customWidth="1"/>
    <col min="10519" max="10519" width="11" bestFit="1" customWidth="1"/>
    <col min="10520" max="10520" width="9.85546875" bestFit="1" customWidth="1"/>
    <col min="10738" max="10738" width="39.42578125" customWidth="1"/>
    <col min="10739" max="10754" width="12.42578125" customWidth="1"/>
    <col min="10755" max="10755" width="15.5703125" customWidth="1"/>
    <col min="10756" max="10756" width="11.7109375" customWidth="1"/>
    <col min="10757" max="10757" width="12.42578125" customWidth="1"/>
    <col min="10758" max="10758" width="22" customWidth="1"/>
    <col min="10759" max="10759" width="12.42578125" customWidth="1"/>
    <col min="10760" max="10760" width="12.28515625" customWidth="1"/>
    <col min="10761" max="10762" width="10.42578125" customWidth="1"/>
    <col min="10763" max="10763" width="17.140625" customWidth="1"/>
    <col min="10764" max="10765" width="19" customWidth="1"/>
    <col min="10766" max="10769" width="12.42578125" customWidth="1"/>
    <col min="10770" max="10770" width="17.140625" customWidth="1"/>
    <col min="10771" max="10771" width="22.28515625" customWidth="1"/>
    <col min="10772" max="10772" width="18.7109375" customWidth="1"/>
    <col min="10773" max="10773" width="14" customWidth="1"/>
    <col min="10774" max="10774" width="15.5703125" customWidth="1"/>
    <col min="10775" max="10775" width="11" bestFit="1" customWidth="1"/>
    <col min="10776" max="10776" width="9.85546875" bestFit="1" customWidth="1"/>
    <col min="10994" max="10994" width="39.42578125" customWidth="1"/>
    <col min="10995" max="11010" width="12.42578125" customWidth="1"/>
    <col min="11011" max="11011" width="15.5703125" customWidth="1"/>
    <col min="11012" max="11012" width="11.7109375" customWidth="1"/>
    <col min="11013" max="11013" width="12.42578125" customWidth="1"/>
    <col min="11014" max="11014" width="22" customWidth="1"/>
    <col min="11015" max="11015" width="12.42578125" customWidth="1"/>
    <col min="11016" max="11016" width="12.28515625" customWidth="1"/>
    <col min="11017" max="11018" width="10.42578125" customWidth="1"/>
    <col min="11019" max="11019" width="17.140625" customWidth="1"/>
    <col min="11020" max="11021" width="19" customWidth="1"/>
    <col min="11022" max="11025" width="12.42578125" customWidth="1"/>
    <col min="11026" max="11026" width="17.140625" customWidth="1"/>
    <col min="11027" max="11027" width="22.28515625" customWidth="1"/>
    <col min="11028" max="11028" width="18.7109375" customWidth="1"/>
    <col min="11029" max="11029" width="14" customWidth="1"/>
    <col min="11030" max="11030" width="15.5703125" customWidth="1"/>
    <col min="11031" max="11031" width="11" bestFit="1" customWidth="1"/>
    <col min="11032" max="11032" width="9.85546875" bestFit="1" customWidth="1"/>
    <col min="11250" max="11250" width="39.42578125" customWidth="1"/>
    <col min="11251" max="11266" width="12.42578125" customWidth="1"/>
    <col min="11267" max="11267" width="15.5703125" customWidth="1"/>
    <col min="11268" max="11268" width="11.7109375" customWidth="1"/>
    <col min="11269" max="11269" width="12.42578125" customWidth="1"/>
    <col min="11270" max="11270" width="22" customWidth="1"/>
    <col min="11271" max="11271" width="12.42578125" customWidth="1"/>
    <col min="11272" max="11272" width="12.28515625" customWidth="1"/>
    <col min="11273" max="11274" width="10.42578125" customWidth="1"/>
    <col min="11275" max="11275" width="17.140625" customWidth="1"/>
    <col min="11276" max="11277" width="19" customWidth="1"/>
    <col min="11278" max="11281" width="12.42578125" customWidth="1"/>
    <col min="11282" max="11282" width="17.140625" customWidth="1"/>
    <col min="11283" max="11283" width="22.28515625" customWidth="1"/>
    <col min="11284" max="11284" width="18.7109375" customWidth="1"/>
    <col min="11285" max="11285" width="14" customWidth="1"/>
    <col min="11286" max="11286" width="15.5703125" customWidth="1"/>
    <col min="11287" max="11287" width="11" bestFit="1" customWidth="1"/>
    <col min="11288" max="11288" width="9.85546875" bestFit="1" customWidth="1"/>
    <col min="11506" max="11506" width="39.42578125" customWidth="1"/>
    <col min="11507" max="11522" width="12.42578125" customWidth="1"/>
    <col min="11523" max="11523" width="15.5703125" customWidth="1"/>
    <col min="11524" max="11524" width="11.7109375" customWidth="1"/>
    <col min="11525" max="11525" width="12.42578125" customWidth="1"/>
    <col min="11526" max="11526" width="22" customWidth="1"/>
    <col min="11527" max="11527" width="12.42578125" customWidth="1"/>
    <col min="11528" max="11528" width="12.28515625" customWidth="1"/>
    <col min="11529" max="11530" width="10.42578125" customWidth="1"/>
    <col min="11531" max="11531" width="17.140625" customWidth="1"/>
    <col min="11532" max="11533" width="19" customWidth="1"/>
    <col min="11534" max="11537" width="12.42578125" customWidth="1"/>
    <col min="11538" max="11538" width="17.140625" customWidth="1"/>
    <col min="11539" max="11539" width="22.28515625" customWidth="1"/>
    <col min="11540" max="11540" width="18.7109375" customWidth="1"/>
    <col min="11541" max="11541" width="14" customWidth="1"/>
    <col min="11542" max="11542" width="15.5703125" customWidth="1"/>
    <col min="11543" max="11543" width="11" bestFit="1" customWidth="1"/>
    <col min="11544" max="11544" width="9.85546875" bestFit="1" customWidth="1"/>
    <col min="11762" max="11762" width="39.42578125" customWidth="1"/>
    <col min="11763" max="11778" width="12.42578125" customWidth="1"/>
    <col min="11779" max="11779" width="15.5703125" customWidth="1"/>
    <col min="11780" max="11780" width="11.7109375" customWidth="1"/>
    <col min="11781" max="11781" width="12.42578125" customWidth="1"/>
    <col min="11782" max="11782" width="22" customWidth="1"/>
    <col min="11783" max="11783" width="12.42578125" customWidth="1"/>
    <col min="11784" max="11784" width="12.28515625" customWidth="1"/>
    <col min="11785" max="11786" width="10.42578125" customWidth="1"/>
    <col min="11787" max="11787" width="17.140625" customWidth="1"/>
    <col min="11788" max="11789" width="19" customWidth="1"/>
    <col min="11790" max="11793" width="12.42578125" customWidth="1"/>
    <col min="11794" max="11794" width="17.140625" customWidth="1"/>
    <col min="11795" max="11795" width="22.28515625" customWidth="1"/>
    <col min="11796" max="11796" width="18.7109375" customWidth="1"/>
    <col min="11797" max="11797" width="14" customWidth="1"/>
    <col min="11798" max="11798" width="15.5703125" customWidth="1"/>
    <col min="11799" max="11799" width="11" bestFit="1" customWidth="1"/>
    <col min="11800" max="11800" width="9.85546875" bestFit="1" customWidth="1"/>
    <col min="12018" max="12018" width="39.42578125" customWidth="1"/>
    <col min="12019" max="12034" width="12.42578125" customWidth="1"/>
    <col min="12035" max="12035" width="15.5703125" customWidth="1"/>
    <col min="12036" max="12036" width="11.7109375" customWidth="1"/>
    <col min="12037" max="12037" width="12.42578125" customWidth="1"/>
    <col min="12038" max="12038" width="22" customWidth="1"/>
    <col min="12039" max="12039" width="12.42578125" customWidth="1"/>
    <col min="12040" max="12040" width="12.28515625" customWidth="1"/>
    <col min="12041" max="12042" width="10.42578125" customWidth="1"/>
    <col min="12043" max="12043" width="17.140625" customWidth="1"/>
    <col min="12044" max="12045" width="19" customWidth="1"/>
    <col min="12046" max="12049" width="12.42578125" customWidth="1"/>
    <col min="12050" max="12050" width="17.140625" customWidth="1"/>
    <col min="12051" max="12051" width="22.28515625" customWidth="1"/>
    <col min="12052" max="12052" width="18.7109375" customWidth="1"/>
    <col min="12053" max="12053" width="14" customWidth="1"/>
    <col min="12054" max="12054" width="15.5703125" customWidth="1"/>
    <col min="12055" max="12055" width="11" bestFit="1" customWidth="1"/>
    <col min="12056" max="12056" width="9.85546875" bestFit="1" customWidth="1"/>
    <col min="12274" max="12274" width="39.42578125" customWidth="1"/>
    <col min="12275" max="12290" width="12.42578125" customWidth="1"/>
    <col min="12291" max="12291" width="15.5703125" customWidth="1"/>
    <col min="12292" max="12292" width="11.7109375" customWidth="1"/>
    <col min="12293" max="12293" width="12.42578125" customWidth="1"/>
    <col min="12294" max="12294" width="22" customWidth="1"/>
    <col min="12295" max="12295" width="12.42578125" customWidth="1"/>
    <col min="12296" max="12296" width="12.28515625" customWidth="1"/>
    <col min="12297" max="12298" width="10.42578125" customWidth="1"/>
    <col min="12299" max="12299" width="17.140625" customWidth="1"/>
    <col min="12300" max="12301" width="19" customWidth="1"/>
    <col min="12302" max="12305" width="12.42578125" customWidth="1"/>
    <col min="12306" max="12306" width="17.140625" customWidth="1"/>
    <col min="12307" max="12307" width="22.28515625" customWidth="1"/>
    <col min="12308" max="12308" width="18.7109375" customWidth="1"/>
    <col min="12309" max="12309" width="14" customWidth="1"/>
    <col min="12310" max="12310" width="15.5703125" customWidth="1"/>
    <col min="12311" max="12311" width="11" bestFit="1" customWidth="1"/>
    <col min="12312" max="12312" width="9.85546875" bestFit="1" customWidth="1"/>
    <col min="12530" max="12530" width="39.42578125" customWidth="1"/>
    <col min="12531" max="12546" width="12.42578125" customWidth="1"/>
    <col min="12547" max="12547" width="15.5703125" customWidth="1"/>
    <col min="12548" max="12548" width="11.7109375" customWidth="1"/>
    <col min="12549" max="12549" width="12.42578125" customWidth="1"/>
    <col min="12550" max="12550" width="22" customWidth="1"/>
    <col min="12551" max="12551" width="12.42578125" customWidth="1"/>
    <col min="12552" max="12552" width="12.28515625" customWidth="1"/>
    <col min="12553" max="12554" width="10.42578125" customWidth="1"/>
    <col min="12555" max="12555" width="17.140625" customWidth="1"/>
    <col min="12556" max="12557" width="19" customWidth="1"/>
    <col min="12558" max="12561" width="12.42578125" customWidth="1"/>
    <col min="12562" max="12562" width="17.140625" customWidth="1"/>
    <col min="12563" max="12563" width="22.28515625" customWidth="1"/>
    <col min="12564" max="12564" width="18.7109375" customWidth="1"/>
    <col min="12565" max="12565" width="14" customWidth="1"/>
    <col min="12566" max="12566" width="15.5703125" customWidth="1"/>
    <col min="12567" max="12567" width="11" bestFit="1" customWidth="1"/>
    <col min="12568" max="12568" width="9.85546875" bestFit="1" customWidth="1"/>
    <col min="12786" max="12786" width="39.42578125" customWidth="1"/>
    <col min="12787" max="12802" width="12.42578125" customWidth="1"/>
    <col min="12803" max="12803" width="15.5703125" customWidth="1"/>
    <col min="12804" max="12804" width="11.7109375" customWidth="1"/>
    <col min="12805" max="12805" width="12.42578125" customWidth="1"/>
    <col min="12806" max="12806" width="22" customWidth="1"/>
    <col min="12807" max="12807" width="12.42578125" customWidth="1"/>
    <col min="12808" max="12808" width="12.28515625" customWidth="1"/>
    <col min="12809" max="12810" width="10.42578125" customWidth="1"/>
    <col min="12811" max="12811" width="17.140625" customWidth="1"/>
    <col min="12812" max="12813" width="19" customWidth="1"/>
    <col min="12814" max="12817" width="12.42578125" customWidth="1"/>
    <col min="12818" max="12818" width="17.140625" customWidth="1"/>
    <col min="12819" max="12819" width="22.28515625" customWidth="1"/>
    <col min="12820" max="12820" width="18.7109375" customWidth="1"/>
    <col min="12821" max="12821" width="14" customWidth="1"/>
    <col min="12822" max="12822" width="15.5703125" customWidth="1"/>
    <col min="12823" max="12823" width="11" bestFit="1" customWidth="1"/>
    <col min="12824" max="12824" width="9.85546875" bestFit="1" customWidth="1"/>
    <col min="13042" max="13042" width="39.42578125" customWidth="1"/>
    <col min="13043" max="13058" width="12.42578125" customWidth="1"/>
    <col min="13059" max="13059" width="15.5703125" customWidth="1"/>
    <col min="13060" max="13060" width="11.7109375" customWidth="1"/>
    <col min="13061" max="13061" width="12.42578125" customWidth="1"/>
    <col min="13062" max="13062" width="22" customWidth="1"/>
    <col min="13063" max="13063" width="12.42578125" customWidth="1"/>
    <col min="13064" max="13064" width="12.28515625" customWidth="1"/>
    <col min="13065" max="13066" width="10.42578125" customWidth="1"/>
    <col min="13067" max="13067" width="17.140625" customWidth="1"/>
    <col min="13068" max="13069" width="19" customWidth="1"/>
    <col min="13070" max="13073" width="12.42578125" customWidth="1"/>
    <col min="13074" max="13074" width="17.140625" customWidth="1"/>
    <col min="13075" max="13075" width="22.28515625" customWidth="1"/>
    <col min="13076" max="13076" width="18.7109375" customWidth="1"/>
    <col min="13077" max="13077" width="14" customWidth="1"/>
    <col min="13078" max="13078" width="15.5703125" customWidth="1"/>
    <col min="13079" max="13079" width="11" bestFit="1" customWidth="1"/>
    <col min="13080" max="13080" width="9.85546875" bestFit="1" customWidth="1"/>
    <col min="13298" max="13298" width="39.42578125" customWidth="1"/>
    <col min="13299" max="13314" width="12.42578125" customWidth="1"/>
    <col min="13315" max="13315" width="15.5703125" customWidth="1"/>
    <col min="13316" max="13316" width="11.7109375" customWidth="1"/>
    <col min="13317" max="13317" width="12.42578125" customWidth="1"/>
    <col min="13318" max="13318" width="22" customWidth="1"/>
    <col min="13319" max="13319" width="12.42578125" customWidth="1"/>
    <col min="13320" max="13320" width="12.28515625" customWidth="1"/>
    <col min="13321" max="13322" width="10.42578125" customWidth="1"/>
    <col min="13323" max="13323" width="17.140625" customWidth="1"/>
    <col min="13324" max="13325" width="19" customWidth="1"/>
    <col min="13326" max="13329" width="12.42578125" customWidth="1"/>
    <col min="13330" max="13330" width="17.140625" customWidth="1"/>
    <col min="13331" max="13331" width="22.28515625" customWidth="1"/>
    <col min="13332" max="13332" width="18.7109375" customWidth="1"/>
    <col min="13333" max="13333" width="14" customWidth="1"/>
    <col min="13334" max="13334" width="15.5703125" customWidth="1"/>
    <col min="13335" max="13335" width="11" bestFit="1" customWidth="1"/>
    <col min="13336" max="13336" width="9.85546875" bestFit="1" customWidth="1"/>
    <col min="13554" max="13554" width="39.42578125" customWidth="1"/>
    <col min="13555" max="13570" width="12.42578125" customWidth="1"/>
    <col min="13571" max="13571" width="15.5703125" customWidth="1"/>
    <col min="13572" max="13572" width="11.7109375" customWidth="1"/>
    <col min="13573" max="13573" width="12.42578125" customWidth="1"/>
    <col min="13574" max="13574" width="22" customWidth="1"/>
    <col min="13575" max="13575" width="12.42578125" customWidth="1"/>
    <col min="13576" max="13576" width="12.28515625" customWidth="1"/>
    <col min="13577" max="13578" width="10.42578125" customWidth="1"/>
    <col min="13579" max="13579" width="17.140625" customWidth="1"/>
    <col min="13580" max="13581" width="19" customWidth="1"/>
    <col min="13582" max="13585" width="12.42578125" customWidth="1"/>
    <col min="13586" max="13586" width="17.140625" customWidth="1"/>
    <col min="13587" max="13587" width="22.28515625" customWidth="1"/>
    <col min="13588" max="13588" width="18.7109375" customWidth="1"/>
    <col min="13589" max="13589" width="14" customWidth="1"/>
    <col min="13590" max="13590" width="15.5703125" customWidth="1"/>
    <col min="13591" max="13591" width="11" bestFit="1" customWidth="1"/>
    <col min="13592" max="13592" width="9.85546875" bestFit="1" customWidth="1"/>
    <col min="13810" max="13810" width="39.42578125" customWidth="1"/>
    <col min="13811" max="13826" width="12.42578125" customWidth="1"/>
    <col min="13827" max="13827" width="15.5703125" customWidth="1"/>
    <col min="13828" max="13828" width="11.7109375" customWidth="1"/>
    <col min="13829" max="13829" width="12.42578125" customWidth="1"/>
    <col min="13830" max="13830" width="22" customWidth="1"/>
    <col min="13831" max="13831" width="12.42578125" customWidth="1"/>
    <col min="13832" max="13832" width="12.28515625" customWidth="1"/>
    <col min="13833" max="13834" width="10.42578125" customWidth="1"/>
    <col min="13835" max="13835" width="17.140625" customWidth="1"/>
    <col min="13836" max="13837" width="19" customWidth="1"/>
    <col min="13838" max="13841" width="12.42578125" customWidth="1"/>
    <col min="13842" max="13842" width="17.140625" customWidth="1"/>
    <col min="13843" max="13843" width="22.28515625" customWidth="1"/>
    <col min="13844" max="13844" width="18.7109375" customWidth="1"/>
    <col min="13845" max="13845" width="14" customWidth="1"/>
    <col min="13846" max="13846" width="15.5703125" customWidth="1"/>
    <col min="13847" max="13847" width="11" bestFit="1" customWidth="1"/>
    <col min="13848" max="13848" width="9.85546875" bestFit="1" customWidth="1"/>
    <col min="14066" max="14066" width="39.42578125" customWidth="1"/>
    <col min="14067" max="14082" width="12.42578125" customWidth="1"/>
    <col min="14083" max="14083" width="15.5703125" customWidth="1"/>
    <col min="14084" max="14084" width="11.7109375" customWidth="1"/>
    <col min="14085" max="14085" width="12.42578125" customWidth="1"/>
    <col min="14086" max="14086" width="22" customWidth="1"/>
    <col min="14087" max="14087" width="12.42578125" customWidth="1"/>
    <col min="14088" max="14088" width="12.28515625" customWidth="1"/>
    <col min="14089" max="14090" width="10.42578125" customWidth="1"/>
    <col min="14091" max="14091" width="17.140625" customWidth="1"/>
    <col min="14092" max="14093" width="19" customWidth="1"/>
    <col min="14094" max="14097" width="12.42578125" customWidth="1"/>
    <col min="14098" max="14098" width="17.140625" customWidth="1"/>
    <col min="14099" max="14099" width="22.28515625" customWidth="1"/>
    <col min="14100" max="14100" width="18.7109375" customWidth="1"/>
    <col min="14101" max="14101" width="14" customWidth="1"/>
    <col min="14102" max="14102" width="15.5703125" customWidth="1"/>
    <col min="14103" max="14103" width="11" bestFit="1" customWidth="1"/>
    <col min="14104" max="14104" width="9.85546875" bestFit="1" customWidth="1"/>
    <col min="14322" max="14322" width="39.42578125" customWidth="1"/>
    <col min="14323" max="14338" width="12.42578125" customWidth="1"/>
    <col min="14339" max="14339" width="15.5703125" customWidth="1"/>
    <col min="14340" max="14340" width="11.7109375" customWidth="1"/>
    <col min="14341" max="14341" width="12.42578125" customWidth="1"/>
    <col min="14342" max="14342" width="22" customWidth="1"/>
    <col min="14343" max="14343" width="12.42578125" customWidth="1"/>
    <col min="14344" max="14344" width="12.28515625" customWidth="1"/>
    <col min="14345" max="14346" width="10.42578125" customWidth="1"/>
    <col min="14347" max="14347" width="17.140625" customWidth="1"/>
    <col min="14348" max="14349" width="19" customWidth="1"/>
    <col min="14350" max="14353" width="12.42578125" customWidth="1"/>
    <col min="14354" max="14354" width="17.140625" customWidth="1"/>
    <col min="14355" max="14355" width="22.28515625" customWidth="1"/>
    <col min="14356" max="14356" width="18.7109375" customWidth="1"/>
    <col min="14357" max="14357" width="14" customWidth="1"/>
    <col min="14358" max="14358" width="15.5703125" customWidth="1"/>
    <col min="14359" max="14359" width="11" bestFit="1" customWidth="1"/>
    <col min="14360" max="14360" width="9.85546875" bestFit="1" customWidth="1"/>
    <col min="14578" max="14578" width="39.42578125" customWidth="1"/>
    <col min="14579" max="14594" width="12.42578125" customWidth="1"/>
    <col min="14595" max="14595" width="15.5703125" customWidth="1"/>
    <col min="14596" max="14596" width="11.7109375" customWidth="1"/>
    <col min="14597" max="14597" width="12.42578125" customWidth="1"/>
    <col min="14598" max="14598" width="22" customWidth="1"/>
    <col min="14599" max="14599" width="12.42578125" customWidth="1"/>
    <col min="14600" max="14600" width="12.28515625" customWidth="1"/>
    <col min="14601" max="14602" width="10.42578125" customWidth="1"/>
    <col min="14603" max="14603" width="17.140625" customWidth="1"/>
    <col min="14604" max="14605" width="19" customWidth="1"/>
    <col min="14606" max="14609" width="12.42578125" customWidth="1"/>
    <col min="14610" max="14610" width="17.140625" customWidth="1"/>
    <col min="14611" max="14611" width="22.28515625" customWidth="1"/>
    <col min="14612" max="14612" width="18.7109375" customWidth="1"/>
    <col min="14613" max="14613" width="14" customWidth="1"/>
    <col min="14614" max="14614" width="15.5703125" customWidth="1"/>
    <col min="14615" max="14615" width="11" bestFit="1" customWidth="1"/>
    <col min="14616" max="14616" width="9.85546875" bestFit="1" customWidth="1"/>
    <col min="14834" max="14834" width="39.42578125" customWidth="1"/>
    <col min="14835" max="14850" width="12.42578125" customWidth="1"/>
    <col min="14851" max="14851" width="15.5703125" customWidth="1"/>
    <col min="14852" max="14852" width="11.7109375" customWidth="1"/>
    <col min="14853" max="14853" width="12.42578125" customWidth="1"/>
    <col min="14854" max="14854" width="22" customWidth="1"/>
    <col min="14855" max="14855" width="12.42578125" customWidth="1"/>
    <col min="14856" max="14856" width="12.28515625" customWidth="1"/>
    <col min="14857" max="14858" width="10.42578125" customWidth="1"/>
    <col min="14859" max="14859" width="17.140625" customWidth="1"/>
    <col min="14860" max="14861" width="19" customWidth="1"/>
    <col min="14862" max="14865" width="12.42578125" customWidth="1"/>
    <col min="14866" max="14866" width="17.140625" customWidth="1"/>
    <col min="14867" max="14867" width="22.28515625" customWidth="1"/>
    <col min="14868" max="14868" width="18.7109375" customWidth="1"/>
    <col min="14869" max="14869" width="14" customWidth="1"/>
    <col min="14870" max="14870" width="15.5703125" customWidth="1"/>
    <col min="14871" max="14871" width="11" bestFit="1" customWidth="1"/>
    <col min="14872" max="14872" width="9.85546875" bestFit="1" customWidth="1"/>
    <col min="15090" max="15090" width="39.42578125" customWidth="1"/>
    <col min="15091" max="15106" width="12.42578125" customWidth="1"/>
    <col min="15107" max="15107" width="15.5703125" customWidth="1"/>
    <col min="15108" max="15108" width="11.7109375" customWidth="1"/>
    <col min="15109" max="15109" width="12.42578125" customWidth="1"/>
    <col min="15110" max="15110" width="22" customWidth="1"/>
    <col min="15111" max="15111" width="12.42578125" customWidth="1"/>
    <col min="15112" max="15112" width="12.28515625" customWidth="1"/>
    <col min="15113" max="15114" width="10.42578125" customWidth="1"/>
    <col min="15115" max="15115" width="17.140625" customWidth="1"/>
    <col min="15116" max="15117" width="19" customWidth="1"/>
    <col min="15118" max="15121" width="12.42578125" customWidth="1"/>
    <col min="15122" max="15122" width="17.140625" customWidth="1"/>
    <col min="15123" max="15123" width="22.28515625" customWidth="1"/>
    <col min="15124" max="15124" width="18.7109375" customWidth="1"/>
    <col min="15125" max="15125" width="14" customWidth="1"/>
    <col min="15126" max="15126" width="15.5703125" customWidth="1"/>
    <col min="15127" max="15127" width="11" bestFit="1" customWidth="1"/>
    <col min="15128" max="15128" width="9.85546875" bestFit="1" customWidth="1"/>
    <col min="15346" max="15346" width="39.42578125" customWidth="1"/>
    <col min="15347" max="15362" width="12.42578125" customWidth="1"/>
    <col min="15363" max="15363" width="15.5703125" customWidth="1"/>
    <col min="15364" max="15364" width="11.7109375" customWidth="1"/>
    <col min="15365" max="15365" width="12.42578125" customWidth="1"/>
    <col min="15366" max="15366" width="22" customWidth="1"/>
    <col min="15367" max="15367" width="12.42578125" customWidth="1"/>
    <col min="15368" max="15368" width="12.28515625" customWidth="1"/>
    <col min="15369" max="15370" width="10.42578125" customWidth="1"/>
    <col min="15371" max="15371" width="17.140625" customWidth="1"/>
    <col min="15372" max="15373" width="19" customWidth="1"/>
    <col min="15374" max="15377" width="12.42578125" customWidth="1"/>
    <col min="15378" max="15378" width="17.140625" customWidth="1"/>
    <col min="15379" max="15379" width="22.28515625" customWidth="1"/>
    <col min="15380" max="15380" width="18.7109375" customWidth="1"/>
    <col min="15381" max="15381" width="14" customWidth="1"/>
    <col min="15382" max="15382" width="15.5703125" customWidth="1"/>
    <col min="15383" max="15383" width="11" bestFit="1" customWidth="1"/>
    <col min="15384" max="15384" width="9.85546875" bestFit="1" customWidth="1"/>
    <col min="15602" max="15602" width="39.42578125" customWidth="1"/>
    <col min="15603" max="15618" width="12.42578125" customWidth="1"/>
    <col min="15619" max="15619" width="15.5703125" customWidth="1"/>
    <col min="15620" max="15620" width="11.7109375" customWidth="1"/>
    <col min="15621" max="15621" width="12.42578125" customWidth="1"/>
    <col min="15622" max="15622" width="22" customWidth="1"/>
    <col min="15623" max="15623" width="12.42578125" customWidth="1"/>
    <col min="15624" max="15624" width="12.28515625" customWidth="1"/>
    <col min="15625" max="15626" width="10.42578125" customWidth="1"/>
    <col min="15627" max="15627" width="17.140625" customWidth="1"/>
    <col min="15628" max="15629" width="19" customWidth="1"/>
    <col min="15630" max="15633" width="12.42578125" customWidth="1"/>
    <col min="15634" max="15634" width="17.140625" customWidth="1"/>
    <col min="15635" max="15635" width="22.28515625" customWidth="1"/>
    <col min="15636" max="15636" width="18.7109375" customWidth="1"/>
    <col min="15637" max="15637" width="14" customWidth="1"/>
    <col min="15638" max="15638" width="15.5703125" customWidth="1"/>
    <col min="15639" max="15639" width="11" bestFit="1" customWidth="1"/>
    <col min="15640" max="15640" width="9.85546875" bestFit="1" customWidth="1"/>
    <col min="15858" max="15858" width="39.42578125" customWidth="1"/>
    <col min="15859" max="15874" width="12.42578125" customWidth="1"/>
    <col min="15875" max="15875" width="15.5703125" customWidth="1"/>
    <col min="15876" max="15876" width="11.7109375" customWidth="1"/>
    <col min="15877" max="15877" width="12.42578125" customWidth="1"/>
    <col min="15878" max="15878" width="22" customWidth="1"/>
    <col min="15879" max="15879" width="12.42578125" customWidth="1"/>
    <col min="15880" max="15880" width="12.28515625" customWidth="1"/>
    <col min="15881" max="15882" width="10.42578125" customWidth="1"/>
    <col min="15883" max="15883" width="17.140625" customWidth="1"/>
    <col min="15884" max="15885" width="19" customWidth="1"/>
    <col min="15886" max="15889" width="12.42578125" customWidth="1"/>
    <col min="15890" max="15890" width="17.140625" customWidth="1"/>
    <col min="15891" max="15891" width="22.28515625" customWidth="1"/>
    <col min="15892" max="15892" width="18.7109375" customWidth="1"/>
    <col min="15893" max="15893" width="14" customWidth="1"/>
    <col min="15894" max="15894" width="15.5703125" customWidth="1"/>
    <col min="15895" max="15895" width="11" bestFit="1" customWidth="1"/>
    <col min="15896" max="15896" width="9.85546875" bestFit="1" customWidth="1"/>
    <col min="16114" max="16114" width="39.42578125" customWidth="1"/>
    <col min="16115" max="16130" width="12.42578125" customWidth="1"/>
    <col min="16131" max="16131" width="15.5703125" customWidth="1"/>
    <col min="16132" max="16132" width="11.7109375" customWidth="1"/>
    <col min="16133" max="16133" width="12.42578125" customWidth="1"/>
    <col min="16134" max="16134" width="22" customWidth="1"/>
    <col min="16135" max="16135" width="12.42578125" customWidth="1"/>
    <col min="16136" max="16136" width="12.28515625" customWidth="1"/>
    <col min="16137" max="16138" width="10.42578125" customWidth="1"/>
    <col min="16139" max="16139" width="17.140625" customWidth="1"/>
    <col min="16140" max="16141" width="19" customWidth="1"/>
    <col min="16142" max="16145" width="12.42578125" customWidth="1"/>
    <col min="16146" max="16146" width="17.140625" customWidth="1"/>
    <col min="16147" max="16147" width="22.28515625" customWidth="1"/>
    <col min="16148" max="16148" width="18.7109375" customWidth="1"/>
    <col min="16149" max="16149" width="14" customWidth="1"/>
    <col min="16150" max="16150" width="15.5703125" customWidth="1"/>
    <col min="16151" max="16151" width="11" bestFit="1" customWidth="1"/>
    <col min="16152" max="16152" width="9.85546875" bestFit="1" customWidth="1"/>
  </cols>
  <sheetData>
    <row r="1" spans="1:40" ht="19.5" thickBot="1" x14ac:dyDescent="0.3">
      <c r="A1" s="1778" t="s">
        <v>447</v>
      </c>
      <c r="B1" s="1779"/>
      <c r="C1" s="1779"/>
      <c r="D1" s="1779"/>
      <c r="E1" s="1779"/>
      <c r="F1" s="1779"/>
      <c r="G1" s="1779"/>
      <c r="H1" s="1779"/>
      <c r="I1" s="1779"/>
      <c r="J1" s="1779"/>
      <c r="K1" s="1779"/>
      <c r="L1" s="1779"/>
      <c r="M1" s="1779"/>
      <c r="N1" s="1779"/>
      <c r="O1" s="1779"/>
      <c r="P1" s="1779"/>
      <c r="Q1" s="1779"/>
      <c r="R1" s="1779"/>
      <c r="S1" s="1779"/>
      <c r="T1" s="1779"/>
      <c r="U1" s="1779"/>
      <c r="V1" s="1779"/>
      <c r="W1" s="1779"/>
      <c r="X1" s="1779"/>
      <c r="Y1" s="1779"/>
      <c r="Z1" s="1779"/>
      <c r="AA1" s="1779"/>
      <c r="AB1" s="1779"/>
      <c r="AC1" s="1779"/>
      <c r="AD1" s="1779"/>
      <c r="AE1" s="1779"/>
      <c r="AF1" s="1779"/>
      <c r="AG1" s="1779"/>
      <c r="AH1" s="1779"/>
      <c r="AI1" s="1779"/>
      <c r="AJ1" s="1779"/>
      <c r="AK1" s="1779"/>
      <c r="AL1" s="1779"/>
      <c r="AM1" s="1779"/>
      <c r="AN1" s="1780"/>
    </row>
    <row r="2" spans="1:40" x14ac:dyDescent="0.25">
      <c r="A2" s="1774" t="s">
        <v>530</v>
      </c>
      <c r="B2" s="1781" t="s">
        <v>448</v>
      </c>
      <c r="C2" s="1782"/>
      <c r="D2" s="1782"/>
      <c r="E2" s="1782"/>
      <c r="F2" s="1782"/>
      <c r="G2" s="1782"/>
      <c r="H2" s="1782"/>
      <c r="I2" s="1782"/>
      <c r="J2" s="1782"/>
      <c r="K2" s="1782"/>
      <c r="L2" s="1782"/>
      <c r="M2" s="1782"/>
      <c r="N2" s="1782"/>
      <c r="O2" s="1782"/>
      <c r="P2" s="1782"/>
      <c r="Q2" s="1782"/>
      <c r="R2" s="1782"/>
      <c r="S2" s="1782"/>
      <c r="T2" s="1782"/>
      <c r="U2" s="1782"/>
      <c r="V2" s="1783"/>
      <c r="W2" s="1791" t="s">
        <v>449</v>
      </c>
      <c r="X2" s="1791"/>
      <c r="Y2" s="1791"/>
      <c r="Z2" s="1791"/>
      <c r="AA2" s="1792"/>
      <c r="AB2" s="1789" t="s">
        <v>450</v>
      </c>
      <c r="AC2" s="1795" t="s">
        <v>257</v>
      </c>
      <c r="AD2" s="1800" t="s">
        <v>451</v>
      </c>
      <c r="AE2" s="1800"/>
      <c r="AF2" s="1800"/>
      <c r="AG2" s="1800"/>
      <c r="AH2" s="1800"/>
      <c r="AI2" s="1800"/>
      <c r="AJ2" s="1800"/>
      <c r="AK2" s="1801"/>
      <c r="AL2" s="1802" t="s">
        <v>452</v>
      </c>
      <c r="AM2" s="1802" t="s">
        <v>453</v>
      </c>
      <c r="AN2" s="1786" t="s">
        <v>260</v>
      </c>
    </row>
    <row r="3" spans="1:40" ht="60.75" thickBot="1" x14ac:dyDescent="0.3">
      <c r="A3" s="1775"/>
      <c r="B3" s="987" t="s">
        <v>483</v>
      </c>
      <c r="C3" s="988" t="s">
        <v>454</v>
      </c>
      <c r="D3" s="989" t="s">
        <v>560</v>
      </c>
      <c r="E3" s="988" t="s">
        <v>455</v>
      </c>
      <c r="F3" s="988" t="s">
        <v>456</v>
      </c>
      <c r="G3" s="988" t="s">
        <v>457</v>
      </c>
      <c r="H3" s="988" t="s">
        <v>459</v>
      </c>
      <c r="I3" s="988" t="s">
        <v>565</v>
      </c>
      <c r="J3" s="687" t="s">
        <v>558</v>
      </c>
      <c r="K3" s="687" t="s">
        <v>567</v>
      </c>
      <c r="L3" s="687" t="s">
        <v>460</v>
      </c>
      <c r="M3" s="687" t="s">
        <v>461</v>
      </c>
      <c r="N3" s="687" t="s">
        <v>462</v>
      </c>
      <c r="O3" s="687" t="s">
        <v>564</v>
      </c>
      <c r="P3" s="687" t="s">
        <v>566</v>
      </c>
      <c r="Q3" s="686" t="s">
        <v>561</v>
      </c>
      <c r="R3" s="686" t="s">
        <v>559</v>
      </c>
      <c r="S3" s="686" t="s">
        <v>562</v>
      </c>
      <c r="T3" s="1016" t="s">
        <v>563</v>
      </c>
      <c r="U3" s="688" t="s">
        <v>463</v>
      </c>
      <c r="V3" s="689" t="s">
        <v>260</v>
      </c>
      <c r="W3" s="178" t="s">
        <v>485</v>
      </c>
      <c r="X3" s="179" t="s">
        <v>492</v>
      </c>
      <c r="Y3" s="179" t="s">
        <v>493</v>
      </c>
      <c r="Z3" s="179" t="s">
        <v>487</v>
      </c>
      <c r="AA3" s="180" t="s">
        <v>260</v>
      </c>
      <c r="AB3" s="1790"/>
      <c r="AC3" s="1799"/>
      <c r="AD3" s="1043" t="s">
        <v>464</v>
      </c>
      <c r="AE3" s="880" t="s">
        <v>465</v>
      </c>
      <c r="AF3" s="880" t="s">
        <v>458</v>
      </c>
      <c r="AG3" s="880" t="s">
        <v>466</v>
      </c>
      <c r="AH3" s="880" t="s">
        <v>486</v>
      </c>
      <c r="AI3" s="880" t="s">
        <v>484</v>
      </c>
      <c r="AJ3" s="880" t="s">
        <v>467</v>
      </c>
      <c r="AK3" s="1044" t="s">
        <v>260</v>
      </c>
      <c r="AL3" s="1803"/>
      <c r="AM3" s="1803"/>
      <c r="AN3" s="1787"/>
    </row>
    <row r="4" spans="1:40" ht="30" x14ac:dyDescent="0.25">
      <c r="A4" s="186" t="s">
        <v>265</v>
      </c>
      <c r="B4" s="983">
        <f>542030*12</f>
        <v>6504360</v>
      </c>
      <c r="C4" s="984">
        <f>337995+347130*8</f>
        <v>3115035</v>
      </c>
      <c r="D4" s="984">
        <f>219240*12</f>
        <v>2630880</v>
      </c>
      <c r="E4" s="984">
        <f>347130*12</f>
        <v>4165560</v>
      </c>
      <c r="F4" s="984">
        <f>301455+347130*10+383670</f>
        <v>4156425</v>
      </c>
      <c r="G4" s="984">
        <f>337995+347130*11</f>
        <v>4156425</v>
      </c>
      <c r="H4" s="984">
        <f>255780+264915*11</f>
        <v>3169845</v>
      </c>
      <c r="I4" s="984">
        <f>246645*11</f>
        <v>2713095</v>
      </c>
      <c r="J4" s="690">
        <f>214500+231700*11</f>
        <v>2763200</v>
      </c>
      <c r="K4" s="690">
        <f>214500+231700</f>
        <v>446200</v>
      </c>
      <c r="L4" s="690">
        <f>214500+231700*11</f>
        <v>2763200</v>
      </c>
      <c r="M4" s="690">
        <f>214500+231700*11</f>
        <v>2763200</v>
      </c>
      <c r="N4" s="690">
        <f>216633+244870*11</f>
        <v>2910203</v>
      </c>
      <c r="O4" s="690">
        <f>214500+231700*11</f>
        <v>2763200</v>
      </c>
      <c r="P4" s="690">
        <f>225300*11</f>
        <v>2478300</v>
      </c>
      <c r="Q4" s="746">
        <f>214500+231700*11</f>
        <v>2763200</v>
      </c>
      <c r="R4" s="746">
        <f>208700+225300*11</f>
        <v>2687000</v>
      </c>
      <c r="S4" s="746">
        <f>208700+225300*11</f>
        <v>2687000</v>
      </c>
      <c r="T4" s="1017">
        <f>115850*10</f>
        <v>1158500</v>
      </c>
      <c r="U4" s="691">
        <v>-4200000</v>
      </c>
      <c r="V4" s="692">
        <f>SUM(B4:U4)</f>
        <v>52594828</v>
      </c>
      <c r="W4" s="190"/>
      <c r="X4" s="191"/>
      <c r="Y4" s="191"/>
      <c r="Z4" s="191"/>
      <c r="AA4" s="192">
        <f>SUM(W4:Z4)</f>
        <v>0</v>
      </c>
      <c r="AB4" s="291"/>
      <c r="AC4" s="693"/>
      <c r="AD4" s="1045">
        <f>237564+273500*11</f>
        <v>3246064</v>
      </c>
      <c r="AE4" s="881">
        <f>235284+253500*11</f>
        <v>3023784</v>
      </c>
      <c r="AF4" s="881">
        <f>283185*12</f>
        <v>3398220</v>
      </c>
      <c r="AG4" s="881">
        <f>212159+231726*11</f>
        <v>2761145</v>
      </c>
      <c r="AH4" s="881"/>
      <c r="AI4" s="881">
        <f>231339+260940*11</f>
        <v>3101679</v>
      </c>
      <c r="AJ4" s="881"/>
      <c r="AK4" s="1046">
        <f>SUM(AD4:AJ4)</f>
        <v>15530892</v>
      </c>
      <c r="AL4" s="694"/>
      <c r="AM4" s="695"/>
      <c r="AN4" s="202">
        <f t="shared" ref="AN4:AN35" si="0">V4+AA4+AC4+AL4+AM4+AK4+AB4</f>
        <v>68125720</v>
      </c>
    </row>
    <row r="5" spans="1:40" x14ac:dyDescent="0.25">
      <c r="A5" s="203" t="s">
        <v>266</v>
      </c>
      <c r="B5" s="983"/>
      <c r="C5" s="984"/>
      <c r="D5" s="984"/>
      <c r="E5" s="984"/>
      <c r="F5" s="984"/>
      <c r="G5" s="984"/>
      <c r="H5" s="984"/>
      <c r="I5" s="984"/>
      <c r="J5" s="690"/>
      <c r="K5" s="690"/>
      <c r="L5" s="690"/>
      <c r="M5" s="690"/>
      <c r="N5" s="690"/>
      <c r="O5" s="690"/>
      <c r="P5" s="690"/>
      <c r="Q5" s="746"/>
      <c r="R5" s="746"/>
      <c r="S5" s="746"/>
      <c r="T5" s="1017"/>
      <c r="U5" s="691">
        <v>1933358</v>
      </c>
      <c r="V5" s="696">
        <f t="shared" ref="V5:V16" si="1">SUM(B5:U5)</f>
        <v>1933358</v>
      </c>
      <c r="W5" s="205"/>
      <c r="X5" s="206"/>
      <c r="Y5" s="206"/>
      <c r="Z5" s="206"/>
      <c r="AA5" s="207">
        <f>SUM(W5:X5)</f>
        <v>0</v>
      </c>
      <c r="AB5" s="225"/>
      <c r="AC5" s="697"/>
      <c r="AD5" s="1047"/>
      <c r="AE5" s="882"/>
      <c r="AF5" s="882"/>
      <c r="AG5" s="882"/>
      <c r="AH5" s="882"/>
      <c r="AI5" s="882"/>
      <c r="AJ5" s="882">
        <f>AK4*5%</f>
        <v>776544.60000000009</v>
      </c>
      <c r="AK5" s="1048">
        <f t="shared" ref="AK5:AK16" si="2">SUM(AD5:AJ5)</f>
        <v>776544.60000000009</v>
      </c>
      <c r="AL5" s="698"/>
      <c r="AM5" s="695"/>
      <c r="AN5" s="1240">
        <f t="shared" si="0"/>
        <v>2709902.6</v>
      </c>
    </row>
    <row r="6" spans="1:40" ht="30" x14ac:dyDescent="0.25">
      <c r="A6" s="216" t="s">
        <v>267</v>
      </c>
      <c r="B6" s="985"/>
      <c r="C6" s="986"/>
      <c r="D6" s="986"/>
      <c r="E6" s="986"/>
      <c r="F6" s="986"/>
      <c r="G6" s="986"/>
      <c r="H6" s="986"/>
      <c r="I6" s="986"/>
      <c r="J6" s="699"/>
      <c r="K6" s="699"/>
      <c r="L6" s="699"/>
      <c r="M6" s="699"/>
      <c r="N6" s="699"/>
      <c r="O6" s="699"/>
      <c r="P6" s="699"/>
      <c r="Q6" s="728"/>
      <c r="R6" s="728"/>
      <c r="S6" s="728"/>
      <c r="T6" s="1018"/>
      <c r="U6" s="700"/>
      <c r="V6" s="696">
        <f t="shared" si="1"/>
        <v>0</v>
      </c>
      <c r="W6" s="220"/>
      <c r="X6" s="221"/>
      <c r="Y6" s="221"/>
      <c r="Z6" s="221"/>
      <c r="AA6" s="207">
        <f>SUM(W6:X6)</f>
        <v>0</v>
      </c>
      <c r="AB6" s="225"/>
      <c r="AC6" s="697"/>
      <c r="AD6" s="1049"/>
      <c r="AE6" s="883"/>
      <c r="AF6" s="883"/>
      <c r="AG6" s="883"/>
      <c r="AH6" s="883"/>
      <c r="AI6" s="883"/>
      <c r="AJ6" s="883"/>
      <c r="AK6" s="1048">
        <f t="shared" si="2"/>
        <v>0</v>
      </c>
      <c r="AL6" s="698"/>
      <c r="AM6" s="698"/>
      <c r="AN6" s="215">
        <f t="shared" si="0"/>
        <v>0</v>
      </c>
    </row>
    <row r="7" spans="1:40" x14ac:dyDescent="0.25">
      <c r="A7" s="216" t="s">
        <v>268</v>
      </c>
      <c r="B7" s="985"/>
      <c r="C7" s="986"/>
      <c r="D7" s="986"/>
      <c r="E7" s="986"/>
      <c r="F7" s="986"/>
      <c r="G7" s="986"/>
      <c r="H7" s="986"/>
      <c r="I7" s="986"/>
      <c r="J7" s="699"/>
      <c r="K7" s="699"/>
      <c r="L7" s="699"/>
      <c r="M7" s="699"/>
      <c r="N7" s="699"/>
      <c r="O7" s="699"/>
      <c r="P7" s="699"/>
      <c r="Q7" s="728"/>
      <c r="R7" s="728"/>
      <c r="S7" s="728"/>
      <c r="T7" s="1018"/>
      <c r="U7" s="700"/>
      <c r="V7" s="696">
        <f t="shared" si="1"/>
        <v>0</v>
      </c>
      <c r="W7" s="220"/>
      <c r="X7" s="221"/>
      <c r="Y7" s="221"/>
      <c r="Z7" s="221"/>
      <c r="AA7" s="207">
        <f>SUM(W7:X7)</f>
        <v>0</v>
      </c>
      <c r="AB7" s="225"/>
      <c r="AC7" s="697"/>
      <c r="AD7" s="1049"/>
      <c r="AE7" s="883"/>
      <c r="AF7" s="883"/>
      <c r="AG7" s="883"/>
      <c r="AH7" s="883"/>
      <c r="AI7" s="883"/>
      <c r="AJ7" s="883"/>
      <c r="AK7" s="1048">
        <f t="shared" si="2"/>
        <v>0</v>
      </c>
      <c r="AL7" s="698"/>
      <c r="AM7" s="698"/>
      <c r="AN7" s="215">
        <f t="shared" si="0"/>
        <v>0</v>
      </c>
    </row>
    <row r="8" spans="1:40" x14ac:dyDescent="0.25">
      <c r="A8" s="216" t="s">
        <v>269</v>
      </c>
      <c r="B8" s="985">
        <v>150000</v>
      </c>
      <c r="C8" s="986">
        <f>150000/12*8</f>
        <v>100000</v>
      </c>
      <c r="D8" s="986">
        <v>150000</v>
      </c>
      <c r="E8" s="986">
        <v>150000</v>
      </c>
      <c r="F8" s="986">
        <v>150000</v>
      </c>
      <c r="G8" s="986">
        <v>150000</v>
      </c>
      <c r="H8" s="986">
        <v>150000</v>
      </c>
      <c r="I8" s="986">
        <v>150000</v>
      </c>
      <c r="J8" s="699">
        <v>150000</v>
      </c>
      <c r="K8" s="699">
        <v>12500</v>
      </c>
      <c r="L8" s="699">
        <v>150000</v>
      </c>
      <c r="M8" s="699">
        <v>150000</v>
      </c>
      <c r="N8" s="699">
        <v>150000</v>
      </c>
      <c r="O8" s="699">
        <v>150000</v>
      </c>
      <c r="P8" s="699">
        <v>150000</v>
      </c>
      <c r="Q8" s="728">
        <v>150000</v>
      </c>
      <c r="R8" s="728">
        <v>150000</v>
      </c>
      <c r="S8" s="728">
        <v>150000</v>
      </c>
      <c r="T8" s="1018">
        <f>150000/2/12*11</f>
        <v>68750</v>
      </c>
      <c r="U8" s="700"/>
      <c r="V8" s="696">
        <f t="shared" si="1"/>
        <v>2581250</v>
      </c>
      <c r="W8" s="220"/>
      <c r="X8" s="221"/>
      <c r="Y8" s="221"/>
      <c r="Z8" s="221"/>
      <c r="AA8" s="207">
        <f>SUM(W8:X8)</f>
        <v>0</v>
      </c>
      <c r="AB8" s="225"/>
      <c r="AC8" s="697"/>
      <c r="AD8" s="1049">
        <v>150000</v>
      </c>
      <c r="AE8" s="883">
        <v>150000</v>
      </c>
      <c r="AF8" s="883">
        <v>150000</v>
      </c>
      <c r="AG8" s="883">
        <v>150000</v>
      </c>
      <c r="AH8" s="883"/>
      <c r="AI8" s="883">
        <v>150000</v>
      </c>
      <c r="AJ8" s="883"/>
      <c r="AK8" s="1048">
        <f t="shared" si="2"/>
        <v>750000</v>
      </c>
      <c r="AL8" s="698"/>
      <c r="AM8" s="698"/>
      <c r="AN8" s="1240">
        <f t="shared" si="0"/>
        <v>3331250</v>
      </c>
    </row>
    <row r="9" spans="1:40" x14ac:dyDescent="0.25">
      <c r="A9" s="216" t="s">
        <v>270</v>
      </c>
      <c r="B9" s="985"/>
      <c r="C9" s="986"/>
      <c r="D9" s="986"/>
      <c r="E9" s="986"/>
      <c r="F9" s="986"/>
      <c r="G9" s="986"/>
      <c r="H9" s="986"/>
      <c r="I9" s="986"/>
      <c r="J9" s="699"/>
      <c r="K9" s="699"/>
      <c r="L9" s="699"/>
      <c r="M9" s="699"/>
      <c r="N9" s="699"/>
      <c r="O9" s="699"/>
      <c r="P9" s="699"/>
      <c r="Q9" s="728"/>
      <c r="R9" s="728"/>
      <c r="S9" s="728"/>
      <c r="T9" s="1018"/>
      <c r="U9" s="700"/>
      <c r="V9" s="696">
        <f t="shared" si="1"/>
        <v>0</v>
      </c>
      <c r="W9" s="220"/>
      <c r="X9" s="221"/>
      <c r="Y9" s="221"/>
      <c r="Z9" s="221"/>
      <c r="AA9" s="207"/>
      <c r="AB9" s="225"/>
      <c r="AC9" s="697"/>
      <c r="AD9" s="1049"/>
      <c r="AE9" s="883"/>
      <c r="AF9" s="883"/>
      <c r="AG9" s="883"/>
      <c r="AH9" s="883"/>
      <c r="AI9" s="883"/>
      <c r="AJ9" s="883"/>
      <c r="AK9" s="1048">
        <f t="shared" si="2"/>
        <v>0</v>
      </c>
      <c r="AL9" s="698"/>
      <c r="AM9" s="698"/>
      <c r="AN9" s="215">
        <f t="shared" si="0"/>
        <v>0</v>
      </c>
    </row>
    <row r="10" spans="1:40" x14ac:dyDescent="0.25">
      <c r="A10" s="216" t="s">
        <v>271</v>
      </c>
      <c r="B10" s="985">
        <f>18000*12</f>
        <v>216000</v>
      </c>
      <c r="C10" s="986"/>
      <c r="D10" s="986">
        <f>21000*12</f>
        <v>252000</v>
      </c>
      <c r="E10" s="986">
        <f>4000*12</f>
        <v>48000</v>
      </c>
      <c r="F10" s="986"/>
      <c r="G10" s="986">
        <f>16000*12</f>
        <v>192000</v>
      </c>
      <c r="H10" s="986"/>
      <c r="I10" s="986"/>
      <c r="J10" s="699"/>
      <c r="K10" s="699"/>
      <c r="L10" s="699"/>
      <c r="M10" s="699"/>
      <c r="N10" s="699"/>
      <c r="O10" s="699"/>
      <c r="P10" s="699"/>
      <c r="Q10" s="728">
        <f>4000*12</f>
        <v>48000</v>
      </c>
      <c r="R10" s="728"/>
      <c r="S10" s="728">
        <f>6000*12</f>
        <v>72000</v>
      </c>
      <c r="T10" s="1018"/>
      <c r="U10" s="700"/>
      <c r="V10" s="696">
        <f t="shared" si="1"/>
        <v>828000</v>
      </c>
      <c r="W10" s="220"/>
      <c r="X10" s="221"/>
      <c r="Y10" s="221"/>
      <c r="Z10" s="221"/>
      <c r="AA10" s="207">
        <f>SUM(W10:X10)</f>
        <v>0</v>
      </c>
      <c r="AB10" s="225"/>
      <c r="AC10" s="697"/>
      <c r="AD10" s="1049"/>
      <c r="AE10" s="883"/>
      <c r="AF10" s="883"/>
      <c r="AG10" s="883"/>
      <c r="AH10" s="883"/>
      <c r="AI10" s="883"/>
      <c r="AJ10" s="883"/>
      <c r="AK10" s="1048">
        <f t="shared" si="2"/>
        <v>0</v>
      </c>
      <c r="AL10" s="698"/>
      <c r="AM10" s="698"/>
      <c r="AN10" s="215">
        <f t="shared" si="0"/>
        <v>828000</v>
      </c>
    </row>
    <row r="11" spans="1:40" x14ac:dyDescent="0.25">
      <c r="A11" s="216" t="s">
        <v>468</v>
      </c>
      <c r="B11" s="985"/>
      <c r="C11" s="986"/>
      <c r="D11" s="986"/>
      <c r="E11" s="986"/>
      <c r="F11" s="986"/>
      <c r="G11" s="986"/>
      <c r="H11" s="986"/>
      <c r="I11" s="986"/>
      <c r="J11" s="699"/>
      <c r="K11" s="699"/>
      <c r="L11" s="699"/>
      <c r="M11" s="699"/>
      <c r="N11" s="699"/>
      <c r="O11" s="699"/>
      <c r="P11" s="699"/>
      <c r="Q11" s="728"/>
      <c r="R11" s="728"/>
      <c r="S11" s="728"/>
      <c r="T11" s="1018"/>
      <c r="U11" s="700"/>
      <c r="V11" s="696">
        <f t="shared" si="1"/>
        <v>0</v>
      </c>
      <c r="W11" s="220"/>
      <c r="X11" s="221"/>
      <c r="Y11" s="221"/>
      <c r="Z11" s="221"/>
      <c r="AA11" s="207"/>
      <c r="AB11" s="225"/>
      <c r="AC11" s="697"/>
      <c r="AD11" s="1049"/>
      <c r="AE11" s="883"/>
      <c r="AF11" s="883"/>
      <c r="AG11" s="883"/>
      <c r="AH11" s="883"/>
      <c r="AI11" s="883"/>
      <c r="AJ11" s="883"/>
      <c r="AK11" s="1048">
        <f t="shared" si="2"/>
        <v>0</v>
      </c>
      <c r="AL11" s="698"/>
      <c r="AM11" s="698"/>
      <c r="AN11" s="215">
        <f t="shared" si="0"/>
        <v>0</v>
      </c>
    </row>
    <row r="12" spans="1:40" ht="30.75" thickBot="1" x14ac:dyDescent="0.3">
      <c r="A12" s="226" t="s">
        <v>273</v>
      </c>
      <c r="B12" s="990"/>
      <c r="C12" s="991"/>
      <c r="D12" s="991"/>
      <c r="E12" s="991"/>
      <c r="F12" s="991"/>
      <c r="G12" s="991"/>
      <c r="H12" s="991"/>
      <c r="I12" s="991"/>
      <c r="J12" s="701"/>
      <c r="K12" s="701"/>
      <c r="L12" s="701"/>
      <c r="M12" s="701"/>
      <c r="N12" s="701"/>
      <c r="O12" s="701"/>
      <c r="P12" s="701"/>
      <c r="Q12" s="1011"/>
      <c r="R12" s="1011"/>
      <c r="S12" s="1011"/>
      <c r="T12" s="1019"/>
      <c r="U12" s="702">
        <v>200000</v>
      </c>
      <c r="V12" s="703">
        <f t="shared" si="1"/>
        <v>200000</v>
      </c>
      <c r="W12" s="230"/>
      <c r="X12" s="231"/>
      <c r="Y12" s="231"/>
      <c r="Z12" s="231"/>
      <c r="AA12" s="232">
        <f>SUM(W12:X12)</f>
        <v>0</v>
      </c>
      <c r="AB12" s="240"/>
      <c r="AC12" s="704"/>
      <c r="AD12" s="1050"/>
      <c r="AE12" s="884"/>
      <c r="AF12" s="884"/>
      <c r="AG12" s="884"/>
      <c r="AH12" s="884"/>
      <c r="AI12" s="884"/>
      <c r="AJ12" s="884">
        <v>50000</v>
      </c>
      <c r="AK12" s="1051">
        <f t="shared" si="2"/>
        <v>50000</v>
      </c>
      <c r="AL12" s="705"/>
      <c r="AM12" s="705"/>
      <c r="AN12" s="242">
        <f t="shared" si="0"/>
        <v>250000</v>
      </c>
    </row>
    <row r="13" spans="1:40" ht="15.75" thickBot="1" x14ac:dyDescent="0.3">
      <c r="A13" s="243" t="s">
        <v>274</v>
      </c>
      <c r="B13" s="992">
        <f t="shared" ref="B13:Z13" si="3">SUM(B4:B12)</f>
        <v>6870360</v>
      </c>
      <c r="C13" s="993">
        <f t="shared" si="3"/>
        <v>3215035</v>
      </c>
      <c r="D13" s="993">
        <f t="shared" si="3"/>
        <v>3032880</v>
      </c>
      <c r="E13" s="993">
        <f t="shared" si="3"/>
        <v>4363560</v>
      </c>
      <c r="F13" s="993">
        <f t="shared" si="3"/>
        <v>4306425</v>
      </c>
      <c r="G13" s="993">
        <f t="shared" si="3"/>
        <v>4498425</v>
      </c>
      <c r="H13" s="993">
        <f t="shared" ref="H13" si="4">SUM(H4:H12)</f>
        <v>3319845</v>
      </c>
      <c r="I13" s="993">
        <f t="shared" si="3"/>
        <v>2863095</v>
      </c>
      <c r="J13" s="706">
        <f t="shared" si="3"/>
        <v>2913200</v>
      </c>
      <c r="K13" s="706">
        <f t="shared" si="3"/>
        <v>458700</v>
      </c>
      <c r="L13" s="706">
        <f t="shared" si="3"/>
        <v>2913200</v>
      </c>
      <c r="M13" s="706">
        <f t="shared" si="3"/>
        <v>2913200</v>
      </c>
      <c r="N13" s="706">
        <f t="shared" ref="N13:O13" si="5">SUM(N4:N12)</f>
        <v>3060203</v>
      </c>
      <c r="O13" s="706">
        <f t="shared" si="5"/>
        <v>2913200</v>
      </c>
      <c r="P13" s="706">
        <f t="shared" si="3"/>
        <v>2628300</v>
      </c>
      <c r="Q13" s="1012">
        <f t="shared" ref="Q13:R13" si="6">SUM(Q4:Q12)</f>
        <v>2961200</v>
      </c>
      <c r="R13" s="1012">
        <f t="shared" si="6"/>
        <v>2837000</v>
      </c>
      <c r="S13" s="1012">
        <f t="shared" si="3"/>
        <v>2909000</v>
      </c>
      <c r="T13" s="1020">
        <f t="shared" si="3"/>
        <v>1227250</v>
      </c>
      <c r="U13" s="707">
        <f t="shared" si="3"/>
        <v>-2066642</v>
      </c>
      <c r="V13" s="708">
        <f t="shared" si="3"/>
        <v>58137436</v>
      </c>
      <c r="W13" s="247">
        <f t="shared" si="3"/>
        <v>0</v>
      </c>
      <c r="X13" s="248">
        <f t="shared" si="3"/>
        <v>0</v>
      </c>
      <c r="Y13" s="248">
        <f t="shared" ref="Y13" si="7">SUM(Y4:Y12)</f>
        <v>0</v>
      </c>
      <c r="Z13" s="248">
        <f t="shared" si="3"/>
        <v>0</v>
      </c>
      <c r="AA13" s="249">
        <f>SUM(W13:Z13)</f>
        <v>0</v>
      </c>
      <c r="AB13" s="257">
        <f t="shared" ref="AB13:AJ13" si="8">SUM(AB4:AB12)</f>
        <v>0</v>
      </c>
      <c r="AC13" s="709">
        <f t="shared" si="8"/>
        <v>0</v>
      </c>
      <c r="AD13" s="1052">
        <f t="shared" si="8"/>
        <v>3396064</v>
      </c>
      <c r="AE13" s="885">
        <f t="shared" si="8"/>
        <v>3173784</v>
      </c>
      <c r="AF13" s="885">
        <f t="shared" ref="AF13:AI13" si="9">SUM(AF4:AF12)</f>
        <v>3548220</v>
      </c>
      <c r="AG13" s="885">
        <f t="shared" si="8"/>
        <v>2911145</v>
      </c>
      <c r="AH13" s="885">
        <f t="shared" ref="AH13" si="10">SUM(AH4:AH12)</f>
        <v>0</v>
      </c>
      <c r="AI13" s="885">
        <f t="shared" si="9"/>
        <v>3251679</v>
      </c>
      <c r="AJ13" s="885">
        <f t="shared" si="8"/>
        <v>826544.60000000009</v>
      </c>
      <c r="AK13" s="1053">
        <f>SUM(AD13:AG13)</f>
        <v>13029213</v>
      </c>
      <c r="AL13" s="710">
        <f>SUM(AL4:AL12)</f>
        <v>0</v>
      </c>
      <c r="AM13" s="710">
        <f>SUM(AM4:AM12)</f>
        <v>0</v>
      </c>
      <c r="AN13" s="202">
        <f t="shared" si="0"/>
        <v>71166649</v>
      </c>
    </row>
    <row r="14" spans="1:40" x14ac:dyDescent="0.25">
      <c r="A14" s="259" t="s">
        <v>275</v>
      </c>
      <c r="B14" s="994"/>
      <c r="C14" s="995"/>
      <c r="D14" s="996"/>
      <c r="E14" s="996"/>
      <c r="F14" s="996"/>
      <c r="G14" s="996"/>
      <c r="H14" s="996"/>
      <c r="I14" s="996"/>
      <c r="J14" s="1010"/>
      <c r="K14" s="1010"/>
      <c r="L14" s="1010"/>
      <c r="M14" s="1010"/>
      <c r="N14" s="1010"/>
      <c r="O14" s="1010"/>
      <c r="P14" s="1010"/>
      <c r="Q14" s="1013"/>
      <c r="R14" s="1013"/>
      <c r="S14" s="1013"/>
      <c r="T14" s="1021"/>
      <c r="U14" s="712"/>
      <c r="V14" s="692">
        <f t="shared" si="1"/>
        <v>0</v>
      </c>
      <c r="W14" s="230"/>
      <c r="X14" s="231"/>
      <c r="Y14" s="231"/>
      <c r="Z14" s="266"/>
      <c r="AA14" s="192">
        <f>SUM(W14:X14)</f>
        <v>0</v>
      </c>
      <c r="AB14" s="291"/>
      <c r="AC14" s="693"/>
      <c r="AD14" s="1050"/>
      <c r="AE14" s="884"/>
      <c r="AF14" s="884"/>
      <c r="AG14" s="884"/>
      <c r="AH14" s="884"/>
      <c r="AI14" s="884"/>
      <c r="AJ14" s="884"/>
      <c r="AK14" s="1046">
        <f t="shared" si="2"/>
        <v>0</v>
      </c>
      <c r="AL14" s="694"/>
      <c r="AM14" s="713"/>
      <c r="AN14" s="202">
        <f t="shared" si="0"/>
        <v>0</v>
      </c>
    </row>
    <row r="15" spans="1:40" ht="45" x14ac:dyDescent="0.25">
      <c r="A15" s="226" t="s">
        <v>276</v>
      </c>
      <c r="B15" s="997"/>
      <c r="C15" s="995"/>
      <c r="D15" s="995"/>
      <c r="E15" s="995"/>
      <c r="F15" s="995"/>
      <c r="G15" s="995"/>
      <c r="H15" s="995"/>
      <c r="I15" s="995"/>
      <c r="J15" s="711"/>
      <c r="K15" s="711"/>
      <c r="L15" s="711"/>
      <c r="M15" s="711"/>
      <c r="N15" s="711"/>
      <c r="O15" s="711"/>
      <c r="P15" s="711"/>
      <c r="Q15" s="1013"/>
      <c r="R15" s="1013"/>
      <c r="S15" s="1013"/>
      <c r="T15" s="1021"/>
      <c r="U15" s="714"/>
      <c r="V15" s="696">
        <f t="shared" si="1"/>
        <v>0</v>
      </c>
      <c r="W15" s="220">
        <f>100000*12</f>
        <v>1200000</v>
      </c>
      <c r="X15" s="221"/>
      <c r="Y15" s="221"/>
      <c r="Z15" s="221">
        <f>60000*12</f>
        <v>720000</v>
      </c>
      <c r="AA15" s="207">
        <f>SUM(W15:Z15)</f>
        <v>1920000</v>
      </c>
      <c r="AB15" s="225"/>
      <c r="AC15" s="697"/>
      <c r="AD15" s="1050"/>
      <c r="AE15" s="884"/>
      <c r="AF15" s="884"/>
      <c r="AG15" s="884"/>
      <c r="AH15" s="884">
        <f>50000*12</f>
        <v>600000</v>
      </c>
      <c r="AI15" s="884"/>
      <c r="AJ15" s="884"/>
      <c r="AK15" s="1048">
        <f t="shared" si="2"/>
        <v>600000</v>
      </c>
      <c r="AL15" s="698"/>
      <c r="AM15" s="705"/>
      <c r="AN15" s="215">
        <f t="shared" si="0"/>
        <v>2520000</v>
      </c>
    </row>
    <row r="16" spans="1:40" ht="30.75" thickBot="1" x14ac:dyDescent="0.3">
      <c r="A16" s="226" t="s">
        <v>277</v>
      </c>
      <c r="B16" s="990"/>
      <c r="C16" s="991"/>
      <c r="D16" s="991"/>
      <c r="E16" s="991"/>
      <c r="F16" s="991"/>
      <c r="G16" s="991"/>
      <c r="H16" s="991"/>
      <c r="I16" s="991"/>
      <c r="J16" s="701"/>
      <c r="K16" s="701"/>
      <c r="L16" s="701"/>
      <c r="M16" s="701"/>
      <c r="N16" s="701"/>
      <c r="O16" s="701"/>
      <c r="P16" s="701"/>
      <c r="Q16" s="1011"/>
      <c r="R16" s="1011"/>
      <c r="S16" s="1011"/>
      <c r="T16" s="1019"/>
      <c r="U16" s="702"/>
      <c r="V16" s="703">
        <f t="shared" si="1"/>
        <v>0</v>
      </c>
      <c r="W16" s="265"/>
      <c r="X16" s="266"/>
      <c r="Y16" s="266"/>
      <c r="Z16" s="266"/>
      <c r="AA16" s="232">
        <f>SUM(W16:X16)</f>
        <v>0</v>
      </c>
      <c r="AB16" s="240"/>
      <c r="AC16" s="704"/>
      <c r="AD16" s="1054"/>
      <c r="AE16" s="886"/>
      <c r="AF16" s="886"/>
      <c r="AG16" s="886"/>
      <c r="AH16" s="886"/>
      <c r="AI16" s="886"/>
      <c r="AJ16" s="886"/>
      <c r="AK16" s="1051">
        <f t="shared" si="2"/>
        <v>0</v>
      </c>
      <c r="AL16" s="705"/>
      <c r="AM16" s="705"/>
      <c r="AN16" s="242">
        <f t="shared" si="0"/>
        <v>0</v>
      </c>
    </row>
    <row r="17" spans="1:40" ht="15.75" thickBot="1" x14ac:dyDescent="0.3">
      <c r="A17" s="243" t="s">
        <v>278</v>
      </c>
      <c r="B17" s="992">
        <f>SUM(B16:B16)</f>
        <v>0</v>
      </c>
      <c r="C17" s="993">
        <f>SUM(C16:C16)</f>
        <v>0</v>
      </c>
      <c r="D17" s="993">
        <f>SUM(D16:D16)</f>
        <v>0</v>
      </c>
      <c r="E17" s="993"/>
      <c r="F17" s="993"/>
      <c r="G17" s="993"/>
      <c r="H17" s="993"/>
      <c r="I17" s="993"/>
      <c r="J17" s="706">
        <f t="shared" ref="J17:S17" si="11">SUM(J16:J16)</f>
        <v>0</v>
      </c>
      <c r="K17" s="706">
        <f t="shared" si="11"/>
        <v>0</v>
      </c>
      <c r="L17" s="706">
        <f t="shared" si="11"/>
        <v>0</v>
      </c>
      <c r="M17" s="706"/>
      <c r="N17" s="706"/>
      <c r="O17" s="706"/>
      <c r="P17" s="706"/>
      <c r="Q17" s="1012">
        <f t="shared" ref="Q17:R17" si="12">SUM(Q16:Q16)</f>
        <v>0</v>
      </c>
      <c r="R17" s="1012">
        <f t="shared" si="12"/>
        <v>0</v>
      </c>
      <c r="S17" s="1012">
        <f t="shared" si="11"/>
        <v>0</v>
      </c>
      <c r="T17" s="1020"/>
      <c r="U17" s="707">
        <f>SUM(U16:U16)</f>
        <v>0</v>
      </c>
      <c r="V17" s="708">
        <f t="shared" ref="V17:Z17" si="13">SUM(V14:V16)</f>
        <v>0</v>
      </c>
      <c r="W17" s="247">
        <f t="shared" si="13"/>
        <v>1200000</v>
      </c>
      <c r="X17" s="248">
        <f t="shared" si="13"/>
        <v>0</v>
      </c>
      <c r="Y17" s="248">
        <f t="shared" si="13"/>
        <v>0</v>
      </c>
      <c r="Z17" s="248">
        <f t="shared" si="13"/>
        <v>720000</v>
      </c>
      <c r="AA17" s="249">
        <f>SUM(W17:Z17)</f>
        <v>1920000</v>
      </c>
      <c r="AB17" s="257">
        <f t="shared" ref="AB17:AJ17" si="14">SUM(AB14:AB16)</f>
        <v>0</v>
      </c>
      <c r="AC17" s="709">
        <f t="shared" si="14"/>
        <v>0</v>
      </c>
      <c r="AD17" s="1052">
        <f t="shared" si="14"/>
        <v>0</v>
      </c>
      <c r="AE17" s="885">
        <f t="shared" si="14"/>
        <v>0</v>
      </c>
      <c r="AF17" s="885">
        <f t="shared" ref="AF17:AI17" si="15">SUM(AF14:AF16)</f>
        <v>0</v>
      </c>
      <c r="AG17" s="885">
        <f t="shared" si="14"/>
        <v>0</v>
      </c>
      <c r="AH17" s="885">
        <f t="shared" ref="AH17" si="16">SUM(AH14:AH16)</f>
        <v>600000</v>
      </c>
      <c r="AI17" s="885">
        <f t="shared" si="15"/>
        <v>0</v>
      </c>
      <c r="AJ17" s="885">
        <f t="shared" si="14"/>
        <v>0</v>
      </c>
      <c r="AK17" s="1053">
        <f>SUM(AD17:AJ17)</f>
        <v>600000</v>
      </c>
      <c r="AL17" s="710">
        <f>SUM(AL14:AL16)</f>
        <v>0</v>
      </c>
      <c r="AM17" s="710">
        <f>SUM(AM14:AM16)</f>
        <v>0</v>
      </c>
      <c r="AN17" s="202">
        <f t="shared" si="0"/>
        <v>2520000</v>
      </c>
    </row>
    <row r="18" spans="1:40" ht="16.5" thickBot="1" x14ac:dyDescent="0.3">
      <c r="A18" s="270" t="s">
        <v>279</v>
      </c>
      <c r="B18" s="998">
        <f t="shared" ref="B18:Z18" si="17">B13+B17</f>
        <v>6870360</v>
      </c>
      <c r="C18" s="999">
        <f t="shared" si="17"/>
        <v>3215035</v>
      </c>
      <c r="D18" s="999">
        <f t="shared" si="17"/>
        <v>3032880</v>
      </c>
      <c r="E18" s="999">
        <f t="shared" si="17"/>
        <v>4363560</v>
      </c>
      <c r="F18" s="999">
        <f t="shared" si="17"/>
        <v>4306425</v>
      </c>
      <c r="G18" s="999">
        <f t="shared" si="17"/>
        <v>4498425</v>
      </c>
      <c r="H18" s="999">
        <f t="shared" ref="H18" si="18">H13+H17</f>
        <v>3319845</v>
      </c>
      <c r="I18" s="999">
        <f t="shared" si="17"/>
        <v>2863095</v>
      </c>
      <c r="J18" s="715">
        <f t="shared" si="17"/>
        <v>2913200</v>
      </c>
      <c r="K18" s="715">
        <f t="shared" si="17"/>
        <v>458700</v>
      </c>
      <c r="L18" s="715">
        <f t="shared" si="17"/>
        <v>2913200</v>
      </c>
      <c r="M18" s="715">
        <f t="shared" si="17"/>
        <v>2913200</v>
      </c>
      <c r="N18" s="715">
        <f t="shared" ref="N18:O18" si="19">N13+N17</f>
        <v>3060203</v>
      </c>
      <c r="O18" s="715">
        <f t="shared" si="19"/>
        <v>2913200</v>
      </c>
      <c r="P18" s="715">
        <f t="shared" si="17"/>
        <v>2628300</v>
      </c>
      <c r="Q18" s="1014">
        <f t="shared" ref="Q18:R18" si="20">Q13+Q17</f>
        <v>2961200</v>
      </c>
      <c r="R18" s="1014">
        <f t="shared" si="20"/>
        <v>2837000</v>
      </c>
      <c r="S18" s="1014">
        <f t="shared" si="17"/>
        <v>2909000</v>
      </c>
      <c r="T18" s="1022">
        <f t="shared" si="17"/>
        <v>1227250</v>
      </c>
      <c r="U18" s="716">
        <f t="shared" si="17"/>
        <v>-2066642</v>
      </c>
      <c r="V18" s="717">
        <f t="shared" si="17"/>
        <v>58137436</v>
      </c>
      <c r="W18" s="274">
        <f t="shared" si="17"/>
        <v>1200000</v>
      </c>
      <c r="X18" s="275">
        <f t="shared" si="17"/>
        <v>0</v>
      </c>
      <c r="Y18" s="275">
        <f t="shared" ref="Y18" si="21">Y13+Y17</f>
        <v>0</v>
      </c>
      <c r="Z18" s="275">
        <f t="shared" si="17"/>
        <v>720000</v>
      </c>
      <c r="AA18" s="276">
        <f>SUM(W18:Z18)</f>
        <v>1920000</v>
      </c>
      <c r="AB18" s="284">
        <f t="shared" ref="AB18:AJ18" si="22">AB13+AB17</f>
        <v>0</v>
      </c>
      <c r="AC18" s="718">
        <f t="shared" si="22"/>
        <v>0</v>
      </c>
      <c r="AD18" s="1055">
        <f t="shared" si="22"/>
        <v>3396064</v>
      </c>
      <c r="AE18" s="887">
        <f t="shared" si="22"/>
        <v>3173784</v>
      </c>
      <c r="AF18" s="887">
        <f t="shared" ref="AF18:AI18" si="23">AF13+AF17</f>
        <v>3548220</v>
      </c>
      <c r="AG18" s="887">
        <f t="shared" si="22"/>
        <v>2911145</v>
      </c>
      <c r="AH18" s="887">
        <f t="shared" ref="AH18" si="24">AH13+AH17</f>
        <v>600000</v>
      </c>
      <c r="AI18" s="887">
        <f t="shared" si="23"/>
        <v>3251679</v>
      </c>
      <c r="AJ18" s="887">
        <f t="shared" si="22"/>
        <v>826544.60000000009</v>
      </c>
      <c r="AK18" s="1056">
        <f>SUM(AD18:AG18)</f>
        <v>13029213</v>
      </c>
      <c r="AL18" s="719">
        <f>AL13+AL17</f>
        <v>0</v>
      </c>
      <c r="AM18" s="719">
        <f>AM13+AM17</f>
        <v>0</v>
      </c>
      <c r="AN18" s="720">
        <f t="shared" si="0"/>
        <v>73086649</v>
      </c>
    </row>
    <row r="19" spans="1:40" x14ac:dyDescent="0.25">
      <c r="A19" s="186" t="s">
        <v>280</v>
      </c>
      <c r="B19" s="1000">
        <f>B4*17.5%+B8*1.18*17.5%</f>
        <v>1169238</v>
      </c>
      <c r="C19" s="1001">
        <f t="shared" ref="C19:T19" si="25">C4*17.5%+C8*1.18*17.5%</f>
        <v>565781.125</v>
      </c>
      <c r="D19" s="1001">
        <f t="shared" si="25"/>
        <v>491378.99999999994</v>
      </c>
      <c r="E19" s="1001">
        <f t="shared" si="25"/>
        <v>759948</v>
      </c>
      <c r="F19" s="1001">
        <f t="shared" si="25"/>
        <v>758349.375</v>
      </c>
      <c r="G19" s="1001">
        <f t="shared" si="25"/>
        <v>758349.375</v>
      </c>
      <c r="H19" s="1001">
        <f t="shared" si="25"/>
        <v>585697.875</v>
      </c>
      <c r="I19" s="1001">
        <f t="shared" si="25"/>
        <v>505766.62499999994</v>
      </c>
      <c r="J19" s="721">
        <f t="shared" si="25"/>
        <v>514534.99999999994</v>
      </c>
      <c r="K19" s="721">
        <f t="shared" si="25"/>
        <v>80666.25</v>
      </c>
      <c r="L19" s="721">
        <f t="shared" si="25"/>
        <v>514534.99999999994</v>
      </c>
      <c r="M19" s="721">
        <f t="shared" si="25"/>
        <v>514534.99999999994</v>
      </c>
      <c r="N19" s="721">
        <f t="shared" si="25"/>
        <v>540260.52499999991</v>
      </c>
      <c r="O19" s="721">
        <f t="shared" si="25"/>
        <v>514534.99999999994</v>
      </c>
      <c r="P19" s="721">
        <f t="shared" si="25"/>
        <v>464677.5</v>
      </c>
      <c r="Q19" s="727">
        <f t="shared" si="25"/>
        <v>514534.99999999994</v>
      </c>
      <c r="R19" s="727">
        <f t="shared" si="25"/>
        <v>501199.99999999994</v>
      </c>
      <c r="S19" s="727">
        <f t="shared" si="25"/>
        <v>501199.99999999994</v>
      </c>
      <c r="T19" s="1023">
        <f t="shared" si="25"/>
        <v>216934.375</v>
      </c>
      <c r="U19" s="722">
        <f>(U5+U12)*17.5%+U4*17.5%</f>
        <v>-361662.35000000003</v>
      </c>
      <c r="V19" s="692">
        <f t="shared" ref="V19:V39" si="26">SUM(B19:U19)</f>
        <v>10110460.675000001</v>
      </c>
      <c r="W19" s="190">
        <f>W15*17.5%</f>
        <v>210000</v>
      </c>
      <c r="X19" s="191">
        <f t="shared" ref="X19:Z19" si="27">X15*17.5%</f>
        <v>0</v>
      </c>
      <c r="Y19" s="191">
        <f t="shared" si="27"/>
        <v>0</v>
      </c>
      <c r="Z19" s="191">
        <f t="shared" si="27"/>
        <v>125999.99999999999</v>
      </c>
      <c r="AA19" s="192">
        <f>SUM(W19:Z19)</f>
        <v>336000</v>
      </c>
      <c r="AB19" s="291"/>
      <c r="AC19" s="693"/>
      <c r="AD19" s="1045">
        <f>AD4*17.5%+AD8*1.18*17.5%</f>
        <v>599036.19999999995</v>
      </c>
      <c r="AE19" s="1045">
        <f t="shared" ref="AE19:AI19" si="28">AE4*17.5%+AE8*1.18*17.5%</f>
        <v>560137.19999999995</v>
      </c>
      <c r="AF19" s="1045">
        <f t="shared" si="28"/>
        <v>625663.5</v>
      </c>
      <c r="AG19" s="1045">
        <f t="shared" si="28"/>
        <v>514175.37499999994</v>
      </c>
      <c r="AH19" s="1045">
        <f>AH15*17.5%</f>
        <v>105000</v>
      </c>
      <c r="AI19" s="1045">
        <f t="shared" si="28"/>
        <v>573768.82499999995</v>
      </c>
      <c r="AJ19" s="881">
        <f>(AJ5+AJ12)*17.5%</f>
        <v>144645.30499999999</v>
      </c>
      <c r="AK19" s="1046">
        <f t="shared" ref="AK19:AK39" si="29">SUM(AD19:AJ19)</f>
        <v>3122426.4049999998</v>
      </c>
      <c r="AL19" s="694"/>
      <c r="AM19" s="694"/>
      <c r="AN19" s="202">
        <f t="shared" si="0"/>
        <v>13568887.08</v>
      </c>
    </row>
    <row r="20" spans="1:40" x14ac:dyDescent="0.25">
      <c r="A20" s="203" t="s">
        <v>281</v>
      </c>
      <c r="B20" s="983"/>
      <c r="C20" s="984"/>
      <c r="D20" s="984"/>
      <c r="E20" s="984"/>
      <c r="F20" s="984"/>
      <c r="G20" s="984"/>
      <c r="H20" s="984"/>
      <c r="I20" s="984"/>
      <c r="J20" s="690"/>
      <c r="K20" s="690"/>
      <c r="L20" s="690"/>
      <c r="M20" s="690"/>
      <c r="N20" s="690"/>
      <c r="O20" s="690"/>
      <c r="P20" s="690"/>
      <c r="Q20" s="746"/>
      <c r="R20" s="746"/>
      <c r="S20" s="746"/>
      <c r="T20" s="1017"/>
      <c r="U20" s="691"/>
      <c r="V20" s="696">
        <f t="shared" si="26"/>
        <v>0</v>
      </c>
      <c r="W20" s="205"/>
      <c r="X20" s="206"/>
      <c r="Y20" s="206"/>
      <c r="Z20" s="206"/>
      <c r="AA20" s="207">
        <f t="shared" ref="AA20:AA25" si="30">SUM(W20:Z20)</f>
        <v>0</v>
      </c>
      <c r="AB20" s="225"/>
      <c r="AC20" s="697"/>
      <c r="AD20" s="1047"/>
      <c r="AE20" s="882"/>
      <c r="AF20" s="882"/>
      <c r="AG20" s="882"/>
      <c r="AH20" s="882"/>
      <c r="AI20" s="882"/>
      <c r="AJ20" s="882"/>
      <c r="AK20" s="1048">
        <f t="shared" si="29"/>
        <v>0</v>
      </c>
      <c r="AL20" s="698"/>
      <c r="AM20" s="695"/>
      <c r="AN20" s="215">
        <f t="shared" si="0"/>
        <v>0</v>
      </c>
    </row>
    <row r="21" spans="1:40" x14ac:dyDescent="0.25">
      <c r="A21" s="203" t="s">
        <v>282</v>
      </c>
      <c r="B21" s="983"/>
      <c r="C21" s="984"/>
      <c r="D21" s="984"/>
      <c r="E21" s="984"/>
      <c r="F21" s="984"/>
      <c r="G21" s="984"/>
      <c r="H21" s="984"/>
      <c r="I21" s="984"/>
      <c r="J21" s="690"/>
      <c r="K21" s="690"/>
      <c r="L21" s="690"/>
      <c r="M21" s="690"/>
      <c r="N21" s="690"/>
      <c r="O21" s="690"/>
      <c r="P21" s="690"/>
      <c r="Q21" s="746"/>
      <c r="R21" s="746"/>
      <c r="S21" s="746"/>
      <c r="T21" s="1017"/>
      <c r="U21" s="691"/>
      <c r="V21" s="696">
        <f t="shared" si="26"/>
        <v>0</v>
      </c>
      <c r="W21" s="205"/>
      <c r="X21" s="206"/>
      <c r="Y21" s="206"/>
      <c r="Z21" s="206"/>
      <c r="AA21" s="207">
        <f t="shared" si="30"/>
        <v>0</v>
      </c>
      <c r="AB21" s="225"/>
      <c r="AC21" s="697"/>
      <c r="AD21" s="1047"/>
      <c r="AE21" s="882"/>
      <c r="AF21" s="882"/>
      <c r="AG21" s="882"/>
      <c r="AH21" s="882"/>
      <c r="AI21" s="882"/>
      <c r="AJ21" s="882"/>
      <c r="AK21" s="1048">
        <f t="shared" si="29"/>
        <v>0</v>
      </c>
      <c r="AL21" s="698"/>
      <c r="AM21" s="695"/>
      <c r="AN21" s="215">
        <f t="shared" si="0"/>
        <v>0</v>
      </c>
    </row>
    <row r="22" spans="1:40" ht="30" x14ac:dyDescent="0.25">
      <c r="A22" s="216" t="s">
        <v>283</v>
      </c>
      <c r="B22" s="983"/>
      <c r="C22" s="984"/>
      <c r="D22" s="984"/>
      <c r="E22" s="984"/>
      <c r="F22" s="984"/>
      <c r="G22" s="984"/>
      <c r="H22" s="984"/>
      <c r="I22" s="984"/>
      <c r="J22" s="699"/>
      <c r="K22" s="699"/>
      <c r="L22" s="699"/>
      <c r="M22" s="699"/>
      <c r="N22" s="699"/>
      <c r="O22" s="699"/>
      <c r="P22" s="699"/>
      <c r="Q22" s="746"/>
      <c r="R22" s="746"/>
      <c r="S22" s="746"/>
      <c r="T22" s="1017"/>
      <c r="U22" s="700"/>
      <c r="V22" s="696">
        <f t="shared" si="26"/>
        <v>0</v>
      </c>
      <c r="W22" s="220"/>
      <c r="X22" s="221"/>
      <c r="Y22" s="221"/>
      <c r="Z22" s="221"/>
      <c r="AA22" s="207">
        <f t="shared" si="30"/>
        <v>0</v>
      </c>
      <c r="AB22" s="225"/>
      <c r="AC22" s="697"/>
      <c r="AD22" s="1049"/>
      <c r="AE22" s="883"/>
      <c r="AF22" s="883"/>
      <c r="AG22" s="883"/>
      <c r="AH22" s="883"/>
      <c r="AI22" s="883"/>
      <c r="AJ22" s="883"/>
      <c r="AK22" s="1048">
        <f t="shared" si="29"/>
        <v>0</v>
      </c>
      <c r="AL22" s="698"/>
      <c r="AM22" s="698"/>
      <c r="AN22" s="215">
        <f t="shared" si="0"/>
        <v>0</v>
      </c>
    </row>
    <row r="23" spans="1:40" x14ac:dyDescent="0.25">
      <c r="A23" s="216" t="s">
        <v>284</v>
      </c>
      <c r="B23" s="983"/>
      <c r="C23" s="984"/>
      <c r="D23" s="984"/>
      <c r="E23" s="984"/>
      <c r="F23" s="984"/>
      <c r="G23" s="984"/>
      <c r="H23" s="984"/>
      <c r="I23" s="984"/>
      <c r="J23" s="699"/>
      <c r="K23" s="699"/>
      <c r="L23" s="699"/>
      <c r="M23" s="699"/>
      <c r="N23" s="699"/>
      <c r="O23" s="699"/>
      <c r="P23" s="699"/>
      <c r="Q23" s="728"/>
      <c r="R23" s="728"/>
      <c r="S23" s="728"/>
      <c r="T23" s="1018"/>
      <c r="U23" s="700">
        <v>80000</v>
      </c>
      <c r="V23" s="696">
        <f t="shared" si="26"/>
        <v>80000</v>
      </c>
      <c r="W23" s="220"/>
      <c r="X23" s="221"/>
      <c r="Y23" s="221"/>
      <c r="Z23" s="221"/>
      <c r="AA23" s="207">
        <f t="shared" si="30"/>
        <v>0</v>
      </c>
      <c r="AB23" s="225"/>
      <c r="AC23" s="697"/>
      <c r="AD23" s="1049"/>
      <c r="AE23" s="883"/>
      <c r="AF23" s="883"/>
      <c r="AG23" s="883"/>
      <c r="AH23" s="883"/>
      <c r="AI23" s="883"/>
      <c r="AJ23" s="883">
        <v>20000</v>
      </c>
      <c r="AK23" s="1048">
        <f t="shared" si="29"/>
        <v>20000</v>
      </c>
      <c r="AL23" s="698"/>
      <c r="AM23" s="698"/>
      <c r="AN23" s="215">
        <f t="shared" si="0"/>
        <v>100000</v>
      </c>
    </row>
    <row r="24" spans="1:40" x14ac:dyDescent="0.25">
      <c r="A24" s="216" t="s">
        <v>285</v>
      </c>
      <c r="B24" s="983"/>
      <c r="C24" s="984"/>
      <c r="D24" s="984"/>
      <c r="E24" s="984"/>
      <c r="F24" s="984"/>
      <c r="G24" s="984"/>
      <c r="H24" s="984"/>
      <c r="I24" s="984"/>
      <c r="J24" s="699"/>
      <c r="K24" s="699"/>
      <c r="L24" s="699"/>
      <c r="M24" s="699"/>
      <c r="N24" s="699"/>
      <c r="O24" s="699"/>
      <c r="P24" s="699"/>
      <c r="Q24" s="728"/>
      <c r="R24" s="728"/>
      <c r="S24" s="728"/>
      <c r="T24" s="1018"/>
      <c r="U24" s="700"/>
      <c r="V24" s="696">
        <f t="shared" si="26"/>
        <v>0</v>
      </c>
      <c r="W24" s="220"/>
      <c r="X24" s="221"/>
      <c r="Y24" s="221"/>
      <c r="Z24" s="221"/>
      <c r="AA24" s="207">
        <f t="shared" si="30"/>
        <v>0</v>
      </c>
      <c r="AB24" s="225"/>
      <c r="AC24" s="697"/>
      <c r="AD24" s="1049"/>
      <c r="AE24" s="883"/>
      <c r="AF24" s="883"/>
      <c r="AG24" s="883"/>
      <c r="AH24" s="883"/>
      <c r="AI24" s="883"/>
      <c r="AJ24" s="883"/>
      <c r="AK24" s="1048">
        <f t="shared" si="29"/>
        <v>0</v>
      </c>
      <c r="AL24" s="698"/>
      <c r="AM24" s="698"/>
      <c r="AN24" s="215">
        <f t="shared" si="0"/>
        <v>0</v>
      </c>
    </row>
    <row r="25" spans="1:40" ht="45.75" thickBot="1" x14ac:dyDescent="0.3">
      <c r="A25" s="226" t="s">
        <v>286</v>
      </c>
      <c r="B25" s="1002">
        <f>B8*1.18*15%</f>
        <v>26550</v>
      </c>
      <c r="C25" s="1003">
        <f t="shared" ref="C25:T25" si="31">C8*1.18*15%</f>
        <v>17700</v>
      </c>
      <c r="D25" s="1003">
        <f t="shared" si="31"/>
        <v>26550</v>
      </c>
      <c r="E25" s="1003">
        <f t="shared" si="31"/>
        <v>26550</v>
      </c>
      <c r="F25" s="1003">
        <f t="shared" si="31"/>
        <v>26550</v>
      </c>
      <c r="G25" s="1003">
        <f t="shared" si="31"/>
        <v>26550</v>
      </c>
      <c r="H25" s="1003">
        <f t="shared" ref="H25" si="32">H8*1.18*15%</f>
        <v>26550</v>
      </c>
      <c r="I25" s="1003">
        <f t="shared" si="31"/>
        <v>26550</v>
      </c>
      <c r="J25" s="723">
        <f t="shared" si="31"/>
        <v>26550</v>
      </c>
      <c r="K25" s="723">
        <f t="shared" si="31"/>
        <v>2212.5</v>
      </c>
      <c r="L25" s="723">
        <f t="shared" si="31"/>
        <v>26550</v>
      </c>
      <c r="M25" s="723">
        <f t="shared" si="31"/>
        <v>26550</v>
      </c>
      <c r="N25" s="723">
        <f t="shared" ref="N25:O25" si="33">N8*1.18*15%</f>
        <v>26550</v>
      </c>
      <c r="O25" s="723">
        <f t="shared" si="33"/>
        <v>26550</v>
      </c>
      <c r="P25" s="723">
        <f t="shared" si="31"/>
        <v>26550</v>
      </c>
      <c r="Q25" s="1015">
        <f t="shared" ref="Q25:R25" si="34">Q8*1.18*15%</f>
        <v>26550</v>
      </c>
      <c r="R25" s="1015">
        <f t="shared" si="34"/>
        <v>26550</v>
      </c>
      <c r="S25" s="1015">
        <f t="shared" si="31"/>
        <v>26550</v>
      </c>
      <c r="T25" s="1024">
        <f t="shared" si="31"/>
        <v>12168.75</v>
      </c>
      <c r="U25" s="724"/>
      <c r="V25" s="703">
        <f t="shared" si="26"/>
        <v>456881.25</v>
      </c>
      <c r="W25" s="230"/>
      <c r="X25" s="231"/>
      <c r="Y25" s="231"/>
      <c r="Z25" s="231"/>
      <c r="AA25" s="297">
        <f t="shared" si="30"/>
        <v>0</v>
      </c>
      <c r="AB25" s="225"/>
      <c r="AC25" s="697"/>
      <c r="AD25" s="1050">
        <f>AD8*1.18*15%</f>
        <v>26550</v>
      </c>
      <c r="AE25" s="1050">
        <f t="shared" ref="AE25:AI25" si="35">AE8*1.18*15%</f>
        <v>26550</v>
      </c>
      <c r="AF25" s="1050">
        <f t="shared" si="35"/>
        <v>26550</v>
      </c>
      <c r="AG25" s="1050">
        <f t="shared" si="35"/>
        <v>26550</v>
      </c>
      <c r="AH25" s="1050">
        <f t="shared" si="35"/>
        <v>0</v>
      </c>
      <c r="AI25" s="1050">
        <f t="shared" si="35"/>
        <v>26550</v>
      </c>
      <c r="AJ25" s="884"/>
      <c r="AK25" s="1051">
        <f t="shared" si="29"/>
        <v>132750</v>
      </c>
      <c r="AL25" s="698"/>
      <c r="AM25" s="705"/>
      <c r="AN25" s="242">
        <f t="shared" si="0"/>
        <v>589631.25</v>
      </c>
    </row>
    <row r="26" spans="1:40" ht="32.25" thickBot="1" x14ac:dyDescent="0.3">
      <c r="A26" s="301" t="s">
        <v>287</v>
      </c>
      <c r="B26" s="998">
        <f t="shared" ref="B26:K26" si="36">SUM(B19:B25)</f>
        <v>1195788</v>
      </c>
      <c r="C26" s="999">
        <f t="shared" si="36"/>
        <v>583481.125</v>
      </c>
      <c r="D26" s="999">
        <f t="shared" si="36"/>
        <v>517928.99999999994</v>
      </c>
      <c r="E26" s="999">
        <f t="shared" si="36"/>
        <v>786498</v>
      </c>
      <c r="F26" s="999">
        <f t="shared" si="36"/>
        <v>784899.375</v>
      </c>
      <c r="G26" s="999">
        <f t="shared" si="36"/>
        <v>784899.375</v>
      </c>
      <c r="H26" s="999">
        <f t="shared" ref="H26" si="37">SUM(H19:H25)</f>
        <v>612247.875</v>
      </c>
      <c r="I26" s="999">
        <f t="shared" si="36"/>
        <v>532316.625</v>
      </c>
      <c r="J26" s="715">
        <f>SUM(J19:J25)</f>
        <v>541085</v>
      </c>
      <c r="K26" s="715">
        <f t="shared" si="36"/>
        <v>82878.75</v>
      </c>
      <c r="L26" s="715">
        <f>SUM(L19:L25)</f>
        <v>541085</v>
      </c>
      <c r="M26" s="715">
        <f t="shared" ref="M26:Z26" si="38">SUM(M19:M25)</f>
        <v>541085</v>
      </c>
      <c r="N26" s="715">
        <f t="shared" ref="N26:O26" si="39">SUM(N19:N25)</f>
        <v>566810.52499999991</v>
      </c>
      <c r="O26" s="715">
        <f t="shared" si="39"/>
        <v>541085</v>
      </c>
      <c r="P26" s="715">
        <f t="shared" si="38"/>
        <v>491227.5</v>
      </c>
      <c r="Q26" s="1014">
        <f t="shared" ref="Q26:R26" si="40">SUM(Q19:Q25)</f>
        <v>541085</v>
      </c>
      <c r="R26" s="1014">
        <f t="shared" si="40"/>
        <v>527750</v>
      </c>
      <c r="S26" s="1014">
        <f t="shared" si="38"/>
        <v>527750</v>
      </c>
      <c r="T26" s="1022">
        <f t="shared" si="38"/>
        <v>229103.125</v>
      </c>
      <c r="U26" s="716">
        <f>SUM(U19:U25)</f>
        <v>-281662.35000000003</v>
      </c>
      <c r="V26" s="717">
        <f t="shared" si="38"/>
        <v>10647341.925000001</v>
      </c>
      <c r="W26" s="274">
        <f t="shared" si="38"/>
        <v>210000</v>
      </c>
      <c r="X26" s="275">
        <f t="shared" si="38"/>
        <v>0</v>
      </c>
      <c r="Y26" s="275">
        <f t="shared" ref="Y26" si="41">SUM(Y19:Y25)</f>
        <v>0</v>
      </c>
      <c r="Z26" s="275">
        <f t="shared" si="38"/>
        <v>125999.99999999999</v>
      </c>
      <c r="AA26" s="276">
        <f>SUM(W26:Z26)</f>
        <v>336000</v>
      </c>
      <c r="AB26" s="304">
        <f t="shared" ref="AB26:AJ26" si="42">SUM(AB19:AB25)</f>
        <v>0</v>
      </c>
      <c r="AC26" s="725">
        <f t="shared" si="42"/>
        <v>0</v>
      </c>
      <c r="AD26" s="1055">
        <f t="shared" si="42"/>
        <v>625586.19999999995</v>
      </c>
      <c r="AE26" s="887">
        <f t="shared" si="42"/>
        <v>586687.19999999995</v>
      </c>
      <c r="AF26" s="887">
        <f t="shared" ref="AF26:AI26" si="43">SUM(AF19:AF25)</f>
        <v>652213.5</v>
      </c>
      <c r="AG26" s="887">
        <f t="shared" si="42"/>
        <v>540725.375</v>
      </c>
      <c r="AH26" s="887">
        <f t="shared" ref="AH26" si="44">SUM(AH19:AH25)</f>
        <v>105000</v>
      </c>
      <c r="AI26" s="887">
        <f t="shared" si="43"/>
        <v>600318.82499999995</v>
      </c>
      <c r="AJ26" s="887">
        <f t="shared" si="42"/>
        <v>164645.30499999999</v>
      </c>
      <c r="AK26" s="1057">
        <f>SUM(AD26:AJ26)</f>
        <v>3275176.4049999998</v>
      </c>
      <c r="AL26" s="726">
        <f>SUM(AL19:AL25)</f>
        <v>0</v>
      </c>
      <c r="AM26" s="726">
        <f>SUM(AM19:AM25)</f>
        <v>0</v>
      </c>
      <c r="AN26" s="720">
        <f>V26+AA26+AC26+AL26+AM26+AK26+AB26</f>
        <v>14258518.33</v>
      </c>
    </row>
    <row r="27" spans="1:40" x14ac:dyDescent="0.25">
      <c r="A27" s="306" t="s">
        <v>288</v>
      </c>
      <c r="B27" s="1000"/>
      <c r="C27" s="1001"/>
      <c r="D27" s="1001"/>
      <c r="E27" s="1001"/>
      <c r="F27" s="1001"/>
      <c r="G27" s="1001"/>
      <c r="H27" s="1001"/>
      <c r="I27" s="1001"/>
      <c r="J27" s="721"/>
      <c r="K27" s="721"/>
      <c r="L27" s="721"/>
      <c r="M27" s="721"/>
      <c r="N27" s="721"/>
      <c r="O27" s="721"/>
      <c r="P27" s="721"/>
      <c r="Q27" s="727"/>
      <c r="R27" s="727"/>
      <c r="S27" s="727"/>
      <c r="T27" s="1023"/>
      <c r="U27" s="722"/>
      <c r="V27" s="692">
        <f t="shared" si="26"/>
        <v>0</v>
      </c>
      <c r="W27" s="190"/>
      <c r="X27" s="191"/>
      <c r="Y27" s="191"/>
      <c r="Z27" s="191"/>
      <c r="AA27" s="192">
        <f>SUM(W27:Z27)</f>
        <v>0</v>
      </c>
      <c r="AB27" s="291"/>
      <c r="AC27" s="693"/>
      <c r="AD27" s="1045"/>
      <c r="AE27" s="881"/>
      <c r="AF27" s="881"/>
      <c r="AG27" s="881"/>
      <c r="AH27" s="881"/>
      <c r="AI27" s="881"/>
      <c r="AJ27" s="881"/>
      <c r="AK27" s="1046">
        <f t="shared" si="29"/>
        <v>0</v>
      </c>
      <c r="AL27" s="694"/>
      <c r="AM27" s="694"/>
      <c r="AN27" s="202">
        <f t="shared" si="0"/>
        <v>0</v>
      </c>
    </row>
    <row r="28" spans="1:40" x14ac:dyDescent="0.25">
      <c r="A28" s="216" t="s">
        <v>289</v>
      </c>
      <c r="B28" s="985"/>
      <c r="C28" s="986"/>
      <c r="D28" s="986"/>
      <c r="E28" s="986"/>
      <c r="F28" s="986"/>
      <c r="G28" s="986"/>
      <c r="H28" s="986"/>
      <c r="I28" s="986"/>
      <c r="J28" s="699"/>
      <c r="K28" s="699"/>
      <c r="L28" s="699"/>
      <c r="M28" s="699"/>
      <c r="N28" s="699"/>
      <c r="O28" s="699"/>
      <c r="P28" s="699"/>
      <c r="Q28" s="728"/>
      <c r="R28" s="728"/>
      <c r="S28" s="728"/>
      <c r="T28" s="1018"/>
      <c r="U28" s="700"/>
      <c r="V28" s="696">
        <f t="shared" si="26"/>
        <v>0</v>
      </c>
      <c r="W28" s="220"/>
      <c r="X28" s="221"/>
      <c r="Y28" s="221"/>
      <c r="Z28" s="221"/>
      <c r="AA28" s="207">
        <f t="shared" ref="AA28:AA39" si="45">SUM(W28:Z28)</f>
        <v>0</v>
      </c>
      <c r="AB28" s="225"/>
      <c r="AC28" s="697"/>
      <c r="AD28" s="1049"/>
      <c r="AE28" s="883"/>
      <c r="AF28" s="883"/>
      <c r="AG28" s="883"/>
      <c r="AH28" s="883"/>
      <c r="AI28" s="883"/>
      <c r="AJ28" s="883"/>
      <c r="AK28" s="1048">
        <f t="shared" si="29"/>
        <v>0</v>
      </c>
      <c r="AL28" s="698"/>
      <c r="AM28" s="698"/>
      <c r="AN28" s="215">
        <f t="shared" si="0"/>
        <v>0</v>
      </c>
    </row>
    <row r="29" spans="1:40" x14ac:dyDescent="0.25">
      <c r="A29" s="216" t="s">
        <v>469</v>
      </c>
      <c r="B29" s="985"/>
      <c r="C29" s="986"/>
      <c r="D29" s="986"/>
      <c r="E29" s="986"/>
      <c r="F29" s="986"/>
      <c r="G29" s="986"/>
      <c r="H29" s="986"/>
      <c r="I29" s="986"/>
      <c r="J29" s="699"/>
      <c r="K29" s="699"/>
      <c r="L29" s="699"/>
      <c r="M29" s="699"/>
      <c r="N29" s="699"/>
      <c r="O29" s="699"/>
      <c r="P29" s="699"/>
      <c r="Q29" s="728"/>
      <c r="R29" s="728"/>
      <c r="S29" s="728"/>
      <c r="T29" s="1018"/>
      <c r="U29" s="700">
        <f>9000*12</f>
        <v>108000</v>
      </c>
      <c r="V29" s="696">
        <f t="shared" si="26"/>
        <v>108000</v>
      </c>
      <c r="W29" s="220"/>
      <c r="X29" s="221"/>
      <c r="Y29" s="221"/>
      <c r="Z29" s="221"/>
      <c r="AA29" s="207">
        <f t="shared" si="45"/>
        <v>0</v>
      </c>
      <c r="AB29" s="225"/>
      <c r="AC29" s="697"/>
      <c r="AD29" s="1049"/>
      <c r="AE29" s="883"/>
      <c r="AF29" s="883"/>
      <c r="AG29" s="883"/>
      <c r="AH29" s="883"/>
      <c r="AI29" s="883"/>
      <c r="AJ29" s="883">
        <f>9000*12</f>
        <v>108000</v>
      </c>
      <c r="AK29" s="1048">
        <f t="shared" si="29"/>
        <v>108000</v>
      </c>
      <c r="AL29" s="698"/>
      <c r="AM29" s="698"/>
      <c r="AN29" s="215">
        <f t="shared" si="0"/>
        <v>216000</v>
      </c>
    </row>
    <row r="30" spans="1:40" x14ac:dyDescent="0.25">
      <c r="A30" s="309" t="s">
        <v>470</v>
      </c>
      <c r="B30" s="985"/>
      <c r="C30" s="986"/>
      <c r="D30" s="986"/>
      <c r="E30" s="986"/>
      <c r="F30" s="986"/>
      <c r="G30" s="986"/>
      <c r="H30" s="986"/>
      <c r="I30" s="986"/>
      <c r="J30" s="699"/>
      <c r="K30" s="699"/>
      <c r="L30" s="699"/>
      <c r="M30" s="699"/>
      <c r="N30" s="699"/>
      <c r="O30" s="699"/>
      <c r="P30" s="699"/>
      <c r="Q30" s="728"/>
      <c r="R30" s="728"/>
      <c r="S30" s="728"/>
      <c r="T30" s="1018"/>
      <c r="U30" s="700"/>
      <c r="V30" s="696">
        <f t="shared" si="26"/>
        <v>0</v>
      </c>
      <c r="W30" s="220"/>
      <c r="X30" s="221"/>
      <c r="Y30" s="221"/>
      <c r="Z30" s="221"/>
      <c r="AA30" s="207">
        <f t="shared" si="45"/>
        <v>0</v>
      </c>
      <c r="AB30" s="225"/>
      <c r="AC30" s="697"/>
      <c r="AD30" s="1049"/>
      <c r="AE30" s="883"/>
      <c r="AF30" s="883"/>
      <c r="AG30" s="883"/>
      <c r="AH30" s="883"/>
      <c r="AI30" s="883"/>
      <c r="AJ30" s="883"/>
      <c r="AK30" s="1048">
        <f t="shared" si="29"/>
        <v>0</v>
      </c>
      <c r="AL30" s="698"/>
      <c r="AM30" s="698"/>
      <c r="AN30" s="215">
        <f t="shared" si="0"/>
        <v>0</v>
      </c>
    </row>
    <row r="31" spans="1:40" ht="75" x14ac:dyDescent="0.25">
      <c r="A31" s="309" t="s">
        <v>494</v>
      </c>
      <c r="B31" s="985"/>
      <c r="C31" s="986"/>
      <c r="D31" s="986"/>
      <c r="E31" s="986"/>
      <c r="F31" s="986"/>
      <c r="G31" s="986"/>
      <c r="H31" s="986"/>
      <c r="I31" s="986"/>
      <c r="J31" s="699"/>
      <c r="K31" s="699"/>
      <c r="L31" s="699"/>
      <c r="M31" s="699"/>
      <c r="N31" s="699"/>
      <c r="O31" s="699"/>
      <c r="P31" s="699"/>
      <c r="Q31" s="728"/>
      <c r="R31" s="728"/>
      <c r="S31" s="728"/>
      <c r="T31" s="1018"/>
      <c r="U31" s="700">
        <v>550000</v>
      </c>
      <c r="V31" s="696">
        <f t="shared" si="26"/>
        <v>550000</v>
      </c>
      <c r="W31" s="220"/>
      <c r="X31" s="221"/>
      <c r="Y31" s="221"/>
      <c r="Z31" s="221"/>
      <c r="AA31" s="207">
        <f t="shared" si="45"/>
        <v>0</v>
      </c>
      <c r="AB31" s="225"/>
      <c r="AC31" s="697"/>
      <c r="AD31" s="1049"/>
      <c r="AE31" s="883"/>
      <c r="AF31" s="883"/>
      <c r="AG31" s="883"/>
      <c r="AH31" s="883"/>
      <c r="AI31" s="883"/>
      <c r="AJ31" s="883">
        <v>220000</v>
      </c>
      <c r="AK31" s="1048">
        <f t="shared" si="29"/>
        <v>220000</v>
      </c>
      <c r="AL31" s="698"/>
      <c r="AM31" s="698"/>
      <c r="AN31" s="215">
        <f t="shared" si="0"/>
        <v>770000</v>
      </c>
    </row>
    <row r="32" spans="1:40" x14ac:dyDescent="0.25">
      <c r="A32" s="310" t="s">
        <v>293</v>
      </c>
      <c r="B32" s="955">
        <f>SUM(B27:B31)</f>
        <v>0</v>
      </c>
      <c r="C32" s="956">
        <f t="shared" ref="C32:I32" si="46">SUM(C27:C31)</f>
        <v>0</v>
      </c>
      <c r="D32" s="956">
        <f t="shared" si="46"/>
        <v>0</v>
      </c>
      <c r="E32" s="956">
        <f t="shared" si="46"/>
        <v>0</v>
      </c>
      <c r="F32" s="956">
        <f t="shared" si="46"/>
        <v>0</v>
      </c>
      <c r="G32" s="956">
        <f t="shared" si="46"/>
        <v>0</v>
      </c>
      <c r="H32" s="956">
        <f t="shared" ref="H32" si="47">SUM(H27:H31)</f>
        <v>0</v>
      </c>
      <c r="I32" s="956">
        <f t="shared" si="46"/>
        <v>0</v>
      </c>
      <c r="J32" s="730">
        <f t="shared" ref="J32:U32" si="48">SUM(J27:J31)</f>
        <v>0</v>
      </c>
      <c r="K32" s="730">
        <f t="shared" si="48"/>
        <v>0</v>
      </c>
      <c r="L32" s="730">
        <f t="shared" si="48"/>
        <v>0</v>
      </c>
      <c r="M32" s="730">
        <f t="shared" si="48"/>
        <v>0</v>
      </c>
      <c r="N32" s="730">
        <f t="shared" ref="N32:O32" si="49">SUM(N27:N31)</f>
        <v>0</v>
      </c>
      <c r="O32" s="730">
        <f t="shared" si="49"/>
        <v>0</v>
      </c>
      <c r="P32" s="730">
        <f t="shared" si="48"/>
        <v>0</v>
      </c>
      <c r="Q32" s="729">
        <f t="shared" ref="Q32:R32" si="50">SUM(Q27:Q31)</f>
        <v>0</v>
      </c>
      <c r="R32" s="729">
        <f t="shared" si="50"/>
        <v>0</v>
      </c>
      <c r="S32" s="729">
        <f t="shared" si="48"/>
        <v>0</v>
      </c>
      <c r="T32" s="1025">
        <f t="shared" si="48"/>
        <v>0</v>
      </c>
      <c r="U32" s="731">
        <f t="shared" si="48"/>
        <v>658000</v>
      </c>
      <c r="V32" s="732">
        <f t="shared" si="26"/>
        <v>658000</v>
      </c>
      <c r="W32" s="314">
        <f>SUM(W27:W31)</f>
        <v>0</v>
      </c>
      <c r="X32" s="315">
        <f>SUM(X27:X31)</f>
        <v>0</v>
      </c>
      <c r="Y32" s="315">
        <f>SUM(Y27:Y31)</f>
        <v>0</v>
      </c>
      <c r="Z32" s="315">
        <f>SUM(Z27:Z31)</f>
        <v>0</v>
      </c>
      <c r="AA32" s="380">
        <f t="shared" si="45"/>
        <v>0</v>
      </c>
      <c r="AB32" s="322">
        <f t="shared" ref="AB32:AJ32" si="51">SUM(AB27:AB31)</f>
        <v>0</v>
      </c>
      <c r="AC32" s="733">
        <f t="shared" si="51"/>
        <v>0</v>
      </c>
      <c r="AD32" s="891">
        <f t="shared" si="51"/>
        <v>0</v>
      </c>
      <c r="AE32" s="888">
        <f t="shared" si="51"/>
        <v>0</v>
      </c>
      <c r="AF32" s="888">
        <f t="shared" ref="AF32:AI32" si="52">SUM(AF27:AF31)</f>
        <v>0</v>
      </c>
      <c r="AG32" s="888">
        <f t="shared" si="51"/>
        <v>0</v>
      </c>
      <c r="AH32" s="888">
        <f t="shared" ref="AH32" si="53">SUM(AH27:AH31)</f>
        <v>0</v>
      </c>
      <c r="AI32" s="888">
        <f t="shared" si="52"/>
        <v>0</v>
      </c>
      <c r="AJ32" s="888">
        <f t="shared" si="51"/>
        <v>328000</v>
      </c>
      <c r="AK32" s="1058">
        <f t="shared" si="29"/>
        <v>328000</v>
      </c>
      <c r="AL32" s="381">
        <f>SUM(AL27:AL31)</f>
        <v>0</v>
      </c>
      <c r="AM32" s="381">
        <f>SUM(AM27:AM31)</f>
        <v>0</v>
      </c>
      <c r="AN32" s="215">
        <f t="shared" si="0"/>
        <v>986000</v>
      </c>
    </row>
    <row r="33" spans="1:41" x14ac:dyDescent="0.25">
      <c r="A33" s="216" t="s">
        <v>294</v>
      </c>
      <c r="B33" s="985"/>
      <c r="C33" s="986"/>
      <c r="D33" s="986"/>
      <c r="E33" s="986"/>
      <c r="F33" s="986"/>
      <c r="G33" s="986"/>
      <c r="H33" s="986"/>
      <c r="I33" s="986"/>
      <c r="J33" s="699"/>
      <c r="K33" s="699"/>
      <c r="L33" s="699"/>
      <c r="M33" s="699"/>
      <c r="N33" s="699"/>
      <c r="O33" s="699"/>
      <c r="P33" s="699"/>
      <c r="Q33" s="728"/>
      <c r="R33" s="728"/>
      <c r="S33" s="728"/>
      <c r="T33" s="1018"/>
      <c r="U33" s="700"/>
      <c r="V33" s="696">
        <f t="shared" si="26"/>
        <v>0</v>
      </c>
      <c r="W33" s="220"/>
      <c r="X33" s="221"/>
      <c r="Y33" s="221"/>
      <c r="Z33" s="221"/>
      <c r="AA33" s="207">
        <f t="shared" si="45"/>
        <v>0</v>
      </c>
      <c r="AB33" s="225"/>
      <c r="AC33" s="697"/>
      <c r="AD33" s="1049"/>
      <c r="AE33" s="883"/>
      <c r="AF33" s="883"/>
      <c r="AG33" s="883"/>
      <c r="AH33" s="883"/>
      <c r="AI33" s="883"/>
      <c r="AJ33" s="883"/>
      <c r="AK33" s="1048">
        <f t="shared" si="29"/>
        <v>0</v>
      </c>
      <c r="AL33" s="698"/>
      <c r="AM33" s="698"/>
      <c r="AN33" s="215">
        <f t="shared" si="0"/>
        <v>0</v>
      </c>
    </row>
    <row r="34" spans="1:41" x14ac:dyDescent="0.25">
      <c r="A34" s="216" t="s">
        <v>295</v>
      </c>
      <c r="B34" s="985"/>
      <c r="C34" s="986"/>
      <c r="D34" s="986"/>
      <c r="E34" s="986"/>
      <c r="F34" s="986"/>
      <c r="G34" s="986"/>
      <c r="H34" s="986"/>
      <c r="I34" s="986"/>
      <c r="J34" s="699"/>
      <c r="K34" s="699"/>
      <c r="L34" s="699"/>
      <c r="M34" s="699"/>
      <c r="N34" s="699"/>
      <c r="O34" s="699"/>
      <c r="P34" s="699"/>
      <c r="Q34" s="728"/>
      <c r="R34" s="728"/>
      <c r="S34" s="728"/>
      <c r="T34" s="1018"/>
      <c r="U34" s="700"/>
      <c r="V34" s="696">
        <f t="shared" si="26"/>
        <v>0</v>
      </c>
      <c r="W34" s="220"/>
      <c r="X34" s="221"/>
      <c r="Y34" s="221"/>
      <c r="Z34" s="221"/>
      <c r="AA34" s="207">
        <f t="shared" si="45"/>
        <v>0</v>
      </c>
      <c r="AB34" s="225">
        <v>150000</v>
      </c>
      <c r="AC34" s="697"/>
      <c r="AD34" s="1049"/>
      <c r="AE34" s="883"/>
      <c r="AF34" s="883"/>
      <c r="AG34" s="883"/>
      <c r="AH34" s="883"/>
      <c r="AI34" s="883"/>
      <c r="AJ34" s="883">
        <v>60000</v>
      </c>
      <c r="AK34" s="1048">
        <f t="shared" si="29"/>
        <v>60000</v>
      </c>
      <c r="AL34" s="698"/>
      <c r="AM34" s="698"/>
      <c r="AN34" s="215">
        <f t="shared" si="0"/>
        <v>210000</v>
      </c>
    </row>
    <row r="35" spans="1:41" x14ac:dyDescent="0.25">
      <c r="A35" s="216" t="s">
        <v>296</v>
      </c>
      <c r="B35" s="985"/>
      <c r="C35" s="986"/>
      <c r="D35" s="986"/>
      <c r="E35" s="986"/>
      <c r="F35" s="986"/>
      <c r="G35" s="986"/>
      <c r="H35" s="986"/>
      <c r="I35" s="986"/>
      <c r="J35" s="699"/>
      <c r="K35" s="699"/>
      <c r="L35" s="699"/>
      <c r="M35" s="699"/>
      <c r="N35" s="699"/>
      <c r="O35" s="699"/>
      <c r="P35" s="699"/>
      <c r="Q35" s="728"/>
      <c r="R35" s="728"/>
      <c r="S35" s="728"/>
      <c r="T35" s="1018"/>
      <c r="U35" s="700"/>
      <c r="V35" s="696">
        <f t="shared" si="26"/>
        <v>0</v>
      </c>
      <c r="W35" s="220"/>
      <c r="X35" s="221"/>
      <c r="Y35" s="221"/>
      <c r="Z35" s="221"/>
      <c r="AA35" s="207">
        <f t="shared" si="45"/>
        <v>0</v>
      </c>
      <c r="AB35" s="225">
        <v>50000</v>
      </c>
      <c r="AC35" s="697"/>
      <c r="AD35" s="1049"/>
      <c r="AE35" s="883"/>
      <c r="AF35" s="883"/>
      <c r="AG35" s="883"/>
      <c r="AH35" s="883"/>
      <c r="AI35" s="883"/>
      <c r="AJ35" s="883">
        <v>20000</v>
      </c>
      <c r="AK35" s="1048">
        <f t="shared" si="29"/>
        <v>20000</v>
      </c>
      <c r="AL35" s="698"/>
      <c r="AM35" s="698"/>
      <c r="AN35" s="215">
        <f t="shared" si="0"/>
        <v>70000</v>
      </c>
    </row>
    <row r="36" spans="1:41" ht="30" x14ac:dyDescent="0.25">
      <c r="A36" s="216" t="s">
        <v>297</v>
      </c>
      <c r="B36" s="985"/>
      <c r="C36" s="986"/>
      <c r="D36" s="986"/>
      <c r="E36" s="986"/>
      <c r="F36" s="986"/>
      <c r="G36" s="986"/>
      <c r="H36" s="986"/>
      <c r="I36" s="986"/>
      <c r="J36" s="699"/>
      <c r="K36" s="699"/>
      <c r="L36" s="699"/>
      <c r="M36" s="699"/>
      <c r="N36" s="699"/>
      <c r="O36" s="699"/>
      <c r="P36" s="699"/>
      <c r="Q36" s="728"/>
      <c r="R36" s="728"/>
      <c r="S36" s="728"/>
      <c r="T36" s="1018"/>
      <c r="U36" s="700"/>
      <c r="V36" s="696">
        <f t="shared" si="26"/>
        <v>0</v>
      </c>
      <c r="W36" s="220"/>
      <c r="X36" s="221"/>
      <c r="Y36" s="221"/>
      <c r="Z36" s="221"/>
      <c r="AA36" s="207">
        <f t="shared" si="45"/>
        <v>0</v>
      </c>
      <c r="AB36" s="225"/>
      <c r="AC36" s="697"/>
      <c r="AD36" s="1049"/>
      <c r="AE36" s="883"/>
      <c r="AF36" s="883"/>
      <c r="AG36" s="883"/>
      <c r="AH36" s="883"/>
      <c r="AI36" s="883"/>
      <c r="AJ36" s="883"/>
      <c r="AK36" s="1048">
        <f t="shared" si="29"/>
        <v>0</v>
      </c>
      <c r="AL36" s="698"/>
      <c r="AM36" s="698"/>
      <c r="AN36" s="215">
        <f t="shared" ref="AN36:AN67" si="54">V36+AA36+AC36+AL36+AM36+AK36+AB36</f>
        <v>0</v>
      </c>
    </row>
    <row r="37" spans="1:41" x14ac:dyDescent="0.25">
      <c r="A37" s="216" t="s">
        <v>298</v>
      </c>
      <c r="B37" s="985">
        <v>10000</v>
      </c>
      <c r="C37" s="986"/>
      <c r="D37" s="986">
        <v>10000</v>
      </c>
      <c r="E37" s="986">
        <v>10000</v>
      </c>
      <c r="F37" s="986">
        <v>10000</v>
      </c>
      <c r="G37" s="986">
        <v>10000</v>
      </c>
      <c r="H37" s="986">
        <v>10000</v>
      </c>
      <c r="I37" s="986">
        <v>10000</v>
      </c>
      <c r="J37" s="699">
        <v>10000</v>
      </c>
      <c r="K37" s="699"/>
      <c r="L37" s="699">
        <v>10000</v>
      </c>
      <c r="M37" s="699">
        <v>10000</v>
      </c>
      <c r="N37" s="699">
        <v>10000</v>
      </c>
      <c r="O37" s="699">
        <v>10000</v>
      </c>
      <c r="P37" s="699">
        <v>10000</v>
      </c>
      <c r="Q37" s="728">
        <v>10000</v>
      </c>
      <c r="R37" s="728">
        <v>10000</v>
      </c>
      <c r="S37" s="728">
        <v>10000</v>
      </c>
      <c r="T37" s="1018"/>
      <c r="U37" s="700"/>
      <c r="V37" s="696">
        <f t="shared" si="26"/>
        <v>160000</v>
      </c>
      <c r="W37" s="220"/>
      <c r="X37" s="221"/>
      <c r="Y37" s="221"/>
      <c r="Z37" s="221"/>
      <c r="AA37" s="207">
        <f t="shared" si="45"/>
        <v>0</v>
      </c>
      <c r="AB37" s="225"/>
      <c r="AC37" s="697"/>
      <c r="AD37" s="1049">
        <v>10000</v>
      </c>
      <c r="AE37" s="883">
        <v>10000</v>
      </c>
      <c r="AF37" s="883">
        <v>10000</v>
      </c>
      <c r="AG37" s="883">
        <v>10000</v>
      </c>
      <c r="AH37" s="883"/>
      <c r="AI37" s="883">
        <v>10000</v>
      </c>
      <c r="AJ37" s="883"/>
      <c r="AK37" s="1048">
        <f t="shared" si="29"/>
        <v>50000</v>
      </c>
      <c r="AL37" s="698"/>
      <c r="AM37" s="698"/>
      <c r="AN37" s="215">
        <f t="shared" si="54"/>
        <v>210000</v>
      </c>
    </row>
    <row r="38" spans="1:41" ht="30" x14ac:dyDescent="0.25">
      <c r="A38" s="216" t="s">
        <v>490</v>
      </c>
      <c r="B38" s="985"/>
      <c r="C38" s="986"/>
      <c r="D38" s="986"/>
      <c r="E38" s="986"/>
      <c r="F38" s="986"/>
      <c r="G38" s="986"/>
      <c r="H38" s="986"/>
      <c r="I38" s="986"/>
      <c r="J38" s="699"/>
      <c r="K38" s="699"/>
      <c r="L38" s="699"/>
      <c r="M38" s="699"/>
      <c r="N38" s="699"/>
      <c r="O38" s="699"/>
      <c r="P38" s="699"/>
      <c r="Q38" s="728"/>
      <c r="R38" s="728"/>
      <c r="S38" s="728"/>
      <c r="T38" s="1018"/>
      <c r="U38" s="700"/>
      <c r="V38" s="696">
        <f t="shared" si="26"/>
        <v>0</v>
      </c>
      <c r="W38" s="220"/>
      <c r="X38" s="221"/>
      <c r="Y38" s="221"/>
      <c r="Z38" s="221"/>
      <c r="AA38" s="207">
        <f t="shared" si="45"/>
        <v>0</v>
      </c>
      <c r="AB38" s="225">
        <v>500000</v>
      </c>
      <c r="AC38" s="697"/>
      <c r="AD38" s="1049"/>
      <c r="AE38" s="883"/>
      <c r="AF38" s="883"/>
      <c r="AG38" s="883"/>
      <c r="AH38" s="883"/>
      <c r="AI38" s="883"/>
      <c r="AJ38" s="883">
        <v>200000</v>
      </c>
      <c r="AK38" s="1048">
        <f t="shared" si="29"/>
        <v>200000</v>
      </c>
      <c r="AL38" s="698"/>
      <c r="AM38" s="698"/>
      <c r="AN38" s="215">
        <f t="shared" si="54"/>
        <v>700000</v>
      </c>
    </row>
    <row r="39" spans="1:41" ht="15.75" thickBot="1" x14ac:dyDescent="0.3">
      <c r="A39" s="325" t="s">
        <v>299</v>
      </c>
      <c r="B39" s="977">
        <f t="shared" ref="B39:K39" si="55">SUM(B33:B38)</f>
        <v>10000</v>
      </c>
      <c r="C39" s="978">
        <f t="shared" si="55"/>
        <v>0</v>
      </c>
      <c r="D39" s="978">
        <f t="shared" si="55"/>
        <v>10000</v>
      </c>
      <c r="E39" s="978">
        <f t="shared" si="55"/>
        <v>10000</v>
      </c>
      <c r="F39" s="978">
        <f t="shared" si="55"/>
        <v>10000</v>
      </c>
      <c r="G39" s="978">
        <f t="shared" si="55"/>
        <v>10000</v>
      </c>
      <c r="H39" s="978">
        <f t="shared" ref="H39" si="56">SUM(H33:H38)</f>
        <v>10000</v>
      </c>
      <c r="I39" s="978">
        <f t="shared" si="55"/>
        <v>10000</v>
      </c>
      <c r="J39" s="735">
        <f t="shared" si="55"/>
        <v>10000</v>
      </c>
      <c r="K39" s="735">
        <f t="shared" si="55"/>
        <v>0</v>
      </c>
      <c r="L39" s="735">
        <f t="shared" ref="L39:U39" si="57">SUM(L33:L38)</f>
        <v>10000</v>
      </c>
      <c r="M39" s="735">
        <f t="shared" si="57"/>
        <v>10000</v>
      </c>
      <c r="N39" s="735">
        <f t="shared" ref="N39:O39" si="58">SUM(N33:N38)</f>
        <v>10000</v>
      </c>
      <c r="O39" s="735">
        <f t="shared" si="58"/>
        <v>10000</v>
      </c>
      <c r="P39" s="735">
        <f t="shared" si="57"/>
        <v>10000</v>
      </c>
      <c r="Q39" s="734">
        <f t="shared" ref="Q39:R39" si="59">SUM(Q33:Q38)</f>
        <v>10000</v>
      </c>
      <c r="R39" s="734">
        <f t="shared" si="59"/>
        <v>10000</v>
      </c>
      <c r="S39" s="734">
        <f t="shared" si="57"/>
        <v>10000</v>
      </c>
      <c r="T39" s="1026">
        <f t="shared" si="57"/>
        <v>0</v>
      </c>
      <c r="U39" s="736">
        <f t="shared" si="57"/>
        <v>0</v>
      </c>
      <c r="V39" s="737">
        <f t="shared" si="26"/>
        <v>160000</v>
      </c>
      <c r="W39" s="329">
        <f>SUM(W33:W38)</f>
        <v>0</v>
      </c>
      <c r="X39" s="330">
        <f>SUM(X33:X38)</f>
        <v>0</v>
      </c>
      <c r="Y39" s="330">
        <f>SUM(Y33:Y38)</f>
        <v>0</v>
      </c>
      <c r="Z39" s="330">
        <f>SUM(Z33:Z38)</f>
        <v>0</v>
      </c>
      <c r="AA39" s="297">
        <f t="shared" si="45"/>
        <v>0</v>
      </c>
      <c r="AB39" s="336">
        <f t="shared" ref="AB39:AJ39" si="60">SUM(AB33:AB38)</f>
        <v>700000</v>
      </c>
      <c r="AC39" s="738">
        <f t="shared" si="60"/>
        <v>0</v>
      </c>
      <c r="AD39" s="889">
        <f t="shared" si="60"/>
        <v>10000</v>
      </c>
      <c r="AE39" s="889">
        <f t="shared" si="60"/>
        <v>10000</v>
      </c>
      <c r="AF39" s="889">
        <f t="shared" ref="AF39:AI39" si="61">SUM(AF33:AF38)</f>
        <v>10000</v>
      </c>
      <c r="AG39" s="889">
        <f t="shared" si="60"/>
        <v>10000</v>
      </c>
      <c r="AH39" s="889">
        <f t="shared" ref="AH39" si="62">SUM(AH33:AH38)</f>
        <v>0</v>
      </c>
      <c r="AI39" s="889">
        <f t="shared" si="61"/>
        <v>10000</v>
      </c>
      <c r="AJ39" s="889">
        <f t="shared" si="60"/>
        <v>280000</v>
      </c>
      <c r="AK39" s="1058">
        <f t="shared" si="29"/>
        <v>330000</v>
      </c>
      <c r="AL39" s="739">
        <f>SUM(AL33:AL38)</f>
        <v>0</v>
      </c>
      <c r="AM39" s="739">
        <f>SUM(AM33:AM38)</f>
        <v>0</v>
      </c>
      <c r="AN39" s="242">
        <f t="shared" si="54"/>
        <v>1190000</v>
      </c>
    </row>
    <row r="40" spans="1:41" ht="15.75" thickBot="1" x14ac:dyDescent="0.3">
      <c r="A40" s="339" t="s">
        <v>300</v>
      </c>
      <c r="B40" s="965">
        <f t="shared" ref="B40:AM40" si="63">B32+B39</f>
        <v>10000</v>
      </c>
      <c r="C40" s="966">
        <f t="shared" si="63"/>
        <v>0</v>
      </c>
      <c r="D40" s="966">
        <f t="shared" si="63"/>
        <v>10000</v>
      </c>
      <c r="E40" s="966">
        <f t="shared" si="63"/>
        <v>10000</v>
      </c>
      <c r="F40" s="966">
        <f t="shared" si="63"/>
        <v>10000</v>
      </c>
      <c r="G40" s="966">
        <f t="shared" si="63"/>
        <v>10000</v>
      </c>
      <c r="H40" s="966">
        <f t="shared" ref="H40" si="64">H32+H39</f>
        <v>10000</v>
      </c>
      <c r="I40" s="966">
        <f t="shared" si="63"/>
        <v>10000</v>
      </c>
      <c r="J40" s="741">
        <f t="shared" si="63"/>
        <v>10000</v>
      </c>
      <c r="K40" s="741">
        <f t="shared" si="63"/>
        <v>0</v>
      </c>
      <c r="L40" s="741">
        <f t="shared" si="63"/>
        <v>10000</v>
      </c>
      <c r="M40" s="741">
        <f t="shared" si="63"/>
        <v>10000</v>
      </c>
      <c r="N40" s="741">
        <f t="shared" ref="N40:O40" si="65">N32+N39</f>
        <v>10000</v>
      </c>
      <c r="O40" s="741">
        <f t="shared" si="65"/>
        <v>10000</v>
      </c>
      <c r="P40" s="741">
        <f t="shared" si="63"/>
        <v>10000</v>
      </c>
      <c r="Q40" s="740">
        <f t="shared" ref="Q40:R40" si="66">Q32+Q39</f>
        <v>10000</v>
      </c>
      <c r="R40" s="740">
        <f t="shared" si="66"/>
        <v>10000</v>
      </c>
      <c r="S40" s="740">
        <f t="shared" si="63"/>
        <v>10000</v>
      </c>
      <c r="T40" s="1027">
        <f t="shared" si="63"/>
        <v>0</v>
      </c>
      <c r="U40" s="742">
        <f t="shared" si="63"/>
        <v>658000</v>
      </c>
      <c r="V40" s="743">
        <f t="shared" si="63"/>
        <v>818000</v>
      </c>
      <c r="W40" s="410">
        <f t="shared" si="63"/>
        <v>0</v>
      </c>
      <c r="X40" s="343">
        <f t="shared" si="63"/>
        <v>0</v>
      </c>
      <c r="Y40" s="343">
        <f t="shared" ref="Y40" si="67">Y32+Y39</f>
        <v>0</v>
      </c>
      <c r="Z40" s="343">
        <f t="shared" si="63"/>
        <v>0</v>
      </c>
      <c r="AA40" s="249">
        <f t="shared" si="63"/>
        <v>0</v>
      </c>
      <c r="AB40" s="349">
        <f t="shared" si="63"/>
        <v>700000</v>
      </c>
      <c r="AC40" s="744">
        <f t="shared" si="63"/>
        <v>0</v>
      </c>
      <c r="AD40" s="890">
        <f t="shared" si="63"/>
        <v>10000</v>
      </c>
      <c r="AE40" s="890">
        <f t="shared" si="63"/>
        <v>10000</v>
      </c>
      <c r="AF40" s="890">
        <f t="shared" ref="AF40:AI40" si="68">AF32+AF39</f>
        <v>10000</v>
      </c>
      <c r="AG40" s="890">
        <f t="shared" si="63"/>
        <v>10000</v>
      </c>
      <c r="AH40" s="890">
        <f t="shared" ref="AH40" si="69">AH32+AH39</f>
        <v>0</v>
      </c>
      <c r="AI40" s="890">
        <f t="shared" si="68"/>
        <v>10000</v>
      </c>
      <c r="AJ40" s="890">
        <f t="shared" si="63"/>
        <v>608000</v>
      </c>
      <c r="AK40" s="1053">
        <f t="shared" si="63"/>
        <v>658000</v>
      </c>
      <c r="AL40" s="745">
        <f t="shared" si="63"/>
        <v>0</v>
      </c>
      <c r="AM40" s="745">
        <f t="shared" si="63"/>
        <v>0</v>
      </c>
      <c r="AN40" s="202">
        <f t="shared" si="54"/>
        <v>2176000</v>
      </c>
    </row>
    <row r="41" spans="1:41" ht="30" x14ac:dyDescent="0.25">
      <c r="A41" s="352" t="s">
        <v>301</v>
      </c>
      <c r="B41" s="983"/>
      <c r="C41" s="984"/>
      <c r="D41" s="984"/>
      <c r="E41" s="984"/>
      <c r="F41" s="984"/>
      <c r="G41" s="984"/>
      <c r="H41" s="984"/>
      <c r="I41" s="984"/>
      <c r="J41" s="690"/>
      <c r="K41" s="690"/>
      <c r="L41" s="690"/>
      <c r="M41" s="690"/>
      <c r="N41" s="690"/>
      <c r="O41" s="690"/>
      <c r="P41" s="690"/>
      <c r="Q41" s="746"/>
      <c r="R41" s="746"/>
      <c r="S41" s="746"/>
      <c r="T41" s="1017"/>
      <c r="U41" s="691"/>
      <c r="V41" s="747">
        <f t="shared" ref="V41:V46" si="70">SUM(B41:U41)</f>
        <v>0</v>
      </c>
      <c r="W41" s="205"/>
      <c r="X41" s="206"/>
      <c r="Y41" s="206"/>
      <c r="Z41" s="206"/>
      <c r="AA41" s="353">
        <f t="shared" ref="AA41:AA46" si="71">SUM(W41:Z41)</f>
        <v>0</v>
      </c>
      <c r="AB41" s="200"/>
      <c r="AC41" s="748"/>
      <c r="AD41" s="1047"/>
      <c r="AE41" s="882"/>
      <c r="AF41" s="882"/>
      <c r="AG41" s="882"/>
      <c r="AH41" s="882"/>
      <c r="AI41" s="882"/>
      <c r="AJ41" s="882"/>
      <c r="AK41" s="1059">
        <f t="shared" ref="AK41:AK46" si="72">SUM(AD41:AJ41)</f>
        <v>0</v>
      </c>
      <c r="AL41" s="695"/>
      <c r="AM41" s="695"/>
      <c r="AN41" s="202">
        <f t="shared" si="54"/>
        <v>0</v>
      </c>
    </row>
    <row r="42" spans="1:41" ht="45" x14ac:dyDescent="0.25">
      <c r="A42" s="216" t="s">
        <v>471</v>
      </c>
      <c r="B42" s="985"/>
      <c r="C42" s="986"/>
      <c r="D42" s="986"/>
      <c r="E42" s="986"/>
      <c r="F42" s="986"/>
      <c r="G42" s="986"/>
      <c r="H42" s="986"/>
      <c r="I42" s="986"/>
      <c r="J42" s="699"/>
      <c r="K42" s="699"/>
      <c r="L42" s="699"/>
      <c r="M42" s="699"/>
      <c r="N42" s="699"/>
      <c r="O42" s="699"/>
      <c r="P42" s="699"/>
      <c r="Q42" s="728"/>
      <c r="R42" s="728"/>
      <c r="S42" s="728"/>
      <c r="T42" s="1018"/>
      <c r="U42" s="700"/>
      <c r="V42" s="747">
        <f t="shared" si="70"/>
        <v>0</v>
      </c>
      <c r="W42" s="220"/>
      <c r="X42" s="221"/>
      <c r="Y42" s="221"/>
      <c r="Z42" s="221"/>
      <c r="AA42" s="353">
        <f t="shared" si="71"/>
        <v>0</v>
      </c>
      <c r="AB42" s="225"/>
      <c r="AC42" s="697"/>
      <c r="AD42" s="1049"/>
      <c r="AE42" s="883"/>
      <c r="AF42" s="883"/>
      <c r="AG42" s="883"/>
      <c r="AH42" s="883"/>
      <c r="AI42" s="883"/>
      <c r="AJ42" s="883"/>
      <c r="AK42" s="1059">
        <f t="shared" si="72"/>
        <v>0</v>
      </c>
      <c r="AL42" s="698"/>
      <c r="AM42" s="698"/>
      <c r="AN42" s="215">
        <f t="shared" si="54"/>
        <v>0</v>
      </c>
    </row>
    <row r="43" spans="1:41" ht="30" x14ac:dyDescent="0.25">
      <c r="A43" s="216" t="s">
        <v>302</v>
      </c>
      <c r="B43" s="985"/>
      <c r="C43" s="986"/>
      <c r="D43" s="986"/>
      <c r="E43" s="986"/>
      <c r="F43" s="986"/>
      <c r="G43" s="986"/>
      <c r="H43" s="986"/>
      <c r="I43" s="986"/>
      <c r="J43" s="699"/>
      <c r="K43" s="699"/>
      <c r="L43" s="699"/>
      <c r="M43" s="699"/>
      <c r="N43" s="699"/>
      <c r="O43" s="699"/>
      <c r="P43" s="699"/>
      <c r="Q43" s="728"/>
      <c r="R43" s="728"/>
      <c r="S43" s="728"/>
      <c r="T43" s="1018"/>
      <c r="U43" s="700"/>
      <c r="V43" s="747">
        <f t="shared" si="70"/>
        <v>0</v>
      </c>
      <c r="W43" s="220"/>
      <c r="X43" s="221"/>
      <c r="Y43" s="221"/>
      <c r="Z43" s="221"/>
      <c r="AA43" s="353">
        <f t="shared" si="71"/>
        <v>0</v>
      </c>
      <c r="AB43" s="225"/>
      <c r="AC43" s="697"/>
      <c r="AD43" s="1049"/>
      <c r="AE43" s="883"/>
      <c r="AF43" s="883"/>
      <c r="AG43" s="883"/>
      <c r="AH43" s="883"/>
      <c r="AI43" s="883"/>
      <c r="AJ43" s="883"/>
      <c r="AK43" s="1059">
        <f t="shared" si="72"/>
        <v>0</v>
      </c>
      <c r="AL43" s="698"/>
      <c r="AM43" s="698"/>
      <c r="AN43" s="215">
        <f t="shared" si="54"/>
        <v>0</v>
      </c>
    </row>
    <row r="44" spans="1:41" ht="45" x14ac:dyDescent="0.25">
      <c r="A44" s="216" t="s">
        <v>472</v>
      </c>
      <c r="B44" s="985"/>
      <c r="C44" s="986"/>
      <c r="D44" s="986"/>
      <c r="E44" s="986"/>
      <c r="F44" s="986"/>
      <c r="G44" s="986"/>
      <c r="H44" s="986"/>
      <c r="I44" s="986"/>
      <c r="J44" s="699"/>
      <c r="K44" s="699"/>
      <c r="L44" s="699"/>
      <c r="M44" s="699"/>
      <c r="N44" s="699"/>
      <c r="O44" s="699"/>
      <c r="P44" s="699"/>
      <c r="Q44" s="728"/>
      <c r="R44" s="728"/>
      <c r="S44" s="728"/>
      <c r="T44" s="1018"/>
      <c r="U44" s="700"/>
      <c r="V44" s="747">
        <f t="shared" si="70"/>
        <v>0</v>
      </c>
      <c r="W44" s="220"/>
      <c r="X44" s="221"/>
      <c r="Y44" s="221"/>
      <c r="Z44" s="221"/>
      <c r="AA44" s="353">
        <f t="shared" si="71"/>
        <v>0</v>
      </c>
      <c r="AB44" s="225">
        <v>100000</v>
      </c>
      <c r="AC44" s="697"/>
      <c r="AD44" s="1049"/>
      <c r="AE44" s="883"/>
      <c r="AF44" s="883"/>
      <c r="AG44" s="883"/>
      <c r="AH44" s="883"/>
      <c r="AI44" s="883"/>
      <c r="AJ44" s="883">
        <v>40000</v>
      </c>
      <c r="AK44" s="1059">
        <f t="shared" si="72"/>
        <v>40000</v>
      </c>
      <c r="AL44" s="698"/>
      <c r="AM44" s="698"/>
      <c r="AN44" s="215">
        <f t="shared" si="54"/>
        <v>140000</v>
      </c>
    </row>
    <row r="45" spans="1:41" ht="30" x14ac:dyDescent="0.25">
      <c r="A45" s="310" t="s">
        <v>303</v>
      </c>
      <c r="B45" s="955">
        <f t="shared" ref="B45:K45" si="73">SUM(B41:B44)</f>
        <v>0</v>
      </c>
      <c r="C45" s="956">
        <f t="shared" si="73"/>
        <v>0</v>
      </c>
      <c r="D45" s="956">
        <f t="shared" si="73"/>
        <v>0</v>
      </c>
      <c r="E45" s="956">
        <f t="shared" si="73"/>
        <v>0</v>
      </c>
      <c r="F45" s="956">
        <f t="shared" si="73"/>
        <v>0</v>
      </c>
      <c r="G45" s="956">
        <f t="shared" si="73"/>
        <v>0</v>
      </c>
      <c r="H45" s="956">
        <f t="shared" ref="H45" si="74">SUM(H41:H44)</f>
        <v>0</v>
      </c>
      <c r="I45" s="956">
        <f t="shared" si="73"/>
        <v>0</v>
      </c>
      <c r="J45" s="730">
        <f t="shared" si="73"/>
        <v>0</v>
      </c>
      <c r="K45" s="730">
        <f t="shared" si="73"/>
        <v>0</v>
      </c>
      <c r="L45" s="730">
        <f t="shared" ref="L45:U45" si="75">SUM(L41:L44)</f>
        <v>0</v>
      </c>
      <c r="M45" s="730">
        <f t="shared" si="75"/>
        <v>0</v>
      </c>
      <c r="N45" s="730">
        <f t="shared" ref="N45:O45" si="76">SUM(N41:N44)</f>
        <v>0</v>
      </c>
      <c r="O45" s="730">
        <f t="shared" si="76"/>
        <v>0</v>
      </c>
      <c r="P45" s="730">
        <f t="shared" si="75"/>
        <v>0</v>
      </c>
      <c r="Q45" s="729">
        <f t="shared" ref="Q45:R45" si="77">SUM(Q41:Q44)</f>
        <v>0</v>
      </c>
      <c r="R45" s="729">
        <f t="shared" si="77"/>
        <v>0</v>
      </c>
      <c r="S45" s="729">
        <f t="shared" si="75"/>
        <v>0</v>
      </c>
      <c r="T45" s="1025">
        <f t="shared" si="75"/>
        <v>0</v>
      </c>
      <c r="U45" s="731">
        <f t="shared" si="75"/>
        <v>0</v>
      </c>
      <c r="V45" s="749">
        <f t="shared" si="70"/>
        <v>0</v>
      </c>
      <c r="W45" s="314">
        <f>SUM(W41:W44)</f>
        <v>0</v>
      </c>
      <c r="X45" s="315">
        <f>SUM(X41:X44)</f>
        <v>0</v>
      </c>
      <c r="Y45" s="315">
        <f>SUM(Y41:Y44)</f>
        <v>0</v>
      </c>
      <c r="Z45" s="315">
        <f>SUM(Z41:Z44)</f>
        <v>0</v>
      </c>
      <c r="AA45" s="207">
        <f t="shared" si="71"/>
        <v>0</v>
      </c>
      <c r="AB45" s="361">
        <f t="shared" ref="AB45:AJ45" si="78">SUM(AB41:AB44)</f>
        <v>100000</v>
      </c>
      <c r="AC45" s="750">
        <f t="shared" si="78"/>
        <v>0</v>
      </c>
      <c r="AD45" s="891">
        <f t="shared" si="78"/>
        <v>0</v>
      </c>
      <c r="AE45" s="891">
        <f t="shared" si="78"/>
        <v>0</v>
      </c>
      <c r="AF45" s="891">
        <f t="shared" ref="AF45:AI45" si="79">SUM(AF41:AF44)</f>
        <v>0</v>
      </c>
      <c r="AG45" s="891">
        <f t="shared" si="78"/>
        <v>0</v>
      </c>
      <c r="AH45" s="891">
        <f t="shared" ref="AH45" si="80">SUM(AH41:AH44)</f>
        <v>0</v>
      </c>
      <c r="AI45" s="891">
        <f t="shared" si="79"/>
        <v>0</v>
      </c>
      <c r="AJ45" s="891">
        <f t="shared" si="78"/>
        <v>40000</v>
      </c>
      <c r="AK45" s="1059">
        <f t="shared" si="72"/>
        <v>40000</v>
      </c>
      <c r="AL45" s="751">
        <f>SUM(AL41:AL44)</f>
        <v>0</v>
      </c>
      <c r="AM45" s="751">
        <f>SUM(AM41:AM44)</f>
        <v>0</v>
      </c>
      <c r="AN45" s="215">
        <f t="shared" si="54"/>
        <v>140000</v>
      </c>
    </row>
    <row r="46" spans="1:41" s="376" customFormat="1" ht="30.75" thickBot="1" x14ac:dyDescent="0.3">
      <c r="A46" s="325" t="s">
        <v>304</v>
      </c>
      <c r="B46" s="977"/>
      <c r="C46" s="978"/>
      <c r="D46" s="978"/>
      <c r="E46" s="978"/>
      <c r="F46" s="978"/>
      <c r="G46" s="978"/>
      <c r="H46" s="978"/>
      <c r="I46" s="978"/>
      <c r="J46" s="735"/>
      <c r="K46" s="735"/>
      <c r="L46" s="735"/>
      <c r="M46" s="735"/>
      <c r="N46" s="735"/>
      <c r="O46" s="735"/>
      <c r="P46" s="735"/>
      <c r="Q46" s="734"/>
      <c r="R46" s="734"/>
      <c r="S46" s="734"/>
      <c r="T46" s="1026"/>
      <c r="U46" s="736"/>
      <c r="V46" s="749">
        <f t="shared" si="70"/>
        <v>0</v>
      </c>
      <c r="W46" s="364"/>
      <c r="X46" s="365"/>
      <c r="Y46" s="365"/>
      <c r="Z46" s="365"/>
      <c r="AA46" s="469">
        <f t="shared" si="71"/>
        <v>0</v>
      </c>
      <c r="AB46" s="374">
        <v>100000</v>
      </c>
      <c r="AC46" s="752"/>
      <c r="AD46" s="1060"/>
      <c r="AE46" s="892"/>
      <c r="AF46" s="892"/>
      <c r="AG46" s="892"/>
      <c r="AH46" s="892"/>
      <c r="AI46" s="892"/>
      <c r="AJ46" s="892">
        <v>40000</v>
      </c>
      <c r="AK46" s="1061">
        <f t="shared" si="72"/>
        <v>40000</v>
      </c>
      <c r="AL46" s="753"/>
      <c r="AM46" s="753"/>
      <c r="AN46" s="754">
        <f t="shared" si="54"/>
        <v>140000</v>
      </c>
      <c r="AO46" s="1235"/>
    </row>
    <row r="47" spans="1:41" ht="15.75" thickBot="1" x14ac:dyDescent="0.3">
      <c r="A47" s="339" t="s">
        <v>305</v>
      </c>
      <c r="B47" s="965">
        <f t="shared" ref="B47:AM47" si="81">B45+B46</f>
        <v>0</v>
      </c>
      <c r="C47" s="966">
        <f t="shared" si="81"/>
        <v>0</v>
      </c>
      <c r="D47" s="966">
        <f t="shared" si="81"/>
        <v>0</v>
      </c>
      <c r="E47" s="966">
        <f t="shared" si="81"/>
        <v>0</v>
      </c>
      <c r="F47" s="966">
        <f t="shared" si="81"/>
        <v>0</v>
      </c>
      <c r="G47" s="966">
        <f t="shared" si="81"/>
        <v>0</v>
      </c>
      <c r="H47" s="966">
        <f t="shared" ref="H47" si="82">H45+H46</f>
        <v>0</v>
      </c>
      <c r="I47" s="966">
        <f t="shared" si="81"/>
        <v>0</v>
      </c>
      <c r="J47" s="741">
        <f t="shared" si="81"/>
        <v>0</v>
      </c>
      <c r="K47" s="741">
        <f t="shared" si="81"/>
        <v>0</v>
      </c>
      <c r="L47" s="741">
        <f t="shared" si="81"/>
        <v>0</v>
      </c>
      <c r="M47" s="741">
        <f t="shared" si="81"/>
        <v>0</v>
      </c>
      <c r="N47" s="741">
        <f t="shared" ref="N47:O47" si="83">N45+N46</f>
        <v>0</v>
      </c>
      <c r="O47" s="741">
        <f t="shared" si="83"/>
        <v>0</v>
      </c>
      <c r="P47" s="741">
        <f t="shared" si="81"/>
        <v>0</v>
      </c>
      <c r="Q47" s="740">
        <f t="shared" ref="Q47:R47" si="84">Q45+Q46</f>
        <v>0</v>
      </c>
      <c r="R47" s="740">
        <f t="shared" si="84"/>
        <v>0</v>
      </c>
      <c r="S47" s="740">
        <f t="shared" si="81"/>
        <v>0</v>
      </c>
      <c r="T47" s="1027">
        <f t="shared" si="81"/>
        <v>0</v>
      </c>
      <c r="U47" s="742">
        <f t="shared" si="81"/>
        <v>0</v>
      </c>
      <c r="V47" s="743">
        <f t="shared" si="81"/>
        <v>0</v>
      </c>
      <c r="W47" s="410">
        <f t="shared" si="81"/>
        <v>0</v>
      </c>
      <c r="X47" s="343">
        <f t="shared" si="81"/>
        <v>0</v>
      </c>
      <c r="Y47" s="343">
        <f t="shared" ref="Y47" si="85">Y45+Y46</f>
        <v>0</v>
      </c>
      <c r="Z47" s="343">
        <f t="shared" si="81"/>
        <v>0</v>
      </c>
      <c r="AA47" s="249">
        <f t="shared" si="81"/>
        <v>0</v>
      </c>
      <c r="AB47" s="349">
        <f t="shared" si="81"/>
        <v>200000</v>
      </c>
      <c r="AC47" s="744">
        <f t="shared" si="81"/>
        <v>0</v>
      </c>
      <c r="AD47" s="890">
        <f t="shared" si="81"/>
        <v>0</v>
      </c>
      <c r="AE47" s="890">
        <f t="shared" si="81"/>
        <v>0</v>
      </c>
      <c r="AF47" s="890">
        <f t="shared" ref="AF47:AI47" si="86">AF45+AF46</f>
        <v>0</v>
      </c>
      <c r="AG47" s="890">
        <f t="shared" si="81"/>
        <v>0</v>
      </c>
      <c r="AH47" s="890">
        <f t="shared" ref="AH47" si="87">AH45+AH46</f>
        <v>0</v>
      </c>
      <c r="AI47" s="890">
        <f t="shared" si="86"/>
        <v>0</v>
      </c>
      <c r="AJ47" s="890">
        <f t="shared" si="81"/>
        <v>80000</v>
      </c>
      <c r="AK47" s="1053">
        <f t="shared" si="81"/>
        <v>80000</v>
      </c>
      <c r="AL47" s="745">
        <f t="shared" si="81"/>
        <v>0</v>
      </c>
      <c r="AM47" s="745">
        <f t="shared" si="81"/>
        <v>0</v>
      </c>
      <c r="AN47" s="202">
        <f t="shared" si="54"/>
        <v>280000</v>
      </c>
    </row>
    <row r="48" spans="1:41" x14ac:dyDescent="0.25">
      <c r="A48" s="306" t="s">
        <v>306</v>
      </c>
      <c r="B48" s="1000"/>
      <c r="C48" s="1001"/>
      <c r="D48" s="1001"/>
      <c r="E48" s="1001"/>
      <c r="F48" s="1001"/>
      <c r="G48" s="1001"/>
      <c r="H48" s="1001"/>
      <c r="I48" s="1001"/>
      <c r="J48" s="721"/>
      <c r="K48" s="721"/>
      <c r="L48" s="721"/>
      <c r="M48" s="721"/>
      <c r="N48" s="721"/>
      <c r="O48" s="721"/>
      <c r="P48" s="721"/>
      <c r="Q48" s="727"/>
      <c r="R48" s="727"/>
      <c r="S48" s="727"/>
      <c r="T48" s="1023"/>
      <c r="U48" s="722"/>
      <c r="V48" s="692">
        <f>SUM(B48:U48)</f>
        <v>0</v>
      </c>
      <c r="W48" s="190"/>
      <c r="X48" s="191"/>
      <c r="Y48" s="191"/>
      <c r="Z48" s="191"/>
      <c r="AA48" s="192">
        <f>SUM(W48:Z48)</f>
        <v>0</v>
      </c>
      <c r="AB48" s="755">
        <v>185000</v>
      </c>
      <c r="AC48" s="756"/>
      <c r="AD48" s="1045"/>
      <c r="AE48" s="881"/>
      <c r="AF48" s="881"/>
      <c r="AG48" s="881"/>
      <c r="AH48" s="881"/>
      <c r="AI48" s="881"/>
      <c r="AJ48" s="881">
        <v>75000</v>
      </c>
      <c r="AK48" s="1046">
        <f>SUM(AD48:AJ48)</f>
        <v>75000</v>
      </c>
      <c r="AL48" s="694"/>
      <c r="AM48" s="694"/>
      <c r="AN48" s="202">
        <f t="shared" si="54"/>
        <v>260000</v>
      </c>
    </row>
    <row r="49" spans="1:40" x14ac:dyDescent="0.25">
      <c r="A49" s="216" t="s">
        <v>307</v>
      </c>
      <c r="B49" s="985"/>
      <c r="C49" s="986"/>
      <c r="D49" s="986"/>
      <c r="E49" s="986"/>
      <c r="F49" s="986"/>
      <c r="G49" s="986"/>
      <c r="H49" s="986"/>
      <c r="I49" s="986"/>
      <c r="J49" s="699"/>
      <c r="K49" s="699"/>
      <c r="L49" s="699"/>
      <c r="M49" s="699"/>
      <c r="N49" s="699"/>
      <c r="O49" s="699"/>
      <c r="P49" s="699"/>
      <c r="Q49" s="728"/>
      <c r="R49" s="728"/>
      <c r="S49" s="728"/>
      <c r="T49" s="1018"/>
      <c r="U49" s="700"/>
      <c r="V49" s="696">
        <f t="shared" ref="V49:V62" si="88">SUM(B49:U49)</f>
        <v>0</v>
      </c>
      <c r="W49" s="220"/>
      <c r="X49" s="221"/>
      <c r="Y49" s="221"/>
      <c r="Z49" s="221"/>
      <c r="AA49" s="207">
        <f t="shared" ref="AA49:AA62" si="89">SUM(W49:Z49)</f>
        <v>0</v>
      </c>
      <c r="AB49" s="757">
        <v>970000</v>
      </c>
      <c r="AC49" s="758"/>
      <c r="AD49" s="1049"/>
      <c r="AE49" s="883"/>
      <c r="AF49" s="883"/>
      <c r="AG49" s="883"/>
      <c r="AH49" s="883"/>
      <c r="AI49" s="883"/>
      <c r="AJ49" s="883">
        <v>390000</v>
      </c>
      <c r="AK49" s="1048">
        <f t="shared" ref="AK49:AK62" si="90">SUM(AD49:AJ49)</f>
        <v>390000</v>
      </c>
      <c r="AL49" s="698"/>
      <c r="AM49" s="698"/>
      <c r="AN49" s="215">
        <f t="shared" si="54"/>
        <v>1360000</v>
      </c>
    </row>
    <row r="50" spans="1:40" ht="30" x14ac:dyDescent="0.25">
      <c r="A50" s="216" t="s">
        <v>308</v>
      </c>
      <c r="B50" s="985"/>
      <c r="C50" s="986"/>
      <c r="D50" s="986"/>
      <c r="E50" s="986"/>
      <c r="F50" s="986"/>
      <c r="G50" s="986"/>
      <c r="H50" s="986"/>
      <c r="I50" s="986"/>
      <c r="J50" s="699"/>
      <c r="K50" s="699"/>
      <c r="L50" s="699"/>
      <c r="M50" s="699"/>
      <c r="N50" s="699"/>
      <c r="O50" s="699"/>
      <c r="P50" s="699"/>
      <c r="Q50" s="728"/>
      <c r="R50" s="728"/>
      <c r="S50" s="728"/>
      <c r="T50" s="1018"/>
      <c r="U50" s="700"/>
      <c r="V50" s="696">
        <f t="shared" si="88"/>
        <v>0</v>
      </c>
      <c r="W50" s="220"/>
      <c r="X50" s="221"/>
      <c r="Y50" s="221"/>
      <c r="Z50" s="221"/>
      <c r="AA50" s="207">
        <f t="shared" si="89"/>
        <v>0</v>
      </c>
      <c r="AB50" s="757"/>
      <c r="AC50" s="758"/>
      <c r="AD50" s="1049"/>
      <c r="AE50" s="883"/>
      <c r="AF50" s="883"/>
      <c r="AG50" s="883"/>
      <c r="AH50" s="883"/>
      <c r="AI50" s="883"/>
      <c r="AJ50" s="883"/>
      <c r="AK50" s="1048">
        <f t="shared" si="90"/>
        <v>0</v>
      </c>
      <c r="AL50" s="698"/>
      <c r="AM50" s="698"/>
      <c r="AN50" s="215">
        <f t="shared" si="54"/>
        <v>0</v>
      </c>
    </row>
    <row r="51" spans="1:40" x14ac:dyDescent="0.25">
      <c r="A51" s="216" t="s">
        <v>309</v>
      </c>
      <c r="B51" s="985"/>
      <c r="C51" s="986"/>
      <c r="D51" s="986"/>
      <c r="E51" s="986"/>
      <c r="F51" s="986"/>
      <c r="G51" s="986"/>
      <c r="H51" s="986"/>
      <c r="I51" s="986"/>
      <c r="J51" s="699"/>
      <c r="K51" s="699"/>
      <c r="L51" s="699"/>
      <c r="M51" s="699"/>
      <c r="N51" s="699"/>
      <c r="O51" s="699"/>
      <c r="P51" s="699"/>
      <c r="Q51" s="728"/>
      <c r="R51" s="728"/>
      <c r="S51" s="728"/>
      <c r="T51" s="1018"/>
      <c r="U51" s="700"/>
      <c r="V51" s="696">
        <f t="shared" si="88"/>
        <v>0</v>
      </c>
      <c r="W51" s="220"/>
      <c r="X51" s="221"/>
      <c r="Y51" s="221"/>
      <c r="Z51" s="221"/>
      <c r="AA51" s="207">
        <f t="shared" si="89"/>
        <v>0</v>
      </c>
      <c r="AB51" s="757">
        <v>325000</v>
      </c>
      <c r="AC51" s="758"/>
      <c r="AD51" s="1049"/>
      <c r="AE51" s="883"/>
      <c r="AF51" s="883"/>
      <c r="AG51" s="883"/>
      <c r="AH51" s="883"/>
      <c r="AI51" s="883"/>
      <c r="AJ51" s="883">
        <v>130000</v>
      </c>
      <c r="AK51" s="1048">
        <f t="shared" si="90"/>
        <v>130000</v>
      </c>
      <c r="AL51" s="698"/>
      <c r="AM51" s="698"/>
      <c r="AN51" s="215">
        <f t="shared" si="54"/>
        <v>455000</v>
      </c>
    </row>
    <row r="52" spans="1:40" x14ac:dyDescent="0.25">
      <c r="A52" s="310" t="s">
        <v>310</v>
      </c>
      <c r="B52" s="955">
        <f t="shared" ref="B52:K52" si="91">SUM(B48:B51)</f>
        <v>0</v>
      </c>
      <c r="C52" s="956">
        <f t="shared" si="91"/>
        <v>0</v>
      </c>
      <c r="D52" s="956">
        <f t="shared" si="91"/>
        <v>0</v>
      </c>
      <c r="E52" s="956">
        <f t="shared" si="91"/>
        <v>0</v>
      </c>
      <c r="F52" s="956">
        <f t="shared" si="91"/>
        <v>0</v>
      </c>
      <c r="G52" s="956">
        <f t="shared" si="91"/>
        <v>0</v>
      </c>
      <c r="H52" s="956">
        <f t="shared" ref="H52" si="92">SUM(H48:H51)</f>
        <v>0</v>
      </c>
      <c r="I52" s="956">
        <f t="shared" si="91"/>
        <v>0</v>
      </c>
      <c r="J52" s="730">
        <f t="shared" si="91"/>
        <v>0</v>
      </c>
      <c r="K52" s="730">
        <f t="shared" si="91"/>
        <v>0</v>
      </c>
      <c r="L52" s="730">
        <f t="shared" ref="L52:U52" si="93">SUM(L48:L51)</f>
        <v>0</v>
      </c>
      <c r="M52" s="730">
        <f t="shared" si="93"/>
        <v>0</v>
      </c>
      <c r="N52" s="730">
        <f t="shared" ref="N52:O52" si="94">SUM(N48:N51)</f>
        <v>0</v>
      </c>
      <c r="O52" s="730">
        <f t="shared" si="94"/>
        <v>0</v>
      </c>
      <c r="P52" s="730">
        <f t="shared" si="93"/>
        <v>0</v>
      </c>
      <c r="Q52" s="729">
        <f t="shared" ref="Q52:R52" si="95">SUM(Q48:Q51)</f>
        <v>0</v>
      </c>
      <c r="R52" s="729">
        <f t="shared" si="95"/>
        <v>0</v>
      </c>
      <c r="S52" s="729">
        <f t="shared" si="93"/>
        <v>0</v>
      </c>
      <c r="T52" s="1025">
        <f t="shared" si="93"/>
        <v>0</v>
      </c>
      <c r="U52" s="731">
        <f t="shared" si="93"/>
        <v>0</v>
      </c>
      <c r="V52" s="732">
        <f t="shared" si="88"/>
        <v>0</v>
      </c>
      <c r="W52" s="314">
        <f t="shared" ref="W52:AJ52" si="96">SUM(W48:W51)</f>
        <v>0</v>
      </c>
      <c r="X52" s="315">
        <f t="shared" si="96"/>
        <v>0</v>
      </c>
      <c r="Y52" s="315">
        <f t="shared" ref="Y52" si="97">SUM(Y48:Y51)</f>
        <v>0</v>
      </c>
      <c r="Z52" s="315">
        <f t="shared" si="96"/>
        <v>0</v>
      </c>
      <c r="AA52" s="380">
        <f t="shared" si="89"/>
        <v>0</v>
      </c>
      <c r="AB52" s="759">
        <f t="shared" si="96"/>
        <v>1480000</v>
      </c>
      <c r="AC52" s="760">
        <f t="shared" si="96"/>
        <v>0</v>
      </c>
      <c r="AD52" s="891">
        <f t="shared" si="96"/>
        <v>0</v>
      </c>
      <c r="AE52" s="891">
        <f t="shared" si="96"/>
        <v>0</v>
      </c>
      <c r="AF52" s="891">
        <f t="shared" ref="AF52:AI52" si="98">SUM(AF48:AF51)</f>
        <v>0</v>
      </c>
      <c r="AG52" s="891">
        <f t="shared" si="96"/>
        <v>0</v>
      </c>
      <c r="AH52" s="891">
        <f t="shared" ref="AH52" si="99">SUM(AH48:AH51)</f>
        <v>0</v>
      </c>
      <c r="AI52" s="891">
        <f t="shared" si="98"/>
        <v>0</v>
      </c>
      <c r="AJ52" s="891">
        <f t="shared" si="96"/>
        <v>595000</v>
      </c>
      <c r="AK52" s="1048">
        <f t="shared" si="90"/>
        <v>595000</v>
      </c>
      <c r="AL52" s="751">
        <f>SUM(AL48:AL51)</f>
        <v>0</v>
      </c>
      <c r="AM52" s="751">
        <f>SUM(AM48:AM51)</f>
        <v>0</v>
      </c>
      <c r="AN52" s="215">
        <f t="shared" si="54"/>
        <v>2075000</v>
      </c>
    </row>
    <row r="53" spans="1:40" x14ac:dyDescent="0.25">
      <c r="A53" s="310" t="s">
        <v>311</v>
      </c>
      <c r="B53" s="955"/>
      <c r="C53" s="956"/>
      <c r="D53" s="956"/>
      <c r="E53" s="956"/>
      <c r="F53" s="956"/>
      <c r="G53" s="956"/>
      <c r="H53" s="956"/>
      <c r="I53" s="956"/>
      <c r="J53" s="730"/>
      <c r="K53" s="730"/>
      <c r="L53" s="730"/>
      <c r="M53" s="730"/>
      <c r="N53" s="730"/>
      <c r="O53" s="730"/>
      <c r="P53" s="730"/>
      <c r="Q53" s="729"/>
      <c r="R53" s="729"/>
      <c r="S53" s="729"/>
      <c r="T53" s="1025"/>
      <c r="U53" s="731"/>
      <c r="V53" s="696">
        <f t="shared" si="88"/>
        <v>0</v>
      </c>
      <c r="W53" s="220"/>
      <c r="X53" s="221"/>
      <c r="Y53" s="221"/>
      <c r="Z53" s="221"/>
      <c r="AA53" s="207">
        <f t="shared" si="89"/>
        <v>0</v>
      </c>
      <c r="AB53" s="761"/>
      <c r="AC53" s="762"/>
      <c r="AD53" s="1049"/>
      <c r="AE53" s="883"/>
      <c r="AF53" s="883"/>
      <c r="AG53" s="883"/>
      <c r="AH53" s="883"/>
      <c r="AI53" s="883"/>
      <c r="AJ53" s="883"/>
      <c r="AK53" s="1048">
        <f t="shared" si="90"/>
        <v>0</v>
      </c>
      <c r="AL53" s="763"/>
      <c r="AM53" s="763"/>
      <c r="AN53" s="215">
        <f t="shared" si="54"/>
        <v>0</v>
      </c>
    </row>
    <row r="54" spans="1:40" x14ac:dyDescent="0.25">
      <c r="A54" s="310" t="s">
        <v>312</v>
      </c>
      <c r="B54" s="955"/>
      <c r="C54" s="956"/>
      <c r="D54" s="956"/>
      <c r="E54" s="956"/>
      <c r="F54" s="956"/>
      <c r="G54" s="956"/>
      <c r="H54" s="956"/>
      <c r="I54" s="956"/>
      <c r="J54" s="730"/>
      <c r="K54" s="730"/>
      <c r="L54" s="730"/>
      <c r="M54" s="730"/>
      <c r="N54" s="730"/>
      <c r="O54" s="730"/>
      <c r="P54" s="730"/>
      <c r="Q54" s="729"/>
      <c r="R54" s="729"/>
      <c r="S54" s="729"/>
      <c r="T54" s="1025"/>
      <c r="U54" s="731"/>
      <c r="V54" s="696">
        <f t="shared" si="88"/>
        <v>0</v>
      </c>
      <c r="W54" s="220"/>
      <c r="X54" s="221"/>
      <c r="Y54" s="221"/>
      <c r="Z54" s="221"/>
      <c r="AA54" s="207">
        <f t="shared" si="89"/>
        <v>0</v>
      </c>
      <c r="AB54" s="761"/>
      <c r="AC54" s="762"/>
      <c r="AD54" s="1049"/>
      <c r="AE54" s="883"/>
      <c r="AF54" s="883"/>
      <c r="AG54" s="883"/>
      <c r="AH54" s="883"/>
      <c r="AI54" s="883"/>
      <c r="AJ54" s="883"/>
      <c r="AK54" s="1048">
        <f t="shared" si="90"/>
        <v>0</v>
      </c>
      <c r="AL54" s="763"/>
      <c r="AM54" s="763"/>
      <c r="AN54" s="215">
        <f t="shared" si="54"/>
        <v>0</v>
      </c>
    </row>
    <row r="55" spans="1:40" ht="47.25" customHeight="1" x14ac:dyDescent="0.25">
      <c r="A55" s="310" t="s">
        <v>313</v>
      </c>
      <c r="B55" s="955"/>
      <c r="C55" s="956"/>
      <c r="D55" s="956"/>
      <c r="E55" s="956"/>
      <c r="F55" s="956"/>
      <c r="G55" s="956"/>
      <c r="H55" s="956"/>
      <c r="I55" s="956"/>
      <c r="J55" s="730"/>
      <c r="K55" s="730"/>
      <c r="L55" s="730"/>
      <c r="M55" s="730"/>
      <c r="N55" s="730"/>
      <c r="O55" s="730"/>
      <c r="P55" s="730"/>
      <c r="Q55" s="729"/>
      <c r="R55" s="729"/>
      <c r="S55" s="729"/>
      <c r="T55" s="1025"/>
      <c r="U55" s="731"/>
      <c r="V55" s="696">
        <f t="shared" si="88"/>
        <v>0</v>
      </c>
      <c r="W55" s="220"/>
      <c r="X55" s="221"/>
      <c r="Y55" s="221"/>
      <c r="Z55" s="221"/>
      <c r="AA55" s="207">
        <f t="shared" si="89"/>
        <v>0</v>
      </c>
      <c r="AB55" s="761">
        <f>200000</f>
        <v>200000</v>
      </c>
      <c r="AC55" s="762"/>
      <c r="AD55" s="1049"/>
      <c r="AE55" s="883"/>
      <c r="AF55" s="883"/>
      <c r="AG55" s="883"/>
      <c r="AH55" s="883"/>
      <c r="AI55" s="883"/>
      <c r="AJ55" s="883">
        <v>80000</v>
      </c>
      <c r="AK55" s="1048">
        <f t="shared" si="90"/>
        <v>80000</v>
      </c>
      <c r="AL55" s="763"/>
      <c r="AM55" s="763"/>
      <c r="AN55" s="215">
        <f t="shared" si="54"/>
        <v>280000</v>
      </c>
    </row>
    <row r="56" spans="1:40" ht="30" x14ac:dyDescent="0.25">
      <c r="A56" s="216" t="s">
        <v>491</v>
      </c>
      <c r="B56" s="985"/>
      <c r="C56" s="986"/>
      <c r="D56" s="986"/>
      <c r="E56" s="986"/>
      <c r="F56" s="986"/>
      <c r="G56" s="986"/>
      <c r="H56" s="986"/>
      <c r="I56" s="986"/>
      <c r="J56" s="699"/>
      <c r="K56" s="699"/>
      <c r="L56" s="699"/>
      <c r="M56" s="699"/>
      <c r="N56" s="699"/>
      <c r="O56" s="699"/>
      <c r="P56" s="699"/>
      <c r="Q56" s="728"/>
      <c r="R56" s="728"/>
      <c r="S56" s="728"/>
      <c r="T56" s="1018"/>
      <c r="U56" s="700"/>
      <c r="V56" s="696">
        <f t="shared" si="88"/>
        <v>0</v>
      </c>
      <c r="W56" s="220"/>
      <c r="X56" s="221"/>
      <c r="Y56" s="221"/>
      <c r="Z56" s="221"/>
      <c r="AA56" s="207">
        <f t="shared" si="89"/>
        <v>0</v>
      </c>
      <c r="AB56" s="757">
        <v>1730000</v>
      </c>
      <c r="AC56" s="758"/>
      <c r="AD56" s="1049"/>
      <c r="AE56" s="883"/>
      <c r="AF56" s="883"/>
      <c r="AG56" s="883"/>
      <c r="AH56" s="883"/>
      <c r="AI56" s="883"/>
      <c r="AJ56" s="883"/>
      <c r="AK56" s="1048">
        <f t="shared" si="90"/>
        <v>0</v>
      </c>
      <c r="AL56" s="698"/>
      <c r="AM56" s="698"/>
      <c r="AN56" s="215">
        <f t="shared" si="54"/>
        <v>1730000</v>
      </c>
    </row>
    <row r="57" spans="1:40" ht="30" x14ac:dyDescent="0.25">
      <c r="A57" s="216" t="s">
        <v>315</v>
      </c>
      <c r="B57" s="985"/>
      <c r="C57" s="986"/>
      <c r="D57" s="986"/>
      <c r="E57" s="986"/>
      <c r="F57" s="986"/>
      <c r="G57" s="986"/>
      <c r="H57" s="986"/>
      <c r="I57" s="986"/>
      <c r="J57" s="699"/>
      <c r="K57" s="699"/>
      <c r="L57" s="699"/>
      <c r="M57" s="699"/>
      <c r="N57" s="699"/>
      <c r="O57" s="699"/>
      <c r="P57" s="699"/>
      <c r="Q57" s="728"/>
      <c r="R57" s="728"/>
      <c r="S57" s="728"/>
      <c r="T57" s="1018"/>
      <c r="U57" s="700"/>
      <c r="V57" s="696">
        <f t="shared" si="88"/>
        <v>0</v>
      </c>
      <c r="W57" s="220"/>
      <c r="X57" s="221"/>
      <c r="Y57" s="221"/>
      <c r="Z57" s="221"/>
      <c r="AA57" s="207">
        <f t="shared" si="89"/>
        <v>0</v>
      </c>
      <c r="AB57" s="757"/>
      <c r="AC57" s="758"/>
      <c r="AD57" s="1049"/>
      <c r="AE57" s="883"/>
      <c r="AF57" s="883"/>
      <c r="AG57" s="883"/>
      <c r="AH57" s="883"/>
      <c r="AI57" s="883"/>
      <c r="AJ57" s="883"/>
      <c r="AK57" s="1048">
        <f t="shared" si="90"/>
        <v>0</v>
      </c>
      <c r="AL57" s="698"/>
      <c r="AM57" s="698"/>
      <c r="AN57" s="215">
        <f t="shared" si="54"/>
        <v>0</v>
      </c>
    </row>
    <row r="58" spans="1:40" x14ac:dyDescent="0.25">
      <c r="A58" s="310" t="s">
        <v>316</v>
      </c>
      <c r="B58" s="955">
        <f t="shared" ref="B58:K58" si="100">SUM(B56:B57)</f>
        <v>0</v>
      </c>
      <c r="C58" s="956">
        <f t="shared" si="100"/>
        <v>0</v>
      </c>
      <c r="D58" s="956">
        <f t="shared" si="100"/>
        <v>0</v>
      </c>
      <c r="E58" s="956">
        <f t="shared" si="100"/>
        <v>0</v>
      </c>
      <c r="F58" s="956">
        <f t="shared" si="100"/>
        <v>0</v>
      </c>
      <c r="G58" s="956">
        <f t="shared" si="100"/>
        <v>0</v>
      </c>
      <c r="H58" s="956">
        <f t="shared" ref="H58" si="101">SUM(H56:H57)</f>
        <v>0</v>
      </c>
      <c r="I58" s="956">
        <f t="shared" si="100"/>
        <v>0</v>
      </c>
      <c r="J58" s="730">
        <f t="shared" si="100"/>
        <v>0</v>
      </c>
      <c r="K58" s="730">
        <f t="shared" si="100"/>
        <v>0</v>
      </c>
      <c r="L58" s="730">
        <f t="shared" ref="L58:U58" si="102">SUM(L56:L57)</f>
        <v>0</v>
      </c>
      <c r="M58" s="730">
        <f t="shared" si="102"/>
        <v>0</v>
      </c>
      <c r="N58" s="730">
        <f t="shared" ref="N58:O58" si="103">SUM(N56:N57)</f>
        <v>0</v>
      </c>
      <c r="O58" s="730">
        <f t="shared" si="103"/>
        <v>0</v>
      </c>
      <c r="P58" s="730">
        <f t="shared" si="102"/>
        <v>0</v>
      </c>
      <c r="Q58" s="729">
        <f t="shared" ref="Q58:R58" si="104">SUM(Q56:Q57)</f>
        <v>0</v>
      </c>
      <c r="R58" s="729">
        <f t="shared" si="104"/>
        <v>0</v>
      </c>
      <c r="S58" s="729">
        <f t="shared" si="102"/>
        <v>0</v>
      </c>
      <c r="T58" s="1025">
        <f t="shared" si="102"/>
        <v>0</v>
      </c>
      <c r="U58" s="731">
        <f t="shared" si="102"/>
        <v>0</v>
      </c>
      <c r="V58" s="732">
        <f t="shared" si="88"/>
        <v>0</v>
      </c>
      <c r="W58" s="314">
        <f>SUM(W56:W57)</f>
        <v>0</v>
      </c>
      <c r="X58" s="315">
        <f>SUM(X56:X57)</f>
        <v>0</v>
      </c>
      <c r="Y58" s="315">
        <f>SUM(Y56:Y57)</f>
        <v>0</v>
      </c>
      <c r="Z58" s="315">
        <f>SUM(Z56:Z57)</f>
        <v>0</v>
      </c>
      <c r="AA58" s="207">
        <f t="shared" si="89"/>
        <v>0</v>
      </c>
      <c r="AB58" s="764">
        <f>AB56+AB57</f>
        <v>1730000</v>
      </c>
      <c r="AC58" s="750">
        <f>AC56+AC57</f>
        <v>0</v>
      </c>
      <c r="AD58" s="891">
        <f t="shared" ref="AD58:AJ58" si="105">SUM(AD56:AD57)</f>
        <v>0</v>
      </c>
      <c r="AE58" s="891">
        <f t="shared" si="105"/>
        <v>0</v>
      </c>
      <c r="AF58" s="891">
        <f t="shared" si="105"/>
        <v>0</v>
      </c>
      <c r="AG58" s="891">
        <f t="shared" si="105"/>
        <v>0</v>
      </c>
      <c r="AH58" s="891">
        <f t="shared" si="105"/>
        <v>0</v>
      </c>
      <c r="AI58" s="891">
        <f t="shared" si="105"/>
        <v>0</v>
      </c>
      <c r="AJ58" s="891">
        <f t="shared" si="105"/>
        <v>0</v>
      </c>
      <c r="AK58" s="1048">
        <f t="shared" si="90"/>
        <v>0</v>
      </c>
      <c r="AL58" s="751">
        <f>AL56+AL57</f>
        <v>0</v>
      </c>
      <c r="AM58" s="751">
        <f>AM56+AM57</f>
        <v>0</v>
      </c>
      <c r="AN58" s="215">
        <f t="shared" si="54"/>
        <v>1730000</v>
      </c>
    </row>
    <row r="59" spans="1:40" ht="45" x14ac:dyDescent="0.25">
      <c r="A59" s="216" t="s">
        <v>473</v>
      </c>
      <c r="B59" s="985"/>
      <c r="C59" s="986"/>
      <c r="D59" s="986"/>
      <c r="E59" s="986"/>
      <c r="F59" s="986"/>
      <c r="G59" s="986"/>
      <c r="H59" s="986"/>
      <c r="I59" s="986"/>
      <c r="J59" s="699"/>
      <c r="K59" s="699"/>
      <c r="L59" s="699"/>
      <c r="M59" s="699"/>
      <c r="N59" s="699"/>
      <c r="O59" s="699"/>
      <c r="P59" s="699"/>
      <c r="Q59" s="728"/>
      <c r="R59" s="728"/>
      <c r="S59" s="728"/>
      <c r="T59" s="1018"/>
      <c r="U59" s="700">
        <v>235000</v>
      </c>
      <c r="V59" s="696">
        <f t="shared" si="88"/>
        <v>235000</v>
      </c>
      <c r="W59" s="220"/>
      <c r="X59" s="221">
        <f>120000*12-869963</f>
        <v>570037</v>
      </c>
      <c r="Y59" s="221">
        <f>120000*12</f>
        <v>1440000</v>
      </c>
      <c r="Z59" s="221"/>
      <c r="AA59" s="207">
        <f t="shared" si="89"/>
        <v>2010037</v>
      </c>
      <c r="AB59" s="757"/>
      <c r="AC59" s="758"/>
      <c r="AD59" s="1049"/>
      <c r="AE59" s="883"/>
      <c r="AF59" s="883"/>
      <c r="AG59" s="883"/>
      <c r="AH59" s="883"/>
      <c r="AI59" s="883"/>
      <c r="AJ59" s="883"/>
      <c r="AK59" s="1048">
        <f t="shared" si="90"/>
        <v>0</v>
      </c>
      <c r="AL59" s="698"/>
      <c r="AM59" s="698"/>
      <c r="AN59" s="215">
        <f t="shared" si="54"/>
        <v>2245037</v>
      </c>
    </row>
    <row r="60" spans="1:40" x14ac:dyDescent="0.25">
      <c r="A60" s="216" t="s">
        <v>474</v>
      </c>
      <c r="B60" s="985"/>
      <c r="C60" s="986"/>
      <c r="D60" s="986"/>
      <c r="E60" s="986"/>
      <c r="F60" s="986"/>
      <c r="G60" s="986"/>
      <c r="H60" s="986"/>
      <c r="I60" s="986"/>
      <c r="J60" s="699"/>
      <c r="K60" s="699"/>
      <c r="L60" s="699"/>
      <c r="M60" s="699"/>
      <c r="N60" s="699"/>
      <c r="O60" s="699"/>
      <c r="P60" s="699"/>
      <c r="Q60" s="728"/>
      <c r="R60" s="728"/>
      <c r="S60" s="728"/>
      <c r="T60" s="1018"/>
      <c r="U60" s="700"/>
      <c r="V60" s="696">
        <f t="shared" si="88"/>
        <v>0</v>
      </c>
      <c r="W60" s="220"/>
      <c r="X60" s="221"/>
      <c r="Y60" s="221"/>
      <c r="Z60" s="221"/>
      <c r="AA60" s="207">
        <f t="shared" si="89"/>
        <v>0</v>
      </c>
      <c r="AB60" s="757"/>
      <c r="AC60" s="758"/>
      <c r="AD60" s="1049"/>
      <c r="AE60" s="883"/>
      <c r="AF60" s="883"/>
      <c r="AG60" s="883"/>
      <c r="AH60" s="883"/>
      <c r="AI60" s="883"/>
      <c r="AJ60" s="883"/>
      <c r="AK60" s="1048">
        <f t="shared" si="90"/>
        <v>0</v>
      </c>
      <c r="AL60" s="698"/>
      <c r="AM60" s="698"/>
      <c r="AN60" s="215">
        <f t="shared" si="54"/>
        <v>0</v>
      </c>
    </row>
    <row r="61" spans="1:40" ht="30" x14ac:dyDescent="0.25">
      <c r="A61" s="310" t="s">
        <v>317</v>
      </c>
      <c r="B61" s="955">
        <f t="shared" ref="B61:K61" si="106">SUM(B59:B60)</f>
        <v>0</v>
      </c>
      <c r="C61" s="956">
        <f t="shared" si="106"/>
        <v>0</v>
      </c>
      <c r="D61" s="956">
        <f t="shared" si="106"/>
        <v>0</v>
      </c>
      <c r="E61" s="956">
        <f t="shared" si="106"/>
        <v>0</v>
      </c>
      <c r="F61" s="956">
        <f t="shared" si="106"/>
        <v>0</v>
      </c>
      <c r="G61" s="956">
        <f t="shared" si="106"/>
        <v>0</v>
      </c>
      <c r="H61" s="956">
        <f t="shared" ref="H61" si="107">SUM(H59:H60)</f>
        <v>0</v>
      </c>
      <c r="I61" s="956">
        <f t="shared" si="106"/>
        <v>0</v>
      </c>
      <c r="J61" s="730">
        <f t="shared" si="106"/>
        <v>0</v>
      </c>
      <c r="K61" s="730">
        <f t="shared" si="106"/>
        <v>0</v>
      </c>
      <c r="L61" s="730">
        <f t="shared" ref="L61:U61" si="108">SUM(L59:L60)</f>
        <v>0</v>
      </c>
      <c r="M61" s="730">
        <f t="shared" si="108"/>
        <v>0</v>
      </c>
      <c r="N61" s="730">
        <f t="shared" ref="N61:O61" si="109">SUM(N59:N60)</f>
        <v>0</v>
      </c>
      <c r="O61" s="730">
        <f t="shared" si="109"/>
        <v>0</v>
      </c>
      <c r="P61" s="730">
        <f t="shared" si="108"/>
        <v>0</v>
      </c>
      <c r="Q61" s="729">
        <f t="shared" ref="Q61:R61" si="110">SUM(Q59:Q60)</f>
        <v>0</v>
      </c>
      <c r="R61" s="729">
        <f t="shared" si="110"/>
        <v>0</v>
      </c>
      <c r="S61" s="729">
        <f t="shared" si="108"/>
        <v>0</v>
      </c>
      <c r="T61" s="1025">
        <f t="shared" si="108"/>
        <v>0</v>
      </c>
      <c r="U61" s="731">
        <f t="shared" si="108"/>
        <v>235000</v>
      </c>
      <c r="V61" s="732">
        <f t="shared" si="88"/>
        <v>235000</v>
      </c>
      <c r="W61" s="314">
        <f t="shared" ref="W61:AJ61" si="111">SUM(W59:W60)</f>
        <v>0</v>
      </c>
      <c r="X61" s="315">
        <f t="shared" si="111"/>
        <v>570037</v>
      </c>
      <c r="Y61" s="315">
        <f t="shared" ref="Y61" si="112">SUM(Y59:Y60)</f>
        <v>1440000</v>
      </c>
      <c r="Z61" s="315">
        <f t="shared" si="111"/>
        <v>0</v>
      </c>
      <c r="AA61" s="207">
        <f t="shared" si="89"/>
        <v>2010037</v>
      </c>
      <c r="AB61" s="759">
        <f t="shared" si="111"/>
        <v>0</v>
      </c>
      <c r="AC61" s="760">
        <f t="shared" si="111"/>
        <v>0</v>
      </c>
      <c r="AD61" s="891">
        <f t="shared" si="111"/>
        <v>0</v>
      </c>
      <c r="AE61" s="891">
        <f t="shared" si="111"/>
        <v>0</v>
      </c>
      <c r="AF61" s="891">
        <f t="shared" ref="AF61:AI61" si="113">SUM(AF59:AF60)</f>
        <v>0</v>
      </c>
      <c r="AG61" s="891">
        <f t="shared" si="111"/>
        <v>0</v>
      </c>
      <c r="AH61" s="891">
        <f t="shared" ref="AH61" si="114">SUM(AH59:AH60)</f>
        <v>0</v>
      </c>
      <c r="AI61" s="891">
        <f t="shared" si="113"/>
        <v>0</v>
      </c>
      <c r="AJ61" s="891">
        <f t="shared" si="111"/>
        <v>0</v>
      </c>
      <c r="AK61" s="1048">
        <f t="shared" si="90"/>
        <v>0</v>
      </c>
      <c r="AL61" s="751">
        <f>SUM(AL59:AL60)</f>
        <v>0</v>
      </c>
      <c r="AM61" s="751">
        <f>SUM(AM59:AM60)</f>
        <v>0</v>
      </c>
      <c r="AN61" s="215">
        <f t="shared" si="54"/>
        <v>2245037</v>
      </c>
    </row>
    <row r="62" spans="1:40" ht="75.75" thickBot="1" x14ac:dyDescent="0.3">
      <c r="A62" s="325" t="s">
        <v>495</v>
      </c>
      <c r="B62" s="977"/>
      <c r="C62" s="978"/>
      <c r="D62" s="978"/>
      <c r="E62" s="978"/>
      <c r="F62" s="978"/>
      <c r="G62" s="978"/>
      <c r="H62" s="978"/>
      <c r="I62" s="978"/>
      <c r="J62" s="735"/>
      <c r="K62" s="735"/>
      <c r="L62" s="735"/>
      <c r="M62" s="735"/>
      <c r="N62" s="735"/>
      <c r="O62" s="735"/>
      <c r="P62" s="735"/>
      <c r="Q62" s="734"/>
      <c r="R62" s="734"/>
      <c r="S62" s="734"/>
      <c r="T62" s="1026"/>
      <c r="U62" s="736"/>
      <c r="V62" s="703">
        <f t="shared" si="88"/>
        <v>0</v>
      </c>
      <c r="W62" s="230"/>
      <c r="X62" s="231"/>
      <c r="Y62" s="231"/>
      <c r="Z62" s="231"/>
      <c r="AA62" s="297">
        <f t="shared" si="89"/>
        <v>0</v>
      </c>
      <c r="AB62" s="765">
        <v>500000</v>
      </c>
      <c r="AC62" s="766"/>
      <c r="AD62" s="1050"/>
      <c r="AE62" s="884"/>
      <c r="AF62" s="884"/>
      <c r="AG62" s="884"/>
      <c r="AH62" s="884"/>
      <c r="AI62" s="884"/>
      <c r="AJ62" s="884">
        <v>200000</v>
      </c>
      <c r="AK62" s="1051">
        <f t="shared" si="90"/>
        <v>200000</v>
      </c>
      <c r="AL62" s="753"/>
      <c r="AM62" s="753"/>
      <c r="AN62" s="242">
        <f t="shared" si="54"/>
        <v>700000</v>
      </c>
    </row>
    <row r="63" spans="1:40" ht="16.5" thickBot="1" x14ac:dyDescent="0.3">
      <c r="A63" s="393" t="s">
        <v>318</v>
      </c>
      <c r="B63" s="1004">
        <f t="shared" ref="B63:AJ63" si="115">B52+B53+B54+B55+B58+B61+B62</f>
        <v>0</v>
      </c>
      <c r="C63" s="1005">
        <f t="shared" si="115"/>
        <v>0</v>
      </c>
      <c r="D63" s="1005">
        <f t="shared" si="115"/>
        <v>0</v>
      </c>
      <c r="E63" s="1005">
        <f t="shared" si="115"/>
        <v>0</v>
      </c>
      <c r="F63" s="1005">
        <f t="shared" si="115"/>
        <v>0</v>
      </c>
      <c r="G63" s="1005">
        <f t="shared" si="115"/>
        <v>0</v>
      </c>
      <c r="H63" s="1005">
        <f t="shared" ref="H63" si="116">H52+H53+H54+H55+H58+H61+H62</f>
        <v>0</v>
      </c>
      <c r="I63" s="1005">
        <f t="shared" si="115"/>
        <v>0</v>
      </c>
      <c r="J63" s="768">
        <f t="shared" si="115"/>
        <v>0</v>
      </c>
      <c r="K63" s="768">
        <f t="shared" si="115"/>
        <v>0</v>
      </c>
      <c r="L63" s="768">
        <f t="shared" si="115"/>
        <v>0</v>
      </c>
      <c r="M63" s="768">
        <f t="shared" si="115"/>
        <v>0</v>
      </c>
      <c r="N63" s="768">
        <f t="shared" ref="N63:O63" si="117">N52+N53+N54+N55+N58+N61+N62</f>
        <v>0</v>
      </c>
      <c r="O63" s="768">
        <f t="shared" si="117"/>
        <v>0</v>
      </c>
      <c r="P63" s="768">
        <f t="shared" si="115"/>
        <v>0</v>
      </c>
      <c r="Q63" s="767">
        <f t="shared" ref="Q63:R63" si="118">Q52+Q53+Q54+Q55+Q58+Q61+Q62</f>
        <v>0</v>
      </c>
      <c r="R63" s="767">
        <f t="shared" si="118"/>
        <v>0</v>
      </c>
      <c r="S63" s="767">
        <f t="shared" si="115"/>
        <v>0</v>
      </c>
      <c r="T63" s="1028">
        <f t="shared" si="115"/>
        <v>0</v>
      </c>
      <c r="U63" s="769">
        <f t="shared" si="115"/>
        <v>235000</v>
      </c>
      <c r="V63" s="770">
        <f t="shared" si="115"/>
        <v>235000</v>
      </c>
      <c r="W63" s="397">
        <f t="shared" si="115"/>
        <v>0</v>
      </c>
      <c r="X63" s="398">
        <f t="shared" si="115"/>
        <v>570037</v>
      </c>
      <c r="Y63" s="398">
        <f t="shared" ref="Y63" si="119">Y52+Y53+Y54+Y55+Y58+Y61+Y62</f>
        <v>1440000</v>
      </c>
      <c r="Z63" s="398">
        <f t="shared" si="115"/>
        <v>0</v>
      </c>
      <c r="AA63" s="399">
        <f t="shared" si="115"/>
        <v>2010037</v>
      </c>
      <c r="AB63" s="771">
        <f t="shared" si="115"/>
        <v>3910000</v>
      </c>
      <c r="AC63" s="772">
        <f t="shared" si="115"/>
        <v>0</v>
      </c>
      <c r="AD63" s="893">
        <f t="shared" si="115"/>
        <v>0</v>
      </c>
      <c r="AE63" s="893">
        <f t="shared" si="115"/>
        <v>0</v>
      </c>
      <c r="AF63" s="893">
        <f t="shared" ref="AF63:AI63" si="120">AF52+AF53+AF54+AF55+AF58+AF61+AF62</f>
        <v>0</v>
      </c>
      <c r="AG63" s="893">
        <f t="shared" si="115"/>
        <v>0</v>
      </c>
      <c r="AH63" s="893">
        <f t="shared" ref="AH63" si="121">AH52+AH53+AH54+AH55+AH58+AH61+AH62</f>
        <v>0</v>
      </c>
      <c r="AI63" s="893">
        <f t="shared" si="120"/>
        <v>0</v>
      </c>
      <c r="AJ63" s="893">
        <f t="shared" si="115"/>
        <v>875000</v>
      </c>
      <c r="AK63" s="1062">
        <f>AK52+AK53+AK54+AK55+AK58+AK61+AK62</f>
        <v>875000</v>
      </c>
      <c r="AL63" s="773">
        <f>AL52+AL53+AL54+AL55+AL58+AL61+AL62</f>
        <v>0</v>
      </c>
      <c r="AM63" s="773">
        <f>AM52+AM53+AM54+AM55+AM58+AM61+AM62</f>
        <v>0</v>
      </c>
      <c r="AN63" s="202">
        <f t="shared" si="54"/>
        <v>7030037</v>
      </c>
    </row>
    <row r="64" spans="1:40" ht="30" x14ac:dyDescent="0.25">
      <c r="A64" s="352" t="s">
        <v>319</v>
      </c>
      <c r="B64" s="983"/>
      <c r="C64" s="984"/>
      <c r="D64" s="984"/>
      <c r="E64" s="984"/>
      <c r="F64" s="984"/>
      <c r="G64" s="984"/>
      <c r="H64" s="984"/>
      <c r="I64" s="984"/>
      <c r="J64" s="690"/>
      <c r="K64" s="690"/>
      <c r="L64" s="690"/>
      <c r="M64" s="690"/>
      <c r="N64" s="690"/>
      <c r="O64" s="690"/>
      <c r="P64" s="690"/>
      <c r="Q64" s="746"/>
      <c r="R64" s="746"/>
      <c r="S64" s="746"/>
      <c r="T64" s="1017"/>
      <c r="U64" s="691">
        <v>50000</v>
      </c>
      <c r="V64" s="747">
        <f>SUM(B64:U64)</f>
        <v>50000</v>
      </c>
      <c r="W64" s="205"/>
      <c r="X64" s="206"/>
      <c r="Y64" s="206"/>
      <c r="Z64" s="206"/>
      <c r="AA64" s="353">
        <f>SUM(W64:Z64)</f>
        <v>0</v>
      </c>
      <c r="AB64" s="200"/>
      <c r="AC64" s="748"/>
      <c r="AD64" s="1047"/>
      <c r="AE64" s="882"/>
      <c r="AF64" s="882"/>
      <c r="AG64" s="882"/>
      <c r="AH64" s="882"/>
      <c r="AI64" s="882"/>
      <c r="AJ64" s="882">
        <v>20000</v>
      </c>
      <c r="AK64" s="1059">
        <f>SUM(AD64:AJ64)</f>
        <v>20000</v>
      </c>
      <c r="AL64" s="695"/>
      <c r="AM64" s="695"/>
      <c r="AN64" s="202">
        <f t="shared" si="54"/>
        <v>70000</v>
      </c>
    </row>
    <row r="65" spans="1:40" x14ac:dyDescent="0.25">
      <c r="A65" s="216" t="s">
        <v>320</v>
      </c>
      <c r="B65" s="985"/>
      <c r="C65" s="986"/>
      <c r="D65" s="986"/>
      <c r="E65" s="986"/>
      <c r="F65" s="986"/>
      <c r="G65" s="986"/>
      <c r="H65" s="986"/>
      <c r="I65" s="986"/>
      <c r="J65" s="699"/>
      <c r="K65" s="699"/>
      <c r="L65" s="699"/>
      <c r="M65" s="699"/>
      <c r="N65" s="699"/>
      <c r="O65" s="699"/>
      <c r="P65" s="699"/>
      <c r="Q65" s="728"/>
      <c r="R65" s="728"/>
      <c r="S65" s="728"/>
      <c r="T65" s="1018"/>
      <c r="U65" s="700"/>
      <c r="V65" s="747">
        <f>SUM(B65:U65)</f>
        <v>0</v>
      </c>
      <c r="W65" s="220"/>
      <c r="X65" s="221"/>
      <c r="Y65" s="221"/>
      <c r="Z65" s="221"/>
      <c r="AA65" s="353">
        <f>SUM(W65:Z65)</f>
        <v>0</v>
      </c>
      <c r="AB65" s="225"/>
      <c r="AC65" s="697"/>
      <c r="AD65" s="1049"/>
      <c r="AE65" s="883"/>
      <c r="AF65" s="883"/>
      <c r="AG65" s="883"/>
      <c r="AH65" s="883"/>
      <c r="AI65" s="883"/>
      <c r="AJ65" s="883"/>
      <c r="AK65" s="1059">
        <f>SUM(AD65:AJ65)</f>
        <v>0</v>
      </c>
      <c r="AL65" s="698"/>
      <c r="AM65" s="698"/>
      <c r="AN65" s="215">
        <f t="shared" si="54"/>
        <v>0</v>
      </c>
    </row>
    <row r="66" spans="1:40" x14ac:dyDescent="0.25">
      <c r="A66" s="310" t="s">
        <v>321</v>
      </c>
      <c r="B66" s="955">
        <f t="shared" ref="B66:K66" si="122">SUM(B64:B65)</f>
        <v>0</v>
      </c>
      <c r="C66" s="956">
        <f t="shared" si="122"/>
        <v>0</v>
      </c>
      <c r="D66" s="956">
        <f t="shared" si="122"/>
        <v>0</v>
      </c>
      <c r="E66" s="956">
        <f t="shared" si="122"/>
        <v>0</v>
      </c>
      <c r="F66" s="956">
        <f t="shared" si="122"/>
        <v>0</v>
      </c>
      <c r="G66" s="956">
        <f t="shared" si="122"/>
        <v>0</v>
      </c>
      <c r="H66" s="956">
        <f t="shared" ref="H66" si="123">SUM(H64:H65)</f>
        <v>0</v>
      </c>
      <c r="I66" s="956">
        <f t="shared" si="122"/>
        <v>0</v>
      </c>
      <c r="J66" s="730">
        <f t="shared" si="122"/>
        <v>0</v>
      </c>
      <c r="K66" s="730">
        <f t="shared" si="122"/>
        <v>0</v>
      </c>
      <c r="L66" s="730">
        <f t="shared" ref="L66:U66" si="124">SUM(L64:L65)</f>
        <v>0</v>
      </c>
      <c r="M66" s="730">
        <f t="shared" si="124"/>
        <v>0</v>
      </c>
      <c r="N66" s="730">
        <f t="shared" ref="N66:O66" si="125">SUM(N64:N65)</f>
        <v>0</v>
      </c>
      <c r="O66" s="730">
        <f t="shared" si="125"/>
        <v>0</v>
      </c>
      <c r="P66" s="730">
        <f t="shared" si="124"/>
        <v>0</v>
      </c>
      <c r="Q66" s="729">
        <f t="shared" ref="Q66:R66" si="126">SUM(Q64:Q65)</f>
        <v>0</v>
      </c>
      <c r="R66" s="729">
        <f t="shared" si="126"/>
        <v>0</v>
      </c>
      <c r="S66" s="729">
        <f t="shared" si="124"/>
        <v>0</v>
      </c>
      <c r="T66" s="1025">
        <f t="shared" si="124"/>
        <v>0</v>
      </c>
      <c r="U66" s="731">
        <f t="shared" si="124"/>
        <v>50000</v>
      </c>
      <c r="V66" s="749">
        <f>SUM(B66:U66)</f>
        <v>50000</v>
      </c>
      <c r="W66" s="314">
        <f t="shared" ref="W66:AJ66" si="127">SUM(W64:W65)</f>
        <v>0</v>
      </c>
      <c r="X66" s="315">
        <f t="shared" si="127"/>
        <v>0</v>
      </c>
      <c r="Y66" s="315">
        <f t="shared" ref="Y66" si="128">SUM(Y64:Y65)</f>
        <v>0</v>
      </c>
      <c r="Z66" s="315">
        <f t="shared" si="127"/>
        <v>0</v>
      </c>
      <c r="AA66" s="469">
        <f>SUM(W66:Z66)</f>
        <v>0</v>
      </c>
      <c r="AB66" s="322">
        <f t="shared" si="127"/>
        <v>0</v>
      </c>
      <c r="AC66" s="733">
        <f t="shared" si="127"/>
        <v>0</v>
      </c>
      <c r="AD66" s="891">
        <f t="shared" si="127"/>
        <v>0</v>
      </c>
      <c r="AE66" s="891">
        <f t="shared" si="127"/>
        <v>0</v>
      </c>
      <c r="AF66" s="891">
        <f t="shared" ref="AF66:AI66" si="129">SUM(AF64:AF65)</f>
        <v>0</v>
      </c>
      <c r="AG66" s="891">
        <f t="shared" si="127"/>
        <v>0</v>
      </c>
      <c r="AH66" s="891">
        <f t="shared" ref="AH66" si="130">SUM(AH64:AH65)</f>
        <v>0</v>
      </c>
      <c r="AI66" s="891">
        <f t="shared" si="129"/>
        <v>0</v>
      </c>
      <c r="AJ66" s="891">
        <f t="shared" si="127"/>
        <v>20000</v>
      </c>
      <c r="AK66" s="1059">
        <f>SUM(AD66:AJ66)</f>
        <v>20000</v>
      </c>
      <c r="AL66" s="381">
        <f>SUM(AL64:AL65)</f>
        <v>0</v>
      </c>
      <c r="AM66" s="381">
        <f>SUM(AM64:AM65)</f>
        <v>0</v>
      </c>
      <c r="AN66" s="215">
        <f t="shared" si="54"/>
        <v>70000</v>
      </c>
    </row>
    <row r="67" spans="1:40" ht="15.75" thickBot="1" x14ac:dyDescent="0.3">
      <c r="A67" s="325" t="s">
        <v>322</v>
      </c>
      <c r="B67" s="977"/>
      <c r="C67" s="978"/>
      <c r="D67" s="978"/>
      <c r="E67" s="978"/>
      <c r="F67" s="978"/>
      <c r="G67" s="978"/>
      <c r="H67" s="978"/>
      <c r="I67" s="978"/>
      <c r="J67" s="735"/>
      <c r="K67" s="735"/>
      <c r="L67" s="735"/>
      <c r="M67" s="735"/>
      <c r="N67" s="735"/>
      <c r="O67" s="735"/>
      <c r="P67" s="735"/>
      <c r="Q67" s="734"/>
      <c r="R67" s="734"/>
      <c r="S67" s="734"/>
      <c r="T67" s="1026"/>
      <c r="U67" s="736"/>
      <c r="V67" s="747">
        <f>SUM(B67:U67)</f>
        <v>0</v>
      </c>
      <c r="W67" s="230"/>
      <c r="X67" s="231"/>
      <c r="Y67" s="231"/>
      <c r="Z67" s="231"/>
      <c r="AA67" s="353">
        <f>SUM(W67:Z67)</f>
        <v>0</v>
      </c>
      <c r="AB67" s="374"/>
      <c r="AC67" s="752"/>
      <c r="AD67" s="1050"/>
      <c r="AE67" s="884"/>
      <c r="AF67" s="884"/>
      <c r="AG67" s="884"/>
      <c r="AH67" s="884"/>
      <c r="AI67" s="884"/>
      <c r="AJ67" s="884"/>
      <c r="AK67" s="1059">
        <f>SUM(AD67:AJ67)</f>
        <v>0</v>
      </c>
      <c r="AL67" s="753"/>
      <c r="AM67" s="753"/>
      <c r="AN67" s="242">
        <f t="shared" si="54"/>
        <v>0</v>
      </c>
    </row>
    <row r="68" spans="1:40" ht="30.75" thickBot="1" x14ac:dyDescent="0.3">
      <c r="A68" s="339" t="s">
        <v>323</v>
      </c>
      <c r="B68" s="965">
        <f t="shared" ref="B68:AJ68" si="131">B66+B67</f>
        <v>0</v>
      </c>
      <c r="C68" s="966">
        <f t="shared" si="131"/>
        <v>0</v>
      </c>
      <c r="D68" s="966">
        <f t="shared" si="131"/>
        <v>0</v>
      </c>
      <c r="E68" s="966">
        <f t="shared" si="131"/>
        <v>0</v>
      </c>
      <c r="F68" s="966">
        <f t="shared" si="131"/>
        <v>0</v>
      </c>
      <c r="G68" s="966">
        <f t="shared" si="131"/>
        <v>0</v>
      </c>
      <c r="H68" s="966">
        <f t="shared" ref="H68" si="132">H66+H67</f>
        <v>0</v>
      </c>
      <c r="I68" s="966">
        <f t="shared" si="131"/>
        <v>0</v>
      </c>
      <c r="J68" s="741">
        <f t="shared" si="131"/>
        <v>0</v>
      </c>
      <c r="K68" s="741">
        <f t="shared" si="131"/>
        <v>0</v>
      </c>
      <c r="L68" s="741">
        <f t="shared" si="131"/>
        <v>0</v>
      </c>
      <c r="M68" s="741">
        <f t="shared" si="131"/>
        <v>0</v>
      </c>
      <c r="N68" s="741">
        <f t="shared" ref="N68:O68" si="133">N66+N67</f>
        <v>0</v>
      </c>
      <c r="O68" s="741">
        <f t="shared" si="133"/>
        <v>0</v>
      </c>
      <c r="P68" s="741">
        <f t="shared" si="131"/>
        <v>0</v>
      </c>
      <c r="Q68" s="740">
        <f t="shared" ref="Q68:R68" si="134">Q66+Q67</f>
        <v>0</v>
      </c>
      <c r="R68" s="740">
        <f t="shared" si="134"/>
        <v>0</v>
      </c>
      <c r="S68" s="740">
        <f t="shared" si="131"/>
        <v>0</v>
      </c>
      <c r="T68" s="1027">
        <f t="shared" si="131"/>
        <v>0</v>
      </c>
      <c r="U68" s="742">
        <f t="shared" si="131"/>
        <v>50000</v>
      </c>
      <c r="V68" s="743">
        <f t="shared" si="131"/>
        <v>50000</v>
      </c>
      <c r="W68" s="410">
        <f t="shared" si="131"/>
        <v>0</v>
      </c>
      <c r="X68" s="343">
        <f t="shared" si="131"/>
        <v>0</v>
      </c>
      <c r="Y68" s="343">
        <f t="shared" ref="Y68" si="135">Y66+Y67</f>
        <v>0</v>
      </c>
      <c r="Z68" s="343">
        <f t="shared" si="131"/>
        <v>0</v>
      </c>
      <c r="AA68" s="249">
        <f t="shared" si="131"/>
        <v>0</v>
      </c>
      <c r="AB68" s="349">
        <f t="shared" si="131"/>
        <v>0</v>
      </c>
      <c r="AC68" s="744">
        <f t="shared" si="131"/>
        <v>0</v>
      </c>
      <c r="AD68" s="890">
        <f t="shared" si="131"/>
        <v>0</v>
      </c>
      <c r="AE68" s="890">
        <f t="shared" si="131"/>
        <v>0</v>
      </c>
      <c r="AF68" s="890">
        <f t="shared" ref="AF68:AI68" si="136">AF66+AF67</f>
        <v>0</v>
      </c>
      <c r="AG68" s="890">
        <f t="shared" si="131"/>
        <v>0</v>
      </c>
      <c r="AH68" s="890">
        <f t="shared" ref="AH68" si="137">AH66+AH67</f>
        <v>0</v>
      </c>
      <c r="AI68" s="890">
        <f t="shared" si="136"/>
        <v>0</v>
      </c>
      <c r="AJ68" s="890">
        <f t="shared" si="131"/>
        <v>20000</v>
      </c>
      <c r="AK68" s="1053">
        <f>AK66+AK67</f>
        <v>20000</v>
      </c>
      <c r="AL68" s="745">
        <f>AL66+AL67</f>
        <v>0</v>
      </c>
      <c r="AM68" s="745">
        <f>AM66+AM67</f>
        <v>0</v>
      </c>
      <c r="AN68" s="202">
        <f t="shared" ref="AN68:AN99" si="138">V68+AA68+AC68+AL68+AM68+AK68+AB68</f>
        <v>70000</v>
      </c>
    </row>
    <row r="69" spans="1:40" x14ac:dyDescent="0.25">
      <c r="A69" s="411" t="s">
        <v>324</v>
      </c>
      <c r="B69" s="953">
        <v>2700</v>
      </c>
      <c r="C69" s="954"/>
      <c r="D69" s="954">
        <v>2700</v>
      </c>
      <c r="E69" s="954">
        <v>2700</v>
      </c>
      <c r="F69" s="954">
        <v>2700</v>
      </c>
      <c r="G69" s="954">
        <v>2700</v>
      </c>
      <c r="H69" s="954">
        <v>2700</v>
      </c>
      <c r="I69" s="954">
        <v>2700</v>
      </c>
      <c r="J69" s="775">
        <v>2700</v>
      </c>
      <c r="K69" s="775"/>
      <c r="L69" s="775">
        <v>2700</v>
      </c>
      <c r="M69" s="775">
        <v>2700</v>
      </c>
      <c r="N69" s="775">
        <v>2700</v>
      </c>
      <c r="O69" s="775">
        <v>2700</v>
      </c>
      <c r="P69" s="775">
        <v>2700</v>
      </c>
      <c r="Q69" s="774">
        <v>2700</v>
      </c>
      <c r="R69" s="774">
        <v>2700</v>
      </c>
      <c r="S69" s="774">
        <v>2700</v>
      </c>
      <c r="T69" s="1029"/>
      <c r="U69" s="776">
        <f>U40*27%</f>
        <v>177660</v>
      </c>
      <c r="V69" s="777">
        <f>SUM(B69:U69)</f>
        <v>220860</v>
      </c>
      <c r="W69" s="416"/>
      <c r="X69" s="417"/>
      <c r="Y69" s="417"/>
      <c r="Z69" s="417"/>
      <c r="AA69" s="353">
        <f>SUM(W69:Z69)</f>
        <v>0</v>
      </c>
      <c r="AB69" s="423">
        <f>(AB40+AB47+AB63)*27%</f>
        <v>1298700</v>
      </c>
      <c r="AC69" s="778"/>
      <c r="AD69" s="1063">
        <v>2700</v>
      </c>
      <c r="AE69" s="894">
        <v>2700</v>
      </c>
      <c r="AF69" s="894">
        <v>2700</v>
      </c>
      <c r="AG69" s="894">
        <v>2700</v>
      </c>
      <c r="AH69" s="894"/>
      <c r="AI69" s="894">
        <v>2700</v>
      </c>
      <c r="AJ69" s="894">
        <f>(AJ40+AJ47+AJ63)*27%</f>
        <v>422010</v>
      </c>
      <c r="AK69" s="1059">
        <f>SUM(AD69:AJ69)</f>
        <v>435510</v>
      </c>
      <c r="AL69" s="779"/>
      <c r="AM69" s="779"/>
      <c r="AN69" s="202">
        <f t="shared" si="138"/>
        <v>1955070</v>
      </c>
    </row>
    <row r="70" spans="1:40" x14ac:dyDescent="0.25">
      <c r="A70" s="310" t="s">
        <v>325</v>
      </c>
      <c r="B70" s="955"/>
      <c r="C70" s="956"/>
      <c r="D70" s="956"/>
      <c r="E70" s="956"/>
      <c r="F70" s="956"/>
      <c r="G70" s="956"/>
      <c r="H70" s="956"/>
      <c r="I70" s="956"/>
      <c r="J70" s="730"/>
      <c r="K70" s="730"/>
      <c r="L70" s="730"/>
      <c r="M70" s="730"/>
      <c r="N70" s="730"/>
      <c r="O70" s="730"/>
      <c r="P70" s="730"/>
      <c r="Q70" s="729"/>
      <c r="R70" s="729"/>
      <c r="S70" s="729"/>
      <c r="T70" s="1025"/>
      <c r="U70" s="731"/>
      <c r="V70" s="777">
        <f t="shared" ref="V70:V78" si="139">SUM(B70:U70)</f>
        <v>0</v>
      </c>
      <c r="W70" s="427"/>
      <c r="X70" s="428"/>
      <c r="Y70" s="428"/>
      <c r="Z70" s="428"/>
      <c r="AA70" s="353">
        <f t="shared" ref="AA70:AA78" si="140">SUM(W70:Z70)</f>
        <v>0</v>
      </c>
      <c r="AB70" s="387"/>
      <c r="AC70" s="780"/>
      <c r="AD70" s="1064"/>
      <c r="AE70" s="895"/>
      <c r="AF70" s="895"/>
      <c r="AG70" s="895"/>
      <c r="AH70" s="895"/>
      <c r="AI70" s="895"/>
      <c r="AJ70" s="895"/>
      <c r="AK70" s="1059">
        <f t="shared" ref="AK70:AK78" si="141">SUM(AD70:AJ70)</f>
        <v>0</v>
      </c>
      <c r="AL70" s="763"/>
      <c r="AM70" s="763"/>
      <c r="AN70" s="215">
        <f t="shared" si="138"/>
        <v>0</v>
      </c>
    </row>
    <row r="71" spans="1:40" x14ac:dyDescent="0.25">
      <c r="A71" s="216" t="s">
        <v>326</v>
      </c>
      <c r="B71" s="985"/>
      <c r="C71" s="986"/>
      <c r="D71" s="986"/>
      <c r="E71" s="986"/>
      <c r="F71" s="986"/>
      <c r="G71" s="986"/>
      <c r="H71" s="986"/>
      <c r="I71" s="986"/>
      <c r="J71" s="699"/>
      <c r="K71" s="699"/>
      <c r="L71" s="699"/>
      <c r="M71" s="699"/>
      <c r="N71" s="699"/>
      <c r="O71" s="699"/>
      <c r="P71" s="699"/>
      <c r="Q71" s="728"/>
      <c r="R71" s="728"/>
      <c r="S71" s="728"/>
      <c r="T71" s="1018"/>
      <c r="U71" s="700"/>
      <c r="V71" s="777">
        <f t="shared" si="139"/>
        <v>0</v>
      </c>
      <c r="W71" s="220"/>
      <c r="X71" s="221"/>
      <c r="Y71" s="221"/>
      <c r="Z71" s="221"/>
      <c r="AA71" s="353">
        <f t="shared" si="140"/>
        <v>0</v>
      </c>
      <c r="AB71" s="225"/>
      <c r="AC71" s="697"/>
      <c r="AD71" s="1049"/>
      <c r="AE71" s="883"/>
      <c r="AF71" s="883"/>
      <c r="AG71" s="883"/>
      <c r="AH71" s="883"/>
      <c r="AI71" s="883"/>
      <c r="AJ71" s="883"/>
      <c r="AK71" s="1059">
        <f t="shared" si="141"/>
        <v>0</v>
      </c>
      <c r="AL71" s="698"/>
      <c r="AM71" s="698"/>
      <c r="AN71" s="215">
        <f t="shared" si="138"/>
        <v>0</v>
      </c>
    </row>
    <row r="72" spans="1:40" x14ac:dyDescent="0.25">
      <c r="A72" s="310" t="s">
        <v>327</v>
      </c>
      <c r="B72" s="955">
        <f t="shared" ref="B72:U72" si="142">B71</f>
        <v>0</v>
      </c>
      <c r="C72" s="956">
        <f t="shared" si="142"/>
        <v>0</v>
      </c>
      <c r="D72" s="956">
        <f t="shared" si="142"/>
        <v>0</v>
      </c>
      <c r="E72" s="956">
        <f t="shared" si="142"/>
        <v>0</v>
      </c>
      <c r="F72" s="956">
        <f t="shared" si="142"/>
        <v>0</v>
      </c>
      <c r="G72" s="956">
        <f t="shared" si="142"/>
        <v>0</v>
      </c>
      <c r="H72" s="956">
        <f t="shared" ref="H72" si="143">H71</f>
        <v>0</v>
      </c>
      <c r="I72" s="956">
        <f t="shared" si="142"/>
        <v>0</v>
      </c>
      <c r="J72" s="730">
        <f t="shared" si="142"/>
        <v>0</v>
      </c>
      <c r="K72" s="730">
        <f t="shared" si="142"/>
        <v>0</v>
      </c>
      <c r="L72" s="730">
        <f t="shared" si="142"/>
        <v>0</v>
      </c>
      <c r="M72" s="730">
        <f t="shared" si="142"/>
        <v>0</v>
      </c>
      <c r="N72" s="730">
        <f t="shared" ref="N72:O72" si="144">N71</f>
        <v>0</v>
      </c>
      <c r="O72" s="730">
        <f t="shared" si="144"/>
        <v>0</v>
      </c>
      <c r="P72" s="730">
        <f t="shared" si="142"/>
        <v>0</v>
      </c>
      <c r="Q72" s="729">
        <f t="shared" ref="Q72:R72" si="145">Q71</f>
        <v>0</v>
      </c>
      <c r="R72" s="729">
        <f t="shared" si="145"/>
        <v>0</v>
      </c>
      <c r="S72" s="729">
        <f t="shared" si="142"/>
        <v>0</v>
      </c>
      <c r="T72" s="1025">
        <f t="shared" si="142"/>
        <v>0</v>
      </c>
      <c r="U72" s="731">
        <f t="shared" si="142"/>
        <v>0</v>
      </c>
      <c r="V72" s="781">
        <f t="shared" si="139"/>
        <v>0</v>
      </c>
      <c r="W72" s="314">
        <f>W71</f>
        <v>0</v>
      </c>
      <c r="X72" s="315">
        <f>X71</f>
        <v>0</v>
      </c>
      <c r="Y72" s="315">
        <f>Y71</f>
        <v>0</v>
      </c>
      <c r="Z72" s="315">
        <f>Z71</f>
        <v>0</v>
      </c>
      <c r="AA72" s="469">
        <f t="shared" si="140"/>
        <v>0</v>
      </c>
      <c r="AB72" s="361">
        <f t="shared" ref="AB72:AJ72" si="146">AB71</f>
        <v>0</v>
      </c>
      <c r="AC72" s="750">
        <f t="shared" si="146"/>
        <v>0</v>
      </c>
      <c r="AD72" s="891">
        <f t="shared" si="146"/>
        <v>0</v>
      </c>
      <c r="AE72" s="891">
        <f t="shared" si="146"/>
        <v>0</v>
      </c>
      <c r="AF72" s="891">
        <f t="shared" ref="AF72:AI72" si="147">AF71</f>
        <v>0</v>
      </c>
      <c r="AG72" s="891">
        <f t="shared" si="146"/>
        <v>0</v>
      </c>
      <c r="AH72" s="891">
        <f t="shared" ref="AH72" si="148">AH71</f>
        <v>0</v>
      </c>
      <c r="AI72" s="891">
        <f t="shared" si="147"/>
        <v>0</v>
      </c>
      <c r="AJ72" s="891">
        <f t="shared" si="146"/>
        <v>0</v>
      </c>
      <c r="AK72" s="1061">
        <f t="shared" si="141"/>
        <v>0</v>
      </c>
      <c r="AL72" s="751">
        <f>AL71</f>
        <v>0</v>
      </c>
      <c r="AM72" s="751">
        <f>AM71</f>
        <v>0</v>
      </c>
      <c r="AN72" s="215">
        <f t="shared" si="138"/>
        <v>0</v>
      </c>
    </row>
    <row r="73" spans="1:40" x14ac:dyDescent="0.25">
      <c r="A73" s="216" t="s">
        <v>328</v>
      </c>
      <c r="B73" s="985"/>
      <c r="C73" s="986"/>
      <c r="D73" s="986"/>
      <c r="E73" s="986"/>
      <c r="F73" s="986"/>
      <c r="G73" s="986"/>
      <c r="H73" s="986"/>
      <c r="I73" s="986"/>
      <c r="J73" s="699"/>
      <c r="K73" s="699"/>
      <c r="L73" s="699"/>
      <c r="M73" s="699"/>
      <c r="N73" s="699"/>
      <c r="O73" s="699"/>
      <c r="P73" s="699"/>
      <c r="Q73" s="728"/>
      <c r="R73" s="728"/>
      <c r="S73" s="728"/>
      <c r="T73" s="1018"/>
      <c r="U73" s="700"/>
      <c r="V73" s="777">
        <f t="shared" si="139"/>
        <v>0</v>
      </c>
      <c r="W73" s="220"/>
      <c r="X73" s="221"/>
      <c r="Y73" s="221"/>
      <c r="Z73" s="221"/>
      <c r="AA73" s="353">
        <f t="shared" si="140"/>
        <v>0</v>
      </c>
      <c r="AB73" s="225"/>
      <c r="AC73" s="697"/>
      <c r="AD73" s="1049"/>
      <c r="AE73" s="883"/>
      <c r="AF73" s="883"/>
      <c r="AG73" s="883"/>
      <c r="AH73" s="883"/>
      <c r="AI73" s="883"/>
      <c r="AJ73" s="883"/>
      <c r="AK73" s="1059">
        <f t="shared" si="141"/>
        <v>0</v>
      </c>
      <c r="AL73" s="698"/>
      <c r="AM73" s="698"/>
      <c r="AN73" s="215">
        <f t="shared" si="138"/>
        <v>0</v>
      </c>
    </row>
    <row r="74" spans="1:40" x14ac:dyDescent="0.25">
      <c r="A74" s="216" t="s">
        <v>329</v>
      </c>
      <c r="B74" s="985"/>
      <c r="C74" s="986"/>
      <c r="D74" s="986"/>
      <c r="E74" s="986"/>
      <c r="F74" s="986"/>
      <c r="G74" s="986"/>
      <c r="H74" s="986"/>
      <c r="I74" s="986"/>
      <c r="J74" s="699"/>
      <c r="K74" s="699"/>
      <c r="L74" s="699"/>
      <c r="M74" s="699"/>
      <c r="N74" s="699"/>
      <c r="O74" s="699"/>
      <c r="P74" s="699"/>
      <c r="Q74" s="728"/>
      <c r="R74" s="728"/>
      <c r="S74" s="728"/>
      <c r="T74" s="1018"/>
      <c r="U74" s="700"/>
      <c r="V74" s="777">
        <f t="shared" si="139"/>
        <v>0</v>
      </c>
      <c r="W74" s="220"/>
      <c r="X74" s="221"/>
      <c r="Y74" s="221"/>
      <c r="Z74" s="221"/>
      <c r="AA74" s="353">
        <f t="shared" si="140"/>
        <v>0</v>
      </c>
      <c r="AB74" s="225"/>
      <c r="AC74" s="697"/>
      <c r="AD74" s="1049"/>
      <c r="AE74" s="883"/>
      <c r="AF74" s="883"/>
      <c r="AG74" s="883"/>
      <c r="AH74" s="883"/>
      <c r="AI74" s="883"/>
      <c r="AJ74" s="883"/>
      <c r="AK74" s="1059">
        <f t="shared" si="141"/>
        <v>0</v>
      </c>
      <c r="AL74" s="698"/>
      <c r="AM74" s="698"/>
      <c r="AN74" s="215">
        <f t="shared" si="138"/>
        <v>0</v>
      </c>
    </row>
    <row r="75" spans="1:40" ht="30" x14ac:dyDescent="0.25">
      <c r="A75" s="216" t="s">
        <v>330</v>
      </c>
      <c r="B75" s="985"/>
      <c r="C75" s="986"/>
      <c r="D75" s="986"/>
      <c r="E75" s="986"/>
      <c r="F75" s="986"/>
      <c r="G75" s="986"/>
      <c r="H75" s="986"/>
      <c r="I75" s="986"/>
      <c r="J75" s="699"/>
      <c r="K75" s="699"/>
      <c r="L75" s="699"/>
      <c r="M75" s="699"/>
      <c r="N75" s="699"/>
      <c r="O75" s="699"/>
      <c r="P75" s="699"/>
      <c r="Q75" s="728"/>
      <c r="R75" s="728"/>
      <c r="S75" s="728"/>
      <c r="T75" s="1018"/>
      <c r="U75" s="700"/>
      <c r="V75" s="777">
        <f t="shared" si="139"/>
        <v>0</v>
      </c>
      <c r="W75" s="220"/>
      <c r="X75" s="221"/>
      <c r="Y75" s="221"/>
      <c r="Z75" s="221"/>
      <c r="AA75" s="353">
        <f t="shared" si="140"/>
        <v>0</v>
      </c>
      <c r="AB75" s="225"/>
      <c r="AC75" s="697"/>
      <c r="AD75" s="1049"/>
      <c r="AE75" s="883"/>
      <c r="AF75" s="883"/>
      <c r="AG75" s="883"/>
      <c r="AH75" s="883"/>
      <c r="AI75" s="883"/>
      <c r="AJ75" s="883"/>
      <c r="AK75" s="1059">
        <f t="shared" si="141"/>
        <v>0</v>
      </c>
      <c r="AL75" s="698"/>
      <c r="AM75" s="698"/>
      <c r="AN75" s="215">
        <f t="shared" si="138"/>
        <v>0</v>
      </c>
    </row>
    <row r="76" spans="1:40" x14ac:dyDescent="0.25">
      <c r="A76" s="216" t="s">
        <v>475</v>
      </c>
      <c r="B76" s="985"/>
      <c r="C76" s="986"/>
      <c r="D76" s="986"/>
      <c r="E76" s="986"/>
      <c r="F76" s="986"/>
      <c r="G76" s="986"/>
      <c r="H76" s="986"/>
      <c r="I76" s="986"/>
      <c r="J76" s="699"/>
      <c r="K76" s="699"/>
      <c r="L76" s="699"/>
      <c r="M76" s="699"/>
      <c r="N76" s="699"/>
      <c r="O76" s="699"/>
      <c r="P76" s="699"/>
      <c r="Q76" s="728"/>
      <c r="R76" s="728"/>
      <c r="S76" s="728"/>
      <c r="T76" s="1018"/>
      <c r="U76" s="700">
        <v>10000</v>
      </c>
      <c r="V76" s="777">
        <f t="shared" si="139"/>
        <v>10000</v>
      </c>
      <c r="W76" s="220"/>
      <c r="X76" s="221"/>
      <c r="Y76" s="221"/>
      <c r="Z76" s="221"/>
      <c r="AA76" s="353">
        <f t="shared" si="140"/>
        <v>0</v>
      </c>
      <c r="AB76" s="225">
        <v>10000</v>
      </c>
      <c r="AC76" s="697"/>
      <c r="AD76" s="1049"/>
      <c r="AE76" s="883"/>
      <c r="AF76" s="883"/>
      <c r="AG76" s="883"/>
      <c r="AH76" s="883"/>
      <c r="AI76" s="883"/>
      <c r="AJ76" s="883">
        <v>10000</v>
      </c>
      <c r="AK76" s="1059">
        <f t="shared" si="141"/>
        <v>10000</v>
      </c>
      <c r="AL76" s="698"/>
      <c r="AM76" s="698"/>
      <c r="AN76" s="215">
        <f t="shared" si="138"/>
        <v>30000</v>
      </c>
    </row>
    <row r="77" spans="1:40" ht="30" x14ac:dyDescent="0.25">
      <c r="A77" s="216" t="s">
        <v>332</v>
      </c>
      <c r="B77" s="985"/>
      <c r="C77" s="986"/>
      <c r="D77" s="986"/>
      <c r="E77" s="986"/>
      <c r="F77" s="986"/>
      <c r="G77" s="986"/>
      <c r="H77" s="986"/>
      <c r="I77" s="986"/>
      <c r="J77" s="699"/>
      <c r="K77" s="699"/>
      <c r="L77" s="699"/>
      <c r="M77" s="699"/>
      <c r="N77" s="699"/>
      <c r="O77" s="699"/>
      <c r="P77" s="699"/>
      <c r="Q77" s="728"/>
      <c r="R77" s="728"/>
      <c r="S77" s="728"/>
      <c r="T77" s="1018"/>
      <c r="U77" s="700"/>
      <c r="V77" s="777">
        <f t="shared" si="139"/>
        <v>0</v>
      </c>
      <c r="W77" s="220"/>
      <c r="X77" s="221"/>
      <c r="Y77" s="221"/>
      <c r="Z77" s="221"/>
      <c r="AA77" s="353">
        <f t="shared" si="140"/>
        <v>0</v>
      </c>
      <c r="AB77" s="225"/>
      <c r="AC77" s="697"/>
      <c r="AD77" s="1049"/>
      <c r="AE77" s="883"/>
      <c r="AF77" s="883"/>
      <c r="AG77" s="883"/>
      <c r="AH77" s="883"/>
      <c r="AI77" s="883"/>
      <c r="AJ77" s="883"/>
      <c r="AK77" s="1059">
        <f t="shared" si="141"/>
        <v>0</v>
      </c>
      <c r="AL77" s="698"/>
      <c r="AM77" s="698"/>
      <c r="AN77" s="215">
        <f t="shared" si="138"/>
        <v>0</v>
      </c>
    </row>
    <row r="78" spans="1:40" ht="15.75" thickBot="1" x14ac:dyDescent="0.3">
      <c r="A78" s="325" t="s">
        <v>333</v>
      </c>
      <c r="B78" s="977">
        <f t="shared" ref="B78:K78" si="149">SUM(B73:B77)</f>
        <v>0</v>
      </c>
      <c r="C78" s="978">
        <f t="shared" si="149"/>
        <v>0</v>
      </c>
      <c r="D78" s="978">
        <f t="shared" si="149"/>
        <v>0</v>
      </c>
      <c r="E78" s="978">
        <f t="shared" si="149"/>
        <v>0</v>
      </c>
      <c r="F78" s="978">
        <f t="shared" si="149"/>
        <v>0</v>
      </c>
      <c r="G78" s="978">
        <f t="shared" si="149"/>
        <v>0</v>
      </c>
      <c r="H78" s="978">
        <f t="shared" ref="H78" si="150">SUM(H73:H77)</f>
        <v>0</v>
      </c>
      <c r="I78" s="978">
        <f t="shared" si="149"/>
        <v>0</v>
      </c>
      <c r="J78" s="735">
        <f t="shared" si="149"/>
        <v>0</v>
      </c>
      <c r="K78" s="735">
        <f t="shared" si="149"/>
        <v>0</v>
      </c>
      <c r="L78" s="735">
        <f t="shared" ref="L78:U78" si="151">SUM(L73:L77)</f>
        <v>0</v>
      </c>
      <c r="M78" s="735">
        <f t="shared" si="151"/>
        <v>0</v>
      </c>
      <c r="N78" s="735">
        <f t="shared" ref="N78:O78" si="152">SUM(N73:N77)</f>
        <v>0</v>
      </c>
      <c r="O78" s="735">
        <f t="shared" si="152"/>
        <v>0</v>
      </c>
      <c r="P78" s="735">
        <f t="shared" si="151"/>
        <v>0</v>
      </c>
      <c r="Q78" s="734">
        <f t="shared" ref="Q78:R78" si="153">SUM(Q73:Q77)</f>
        <v>0</v>
      </c>
      <c r="R78" s="734">
        <f t="shared" si="153"/>
        <v>0</v>
      </c>
      <c r="S78" s="734">
        <f t="shared" si="151"/>
        <v>0</v>
      </c>
      <c r="T78" s="1026">
        <f t="shared" si="151"/>
        <v>0</v>
      </c>
      <c r="U78" s="736">
        <f t="shared" si="151"/>
        <v>10000</v>
      </c>
      <c r="V78" s="781">
        <f t="shared" si="139"/>
        <v>10000</v>
      </c>
      <c r="W78" s="329">
        <f>SUM(W73:W77)</f>
        <v>0</v>
      </c>
      <c r="X78" s="330">
        <f>SUM(X73:X77)</f>
        <v>0</v>
      </c>
      <c r="Y78" s="330">
        <f>SUM(Y73:Y77)</f>
        <v>0</v>
      </c>
      <c r="Z78" s="330">
        <f>SUM(Z73:Z77)</f>
        <v>0</v>
      </c>
      <c r="AA78" s="469">
        <f t="shared" si="140"/>
        <v>0</v>
      </c>
      <c r="AB78" s="336">
        <f t="shared" ref="AB78:AJ78" si="154">SUM(AB73:AB77)</f>
        <v>10000</v>
      </c>
      <c r="AC78" s="738">
        <f t="shared" si="154"/>
        <v>0</v>
      </c>
      <c r="AD78" s="889">
        <f t="shared" si="154"/>
        <v>0</v>
      </c>
      <c r="AE78" s="889">
        <f t="shared" si="154"/>
        <v>0</v>
      </c>
      <c r="AF78" s="889">
        <f t="shared" ref="AF78:AI78" si="155">SUM(AF73:AF77)</f>
        <v>0</v>
      </c>
      <c r="AG78" s="889">
        <f t="shared" si="154"/>
        <v>0</v>
      </c>
      <c r="AH78" s="889">
        <f t="shared" ref="AH78" si="156">SUM(AH73:AH77)</f>
        <v>0</v>
      </c>
      <c r="AI78" s="889">
        <f t="shared" si="155"/>
        <v>0</v>
      </c>
      <c r="AJ78" s="889">
        <f t="shared" si="154"/>
        <v>10000</v>
      </c>
      <c r="AK78" s="1061">
        <f t="shared" si="141"/>
        <v>10000</v>
      </c>
      <c r="AL78" s="739">
        <f>SUM(AL73:AL77)</f>
        <v>0</v>
      </c>
      <c r="AM78" s="739">
        <f>SUM(AM73:AM77)</f>
        <v>0</v>
      </c>
      <c r="AN78" s="242">
        <f t="shared" si="138"/>
        <v>30000</v>
      </c>
    </row>
    <row r="79" spans="1:40" ht="30.75" thickBot="1" x14ac:dyDescent="0.3">
      <c r="A79" s="339" t="s">
        <v>334</v>
      </c>
      <c r="B79" s="965">
        <f t="shared" ref="B79:U79" si="157">B69+B70+B72+B78</f>
        <v>2700</v>
      </c>
      <c r="C79" s="966">
        <f t="shared" si="157"/>
        <v>0</v>
      </c>
      <c r="D79" s="966">
        <f t="shared" si="157"/>
        <v>2700</v>
      </c>
      <c r="E79" s="966">
        <f t="shared" si="157"/>
        <v>2700</v>
      </c>
      <c r="F79" s="966">
        <f t="shared" si="157"/>
        <v>2700</v>
      </c>
      <c r="G79" s="966">
        <f t="shared" si="157"/>
        <v>2700</v>
      </c>
      <c r="H79" s="966">
        <f t="shared" ref="H79" si="158">H69+H70+H72+H78</f>
        <v>2700</v>
      </c>
      <c r="I79" s="966">
        <f t="shared" si="157"/>
        <v>2700</v>
      </c>
      <c r="J79" s="741">
        <f t="shared" si="157"/>
        <v>2700</v>
      </c>
      <c r="K79" s="741">
        <f t="shared" si="157"/>
        <v>0</v>
      </c>
      <c r="L79" s="741">
        <f t="shared" si="157"/>
        <v>2700</v>
      </c>
      <c r="M79" s="741">
        <f t="shared" si="157"/>
        <v>2700</v>
      </c>
      <c r="N79" s="741">
        <f t="shared" ref="N79:O79" si="159">N69+N70+N72+N78</f>
        <v>2700</v>
      </c>
      <c r="O79" s="741">
        <f t="shared" si="159"/>
        <v>2700</v>
      </c>
      <c r="P79" s="741">
        <f t="shared" si="157"/>
        <v>2700</v>
      </c>
      <c r="Q79" s="740">
        <f t="shared" ref="Q79:R79" si="160">Q69+Q70+Q72+Q78</f>
        <v>2700</v>
      </c>
      <c r="R79" s="740">
        <f t="shared" si="160"/>
        <v>2700</v>
      </c>
      <c r="S79" s="740">
        <f t="shared" si="157"/>
        <v>2700</v>
      </c>
      <c r="T79" s="1027">
        <f t="shared" si="157"/>
        <v>0</v>
      </c>
      <c r="U79" s="742">
        <f t="shared" si="157"/>
        <v>187660</v>
      </c>
      <c r="V79" s="743">
        <f>SUM(V69:V77)</f>
        <v>230860</v>
      </c>
      <c r="W79" s="410">
        <f>W69+W70+W72+W78</f>
        <v>0</v>
      </c>
      <c r="X79" s="343">
        <f>X69+X70+X72+X78</f>
        <v>0</v>
      </c>
      <c r="Y79" s="343">
        <f>Y69+Y70+Y72+Y78</f>
        <v>0</v>
      </c>
      <c r="Z79" s="343">
        <f>Z69+Z70+Z72+Z78</f>
        <v>0</v>
      </c>
      <c r="AA79" s="249">
        <f>SUM(AA69,AA78)</f>
        <v>0</v>
      </c>
      <c r="AB79" s="349">
        <f>SUM(AB69,AB78)</f>
        <v>1308700</v>
      </c>
      <c r="AC79" s="744">
        <f>SUM(AC69,AC78)</f>
        <v>0</v>
      </c>
      <c r="AD79" s="1065">
        <f t="shared" ref="AD79:AJ79" si="161">AD69+AD70+AD72+AD78</f>
        <v>2700</v>
      </c>
      <c r="AE79" s="896">
        <f t="shared" si="161"/>
        <v>2700</v>
      </c>
      <c r="AF79" s="896">
        <f t="shared" si="161"/>
        <v>2700</v>
      </c>
      <c r="AG79" s="896">
        <f t="shared" si="161"/>
        <v>2700</v>
      </c>
      <c r="AH79" s="896">
        <f t="shared" si="161"/>
        <v>0</v>
      </c>
      <c r="AI79" s="896">
        <f t="shared" si="161"/>
        <v>2700</v>
      </c>
      <c r="AJ79" s="896">
        <f t="shared" si="161"/>
        <v>432010</v>
      </c>
      <c r="AK79" s="1053">
        <f>SUM(AK69,AK78)</f>
        <v>445510</v>
      </c>
      <c r="AL79" s="745">
        <f>SUM(AL69,AL78)</f>
        <v>0</v>
      </c>
      <c r="AM79" s="745">
        <f>SUM(AM69,AM78)</f>
        <v>0</v>
      </c>
      <c r="AN79" s="202">
        <f t="shared" si="138"/>
        <v>1985070</v>
      </c>
    </row>
    <row r="80" spans="1:40" ht="16.5" thickBot="1" x14ac:dyDescent="0.3">
      <c r="A80" s="433" t="s">
        <v>335</v>
      </c>
      <c r="B80" s="961">
        <f t="shared" ref="B80:AJ80" si="162">B40+B47+B63+B68+B79</f>
        <v>12700</v>
      </c>
      <c r="C80" s="962">
        <f t="shared" si="162"/>
        <v>0</v>
      </c>
      <c r="D80" s="962">
        <f t="shared" si="162"/>
        <v>12700</v>
      </c>
      <c r="E80" s="962">
        <f t="shared" si="162"/>
        <v>12700</v>
      </c>
      <c r="F80" s="962">
        <f t="shared" si="162"/>
        <v>12700</v>
      </c>
      <c r="G80" s="962">
        <f t="shared" si="162"/>
        <v>12700</v>
      </c>
      <c r="H80" s="962">
        <f t="shared" ref="H80" si="163">H40+H47+H63+H68+H79</f>
        <v>12700</v>
      </c>
      <c r="I80" s="962">
        <f t="shared" si="162"/>
        <v>12700</v>
      </c>
      <c r="J80" s="783">
        <f t="shared" si="162"/>
        <v>12700</v>
      </c>
      <c r="K80" s="783">
        <f t="shared" si="162"/>
        <v>0</v>
      </c>
      <c r="L80" s="783">
        <f t="shared" si="162"/>
        <v>12700</v>
      </c>
      <c r="M80" s="783">
        <f t="shared" si="162"/>
        <v>12700</v>
      </c>
      <c r="N80" s="783">
        <f t="shared" ref="N80:O80" si="164">N40+N47+N63+N68+N79</f>
        <v>12700</v>
      </c>
      <c r="O80" s="783">
        <f t="shared" si="164"/>
        <v>12700</v>
      </c>
      <c r="P80" s="783">
        <f t="shared" si="162"/>
        <v>12700</v>
      </c>
      <c r="Q80" s="782">
        <f t="shared" ref="Q80:R80" si="165">Q40+Q47+Q63+Q68+Q79</f>
        <v>12700</v>
      </c>
      <c r="R80" s="782">
        <f t="shared" si="165"/>
        <v>12700</v>
      </c>
      <c r="S80" s="782">
        <f t="shared" si="162"/>
        <v>12700</v>
      </c>
      <c r="T80" s="1030">
        <f t="shared" si="162"/>
        <v>0</v>
      </c>
      <c r="U80" s="784">
        <f t="shared" si="162"/>
        <v>1130660</v>
      </c>
      <c r="V80" s="785">
        <f t="shared" si="162"/>
        <v>1333860</v>
      </c>
      <c r="W80" s="437">
        <f t="shared" si="162"/>
        <v>0</v>
      </c>
      <c r="X80" s="438">
        <f t="shared" si="162"/>
        <v>570037</v>
      </c>
      <c r="Y80" s="438">
        <f t="shared" ref="Y80" si="166">Y40+Y47+Y63+Y68+Y79</f>
        <v>1440000</v>
      </c>
      <c r="Z80" s="438">
        <f t="shared" si="162"/>
        <v>0</v>
      </c>
      <c r="AA80" s="439">
        <f t="shared" si="162"/>
        <v>2010037</v>
      </c>
      <c r="AB80" s="447">
        <f t="shared" si="162"/>
        <v>6118700</v>
      </c>
      <c r="AC80" s="786">
        <f t="shared" si="162"/>
        <v>0</v>
      </c>
      <c r="AD80" s="1066">
        <f t="shared" si="162"/>
        <v>12700</v>
      </c>
      <c r="AE80" s="897">
        <f t="shared" si="162"/>
        <v>12700</v>
      </c>
      <c r="AF80" s="897">
        <f t="shared" ref="AF80:AI80" si="167">AF40+AF47+AF63+AF68+AF79</f>
        <v>12700</v>
      </c>
      <c r="AG80" s="897">
        <f t="shared" si="162"/>
        <v>12700</v>
      </c>
      <c r="AH80" s="897">
        <f t="shared" ref="AH80" si="168">AH40+AH47+AH63+AH68+AH79</f>
        <v>0</v>
      </c>
      <c r="AI80" s="897">
        <f t="shared" si="167"/>
        <v>12700</v>
      </c>
      <c r="AJ80" s="897">
        <f t="shared" si="162"/>
        <v>2015010</v>
      </c>
      <c r="AK80" s="1067">
        <f>AK40+AK47+AK63+AK68+AK79</f>
        <v>2078510</v>
      </c>
      <c r="AL80" s="787">
        <f>AL40+AL47+AL63+AL68+AL79</f>
        <v>0</v>
      </c>
      <c r="AM80" s="787">
        <f>AM40+AM47+AM63+AM68+AM79</f>
        <v>0</v>
      </c>
      <c r="AN80" s="788">
        <f t="shared" si="138"/>
        <v>11541107</v>
      </c>
    </row>
    <row r="81" spans="1:40" ht="60.75" thickBot="1" x14ac:dyDescent="0.3">
      <c r="A81" s="449" t="s">
        <v>476</v>
      </c>
      <c r="B81" s="1006"/>
      <c r="C81" s="1007"/>
      <c r="D81" s="1007"/>
      <c r="E81" s="1007"/>
      <c r="F81" s="1007"/>
      <c r="G81" s="1007"/>
      <c r="H81" s="1007"/>
      <c r="I81" s="1007"/>
      <c r="J81" s="790"/>
      <c r="K81" s="790"/>
      <c r="L81" s="790"/>
      <c r="M81" s="790"/>
      <c r="N81" s="790"/>
      <c r="O81" s="790"/>
      <c r="P81" s="790"/>
      <c r="Q81" s="789"/>
      <c r="R81" s="789"/>
      <c r="S81" s="789"/>
      <c r="T81" s="1031"/>
      <c r="U81" s="791"/>
      <c r="V81" s="792">
        <f>SUM(B81:T81)</f>
        <v>0</v>
      </c>
      <c r="W81" s="453"/>
      <c r="X81" s="454"/>
      <c r="Y81" s="454"/>
      <c r="Z81" s="454"/>
      <c r="AA81" s="455"/>
      <c r="AB81" s="463"/>
      <c r="AC81" s="793"/>
      <c r="AD81" s="1068"/>
      <c r="AE81" s="898"/>
      <c r="AF81" s="898"/>
      <c r="AG81" s="898"/>
      <c r="AH81" s="898"/>
      <c r="AI81" s="898"/>
      <c r="AJ81" s="898"/>
      <c r="AK81" s="1069"/>
      <c r="AL81" s="794"/>
      <c r="AM81" s="795"/>
      <c r="AN81" s="202">
        <f t="shared" si="138"/>
        <v>0</v>
      </c>
    </row>
    <row r="82" spans="1:40" ht="15.75" thickBot="1" x14ac:dyDescent="0.3">
      <c r="A82" s="339" t="s">
        <v>336</v>
      </c>
      <c r="B82" s="965">
        <f t="shared" ref="B82:K82" si="169">B81</f>
        <v>0</v>
      </c>
      <c r="C82" s="966">
        <f t="shared" si="169"/>
        <v>0</v>
      </c>
      <c r="D82" s="966">
        <f t="shared" si="169"/>
        <v>0</v>
      </c>
      <c r="E82" s="966"/>
      <c r="F82" s="966"/>
      <c r="G82" s="966"/>
      <c r="H82" s="966"/>
      <c r="I82" s="966"/>
      <c r="J82" s="741">
        <f t="shared" si="169"/>
        <v>0</v>
      </c>
      <c r="K82" s="741">
        <f t="shared" si="169"/>
        <v>0</v>
      </c>
      <c r="L82" s="741">
        <f>L81</f>
        <v>0</v>
      </c>
      <c r="M82" s="741"/>
      <c r="N82" s="741"/>
      <c r="O82" s="741"/>
      <c r="P82" s="741"/>
      <c r="Q82" s="740">
        <f>Q81</f>
        <v>0</v>
      </c>
      <c r="R82" s="740">
        <f>R81</f>
        <v>0</v>
      </c>
      <c r="S82" s="740">
        <f>S81</f>
        <v>0</v>
      </c>
      <c r="T82" s="1027"/>
      <c r="U82" s="742">
        <f>U81</f>
        <v>0</v>
      </c>
      <c r="V82" s="743">
        <f>V81</f>
        <v>0</v>
      </c>
      <c r="W82" s="410"/>
      <c r="X82" s="343"/>
      <c r="Y82" s="343"/>
      <c r="Z82" s="343"/>
      <c r="AA82" s="249">
        <f>AA81</f>
        <v>0</v>
      </c>
      <c r="AB82" s="349">
        <f>AB81</f>
        <v>0</v>
      </c>
      <c r="AC82" s="744">
        <f>AC81</f>
        <v>0</v>
      </c>
      <c r="AD82" s="1065"/>
      <c r="AE82" s="896"/>
      <c r="AF82" s="896"/>
      <c r="AG82" s="896"/>
      <c r="AH82" s="896"/>
      <c r="AI82" s="896"/>
      <c r="AJ82" s="896"/>
      <c r="AK82" s="1053">
        <f>AK81</f>
        <v>0</v>
      </c>
      <c r="AL82" s="745">
        <f>AL81</f>
        <v>0</v>
      </c>
      <c r="AM82" s="745"/>
      <c r="AN82" s="202">
        <f t="shared" si="138"/>
        <v>0</v>
      </c>
    </row>
    <row r="83" spans="1:40" x14ac:dyDescent="0.25">
      <c r="A83" s="411" t="s">
        <v>337</v>
      </c>
      <c r="B83" s="953"/>
      <c r="C83" s="954"/>
      <c r="D83" s="954"/>
      <c r="E83" s="954"/>
      <c r="F83" s="954"/>
      <c r="G83" s="954"/>
      <c r="H83" s="954"/>
      <c r="I83" s="954"/>
      <c r="J83" s="775"/>
      <c r="K83" s="775"/>
      <c r="L83" s="775"/>
      <c r="M83" s="775"/>
      <c r="N83" s="775"/>
      <c r="O83" s="775"/>
      <c r="P83" s="775"/>
      <c r="Q83" s="774"/>
      <c r="R83" s="774"/>
      <c r="S83" s="774"/>
      <c r="T83" s="1029"/>
      <c r="U83" s="776"/>
      <c r="V83" s="796">
        <f>SUM(B83:T83)</f>
        <v>0</v>
      </c>
      <c r="W83" s="467"/>
      <c r="X83" s="468"/>
      <c r="Y83" s="468"/>
      <c r="Z83" s="468"/>
      <c r="AA83" s="469"/>
      <c r="AB83" s="477"/>
      <c r="AC83" s="797"/>
      <c r="AD83" s="1070"/>
      <c r="AE83" s="899"/>
      <c r="AF83" s="899"/>
      <c r="AG83" s="899"/>
      <c r="AH83" s="899"/>
      <c r="AI83" s="899"/>
      <c r="AJ83" s="899"/>
      <c r="AK83" s="1061"/>
      <c r="AL83" s="798"/>
      <c r="AM83" s="798"/>
      <c r="AN83" s="202">
        <f t="shared" si="138"/>
        <v>0</v>
      </c>
    </row>
    <row r="84" spans="1:40" x14ac:dyDescent="0.25">
      <c r="A84" s="478" t="s">
        <v>338</v>
      </c>
      <c r="B84" s="957">
        <f t="shared" ref="B84:K84" si="170">B83</f>
        <v>0</v>
      </c>
      <c r="C84" s="958">
        <f t="shared" si="170"/>
        <v>0</v>
      </c>
      <c r="D84" s="958">
        <f t="shared" si="170"/>
        <v>0</v>
      </c>
      <c r="E84" s="958"/>
      <c r="F84" s="958"/>
      <c r="G84" s="958"/>
      <c r="H84" s="958"/>
      <c r="I84" s="958"/>
      <c r="J84" s="800">
        <f t="shared" si="170"/>
        <v>0</v>
      </c>
      <c r="K84" s="800">
        <f t="shared" si="170"/>
        <v>0</v>
      </c>
      <c r="L84" s="800">
        <f>L83</f>
        <v>0</v>
      </c>
      <c r="M84" s="800"/>
      <c r="N84" s="800"/>
      <c r="O84" s="800"/>
      <c r="P84" s="800"/>
      <c r="Q84" s="799">
        <f>Q83</f>
        <v>0</v>
      </c>
      <c r="R84" s="799">
        <f>R83</f>
        <v>0</v>
      </c>
      <c r="S84" s="799">
        <f>S83</f>
        <v>0</v>
      </c>
      <c r="T84" s="1032"/>
      <c r="U84" s="801">
        <f>U83</f>
        <v>0</v>
      </c>
      <c r="V84" s="802">
        <f>V83</f>
        <v>0</v>
      </c>
      <c r="W84" s="482"/>
      <c r="X84" s="483"/>
      <c r="Y84" s="483"/>
      <c r="Z84" s="483"/>
      <c r="AA84" s="484">
        <f>AA83</f>
        <v>0</v>
      </c>
      <c r="AB84" s="492">
        <f>AB83</f>
        <v>0</v>
      </c>
      <c r="AC84" s="803">
        <f>AC83</f>
        <v>0</v>
      </c>
      <c r="AD84" s="1071"/>
      <c r="AE84" s="900"/>
      <c r="AF84" s="900"/>
      <c r="AG84" s="900"/>
      <c r="AH84" s="900"/>
      <c r="AI84" s="900"/>
      <c r="AJ84" s="900"/>
      <c r="AK84" s="1072">
        <f>AK83</f>
        <v>0</v>
      </c>
      <c r="AL84" s="804"/>
      <c r="AM84" s="804"/>
      <c r="AN84" s="215">
        <f t="shared" si="138"/>
        <v>0</v>
      </c>
    </row>
    <row r="85" spans="1:40" ht="30" x14ac:dyDescent="0.25">
      <c r="A85" s="310" t="s">
        <v>339</v>
      </c>
      <c r="B85" s="955"/>
      <c r="C85" s="956"/>
      <c r="D85" s="956"/>
      <c r="E85" s="956"/>
      <c r="F85" s="956"/>
      <c r="G85" s="956"/>
      <c r="H85" s="956"/>
      <c r="I85" s="956"/>
      <c r="J85" s="730"/>
      <c r="K85" s="730"/>
      <c r="L85" s="730"/>
      <c r="M85" s="730"/>
      <c r="N85" s="730"/>
      <c r="O85" s="730"/>
      <c r="P85" s="730"/>
      <c r="Q85" s="729"/>
      <c r="R85" s="729"/>
      <c r="S85" s="729"/>
      <c r="T85" s="1025"/>
      <c r="U85" s="731"/>
      <c r="V85" s="805">
        <f>SUM(B85:T85)</f>
        <v>0</v>
      </c>
      <c r="W85" s="495"/>
      <c r="X85" s="496"/>
      <c r="Y85" s="496"/>
      <c r="Z85" s="496"/>
      <c r="AA85" s="380"/>
      <c r="AB85" s="502"/>
      <c r="AC85" s="806"/>
      <c r="AD85" s="1073"/>
      <c r="AE85" s="901"/>
      <c r="AF85" s="901"/>
      <c r="AG85" s="901"/>
      <c r="AH85" s="901"/>
      <c r="AI85" s="901"/>
      <c r="AJ85" s="901"/>
      <c r="AK85" s="1058"/>
      <c r="AL85" s="807"/>
      <c r="AM85" s="807"/>
      <c r="AN85" s="215">
        <f t="shared" si="138"/>
        <v>0</v>
      </c>
    </row>
    <row r="86" spans="1:40" ht="30" x14ac:dyDescent="0.25">
      <c r="A86" s="478" t="s">
        <v>340</v>
      </c>
      <c r="B86" s="957">
        <f t="shared" ref="B86:K86" si="171">B85</f>
        <v>0</v>
      </c>
      <c r="C86" s="958">
        <f t="shared" si="171"/>
        <v>0</v>
      </c>
      <c r="D86" s="958">
        <f t="shared" si="171"/>
        <v>0</v>
      </c>
      <c r="E86" s="958"/>
      <c r="F86" s="958"/>
      <c r="G86" s="958"/>
      <c r="H86" s="958"/>
      <c r="I86" s="958"/>
      <c r="J86" s="800">
        <f t="shared" si="171"/>
        <v>0</v>
      </c>
      <c r="K86" s="800">
        <f t="shared" si="171"/>
        <v>0</v>
      </c>
      <c r="L86" s="800">
        <f>L85</f>
        <v>0</v>
      </c>
      <c r="M86" s="800"/>
      <c r="N86" s="800"/>
      <c r="O86" s="800"/>
      <c r="P86" s="800"/>
      <c r="Q86" s="799">
        <f>Q85</f>
        <v>0</v>
      </c>
      <c r="R86" s="799">
        <f>R85</f>
        <v>0</v>
      </c>
      <c r="S86" s="799">
        <f>S85</f>
        <v>0</v>
      </c>
      <c r="T86" s="1032"/>
      <c r="U86" s="801">
        <f>U85</f>
        <v>0</v>
      </c>
      <c r="V86" s="802">
        <f>V85</f>
        <v>0</v>
      </c>
      <c r="W86" s="482"/>
      <c r="X86" s="483"/>
      <c r="Y86" s="483"/>
      <c r="Z86" s="483"/>
      <c r="AA86" s="484">
        <f>AA85</f>
        <v>0</v>
      </c>
      <c r="AB86" s="492">
        <f>AB85</f>
        <v>0</v>
      </c>
      <c r="AC86" s="803">
        <f>AC85</f>
        <v>0</v>
      </c>
      <c r="AD86" s="1071"/>
      <c r="AE86" s="900"/>
      <c r="AF86" s="900"/>
      <c r="AG86" s="900"/>
      <c r="AH86" s="900"/>
      <c r="AI86" s="900"/>
      <c r="AJ86" s="900"/>
      <c r="AK86" s="1072">
        <f>AK85</f>
        <v>0</v>
      </c>
      <c r="AL86" s="804"/>
      <c r="AM86" s="804"/>
      <c r="AN86" s="215">
        <f t="shared" si="138"/>
        <v>0</v>
      </c>
    </row>
    <row r="87" spans="1:40" x14ac:dyDescent="0.25">
      <c r="A87" s="310" t="s">
        <v>341</v>
      </c>
      <c r="B87" s="955"/>
      <c r="C87" s="956"/>
      <c r="D87" s="956"/>
      <c r="E87" s="956"/>
      <c r="F87" s="956"/>
      <c r="G87" s="956"/>
      <c r="H87" s="956"/>
      <c r="I87" s="956"/>
      <c r="J87" s="730"/>
      <c r="K87" s="730"/>
      <c r="L87" s="730"/>
      <c r="M87" s="730"/>
      <c r="N87" s="730"/>
      <c r="O87" s="730"/>
      <c r="P87" s="730"/>
      <c r="Q87" s="729"/>
      <c r="R87" s="729"/>
      <c r="S87" s="729"/>
      <c r="T87" s="1025"/>
      <c r="U87" s="731"/>
      <c r="V87" s="805">
        <f>SUM(B87:T87)</f>
        <v>0</v>
      </c>
      <c r="W87" s="495"/>
      <c r="X87" s="496"/>
      <c r="Y87" s="496"/>
      <c r="Z87" s="496"/>
      <c r="AA87" s="380"/>
      <c r="AB87" s="502"/>
      <c r="AC87" s="806"/>
      <c r="AD87" s="1073"/>
      <c r="AE87" s="901"/>
      <c r="AF87" s="901"/>
      <c r="AG87" s="901"/>
      <c r="AH87" s="901"/>
      <c r="AI87" s="901"/>
      <c r="AJ87" s="901"/>
      <c r="AK87" s="1058"/>
      <c r="AL87" s="807"/>
      <c r="AM87" s="807"/>
      <c r="AN87" s="215">
        <f t="shared" si="138"/>
        <v>0</v>
      </c>
    </row>
    <row r="88" spans="1:40" x14ac:dyDescent="0.25">
      <c r="A88" s="478" t="s">
        <v>342</v>
      </c>
      <c r="B88" s="957">
        <f t="shared" ref="B88:K88" si="172">B87</f>
        <v>0</v>
      </c>
      <c r="C88" s="958">
        <f t="shared" si="172"/>
        <v>0</v>
      </c>
      <c r="D88" s="958">
        <f t="shared" si="172"/>
        <v>0</v>
      </c>
      <c r="E88" s="958"/>
      <c r="F88" s="958"/>
      <c r="G88" s="958"/>
      <c r="H88" s="958"/>
      <c r="I88" s="958"/>
      <c r="J88" s="800">
        <f t="shared" si="172"/>
        <v>0</v>
      </c>
      <c r="K88" s="800">
        <f t="shared" si="172"/>
        <v>0</v>
      </c>
      <c r="L88" s="800">
        <f>L87</f>
        <v>0</v>
      </c>
      <c r="M88" s="800"/>
      <c r="N88" s="800"/>
      <c r="O88" s="800"/>
      <c r="P88" s="800"/>
      <c r="Q88" s="799">
        <f>Q87</f>
        <v>0</v>
      </c>
      <c r="R88" s="799">
        <f>R87</f>
        <v>0</v>
      </c>
      <c r="S88" s="799">
        <f>S87</f>
        <v>0</v>
      </c>
      <c r="T88" s="1032"/>
      <c r="U88" s="801">
        <f>U87</f>
        <v>0</v>
      </c>
      <c r="V88" s="802">
        <f>V87</f>
        <v>0</v>
      </c>
      <c r="W88" s="482"/>
      <c r="X88" s="483"/>
      <c r="Y88" s="483"/>
      <c r="Z88" s="483"/>
      <c r="AA88" s="484">
        <f>AA87</f>
        <v>0</v>
      </c>
      <c r="AB88" s="492">
        <f>AB87</f>
        <v>0</v>
      </c>
      <c r="AC88" s="803">
        <f>AC87</f>
        <v>0</v>
      </c>
      <c r="AD88" s="1071"/>
      <c r="AE88" s="900"/>
      <c r="AF88" s="900"/>
      <c r="AG88" s="900"/>
      <c r="AH88" s="900"/>
      <c r="AI88" s="900"/>
      <c r="AJ88" s="900"/>
      <c r="AK88" s="1072">
        <f>AK87</f>
        <v>0</v>
      </c>
      <c r="AL88" s="804"/>
      <c r="AM88" s="804"/>
      <c r="AN88" s="215">
        <f t="shared" si="138"/>
        <v>0</v>
      </c>
    </row>
    <row r="89" spans="1:40" ht="30" x14ac:dyDescent="0.25">
      <c r="A89" s="310" t="s">
        <v>343</v>
      </c>
      <c r="B89" s="955"/>
      <c r="C89" s="956"/>
      <c r="D89" s="956"/>
      <c r="E89" s="956"/>
      <c r="F89" s="956"/>
      <c r="G89" s="956"/>
      <c r="H89" s="956"/>
      <c r="I89" s="956"/>
      <c r="J89" s="730"/>
      <c r="K89" s="730"/>
      <c r="L89" s="730"/>
      <c r="M89" s="730"/>
      <c r="N89" s="730"/>
      <c r="O89" s="730"/>
      <c r="P89" s="730"/>
      <c r="Q89" s="729"/>
      <c r="R89" s="729"/>
      <c r="S89" s="729"/>
      <c r="T89" s="1025"/>
      <c r="U89" s="731"/>
      <c r="V89" s="805">
        <f>SUM(B89:T89)</f>
        <v>0</v>
      </c>
      <c r="W89" s="495"/>
      <c r="X89" s="496"/>
      <c r="Y89" s="496"/>
      <c r="Z89" s="496"/>
      <c r="AA89" s="380"/>
      <c r="AB89" s="387"/>
      <c r="AC89" s="780"/>
      <c r="AD89" s="1073"/>
      <c r="AE89" s="901"/>
      <c r="AF89" s="901"/>
      <c r="AG89" s="901"/>
      <c r="AH89" s="901"/>
      <c r="AI89" s="901"/>
      <c r="AJ89" s="901"/>
      <c r="AK89" s="1058"/>
      <c r="AL89" s="763"/>
      <c r="AM89" s="763"/>
      <c r="AN89" s="215">
        <f t="shared" si="138"/>
        <v>0</v>
      </c>
    </row>
    <row r="90" spans="1:40" ht="30" x14ac:dyDescent="0.25">
      <c r="A90" s="478" t="s">
        <v>344</v>
      </c>
      <c r="B90" s="957">
        <f t="shared" ref="B90:K90" si="173">B89</f>
        <v>0</v>
      </c>
      <c r="C90" s="958">
        <f t="shared" si="173"/>
        <v>0</v>
      </c>
      <c r="D90" s="958">
        <f t="shared" si="173"/>
        <v>0</v>
      </c>
      <c r="E90" s="958"/>
      <c r="F90" s="958"/>
      <c r="G90" s="958"/>
      <c r="H90" s="958"/>
      <c r="I90" s="958"/>
      <c r="J90" s="800">
        <f t="shared" si="173"/>
        <v>0</v>
      </c>
      <c r="K90" s="800">
        <f t="shared" si="173"/>
        <v>0</v>
      </c>
      <c r="L90" s="800">
        <f>L89</f>
        <v>0</v>
      </c>
      <c r="M90" s="800"/>
      <c r="N90" s="800"/>
      <c r="O90" s="800"/>
      <c r="P90" s="800"/>
      <c r="Q90" s="799">
        <f>Q89</f>
        <v>0</v>
      </c>
      <c r="R90" s="799">
        <f>R89</f>
        <v>0</v>
      </c>
      <c r="S90" s="799">
        <f>S89</f>
        <v>0</v>
      </c>
      <c r="T90" s="1032"/>
      <c r="U90" s="801">
        <f>U89</f>
        <v>0</v>
      </c>
      <c r="V90" s="802">
        <f>V89</f>
        <v>0</v>
      </c>
      <c r="W90" s="482"/>
      <c r="X90" s="483"/>
      <c r="Y90" s="483"/>
      <c r="Z90" s="483"/>
      <c r="AA90" s="484">
        <f>AA89</f>
        <v>0</v>
      </c>
      <c r="AB90" s="492">
        <f>AB89</f>
        <v>0</v>
      </c>
      <c r="AC90" s="803">
        <f>AC89</f>
        <v>0</v>
      </c>
      <c r="AD90" s="1071"/>
      <c r="AE90" s="900"/>
      <c r="AF90" s="900"/>
      <c r="AG90" s="900"/>
      <c r="AH90" s="900"/>
      <c r="AI90" s="900"/>
      <c r="AJ90" s="900"/>
      <c r="AK90" s="1072">
        <f>AK89</f>
        <v>0</v>
      </c>
      <c r="AL90" s="804">
        <f>AL89</f>
        <v>0</v>
      </c>
      <c r="AM90" s="804">
        <f>AM89</f>
        <v>0</v>
      </c>
      <c r="AN90" s="215">
        <f t="shared" si="138"/>
        <v>0</v>
      </c>
    </row>
    <row r="91" spans="1:40" x14ac:dyDescent="0.25">
      <c r="A91" s="310" t="s">
        <v>345</v>
      </c>
      <c r="B91" s="955"/>
      <c r="C91" s="956"/>
      <c r="D91" s="956"/>
      <c r="E91" s="956"/>
      <c r="F91" s="956"/>
      <c r="G91" s="956"/>
      <c r="H91" s="956"/>
      <c r="I91" s="956"/>
      <c r="J91" s="730"/>
      <c r="K91" s="730"/>
      <c r="L91" s="730"/>
      <c r="M91" s="730"/>
      <c r="N91" s="730"/>
      <c r="O91" s="730"/>
      <c r="P91" s="730"/>
      <c r="Q91" s="729"/>
      <c r="R91" s="729"/>
      <c r="S91" s="729"/>
      <c r="T91" s="1025"/>
      <c r="U91" s="731"/>
      <c r="V91" s="805">
        <f>SUM(B91:T91)</f>
        <v>0</v>
      </c>
      <c r="W91" s="495"/>
      <c r="X91" s="496"/>
      <c r="Y91" s="496"/>
      <c r="Z91" s="496"/>
      <c r="AA91" s="380"/>
      <c r="AB91" s="502"/>
      <c r="AC91" s="806"/>
      <c r="AD91" s="1073"/>
      <c r="AE91" s="901"/>
      <c r="AF91" s="901"/>
      <c r="AG91" s="901"/>
      <c r="AH91" s="901"/>
      <c r="AI91" s="901"/>
      <c r="AJ91" s="901"/>
      <c r="AK91" s="1058"/>
      <c r="AL91" s="807"/>
      <c r="AM91" s="807"/>
      <c r="AN91" s="215">
        <f t="shared" si="138"/>
        <v>0</v>
      </c>
    </row>
    <row r="92" spans="1:40" ht="60" x14ac:dyDescent="0.25">
      <c r="A92" s="310" t="s">
        <v>346</v>
      </c>
      <c r="B92" s="955"/>
      <c r="C92" s="956"/>
      <c r="D92" s="956"/>
      <c r="E92" s="956"/>
      <c r="F92" s="956"/>
      <c r="G92" s="956"/>
      <c r="H92" s="956"/>
      <c r="I92" s="956"/>
      <c r="J92" s="730"/>
      <c r="K92" s="730"/>
      <c r="L92" s="730"/>
      <c r="M92" s="730"/>
      <c r="N92" s="730"/>
      <c r="O92" s="730"/>
      <c r="P92" s="730"/>
      <c r="Q92" s="729"/>
      <c r="R92" s="729"/>
      <c r="S92" s="729"/>
      <c r="T92" s="1025"/>
      <c r="U92" s="731"/>
      <c r="V92" s="805">
        <f>SUM(B92:T92)</f>
        <v>0</v>
      </c>
      <c r="W92" s="495"/>
      <c r="X92" s="496"/>
      <c r="Y92" s="496"/>
      <c r="Z92" s="496"/>
      <c r="AA92" s="380"/>
      <c r="AB92" s="502"/>
      <c r="AC92" s="806"/>
      <c r="AD92" s="1073"/>
      <c r="AE92" s="901"/>
      <c r="AF92" s="901"/>
      <c r="AG92" s="901"/>
      <c r="AH92" s="901"/>
      <c r="AI92" s="901"/>
      <c r="AJ92" s="901"/>
      <c r="AK92" s="1058"/>
      <c r="AL92" s="807"/>
      <c r="AM92" s="807"/>
      <c r="AN92" s="215">
        <f t="shared" si="138"/>
        <v>0</v>
      </c>
    </row>
    <row r="93" spans="1:40" ht="45" x14ac:dyDescent="0.25">
      <c r="A93" s="310" t="s">
        <v>347</v>
      </c>
      <c r="B93" s="955"/>
      <c r="C93" s="956"/>
      <c r="D93" s="956"/>
      <c r="E93" s="956"/>
      <c r="F93" s="956"/>
      <c r="G93" s="956"/>
      <c r="H93" s="956"/>
      <c r="I93" s="956"/>
      <c r="J93" s="730"/>
      <c r="K93" s="730"/>
      <c r="L93" s="730"/>
      <c r="M93" s="730"/>
      <c r="N93" s="730"/>
      <c r="O93" s="730"/>
      <c r="P93" s="730"/>
      <c r="Q93" s="729"/>
      <c r="R93" s="729"/>
      <c r="S93" s="729"/>
      <c r="T93" s="1025"/>
      <c r="U93" s="731"/>
      <c r="V93" s="805">
        <f>SUM(B93:T93)</f>
        <v>0</v>
      </c>
      <c r="W93" s="495"/>
      <c r="X93" s="496"/>
      <c r="Y93" s="496"/>
      <c r="Z93" s="496"/>
      <c r="AA93" s="380"/>
      <c r="AB93" s="502"/>
      <c r="AC93" s="806"/>
      <c r="AD93" s="1073"/>
      <c r="AE93" s="901"/>
      <c r="AF93" s="901"/>
      <c r="AG93" s="901"/>
      <c r="AH93" s="901"/>
      <c r="AI93" s="901"/>
      <c r="AJ93" s="901"/>
      <c r="AK93" s="1058"/>
      <c r="AL93" s="807"/>
      <c r="AM93" s="807"/>
      <c r="AN93" s="215">
        <f t="shared" si="138"/>
        <v>0</v>
      </c>
    </row>
    <row r="94" spans="1:40" ht="15.75" thickBot="1" x14ac:dyDescent="0.3">
      <c r="A94" s="540" t="s">
        <v>348</v>
      </c>
      <c r="B94" s="959">
        <f t="shared" ref="B94:K94" si="174">SUM(B91:B93)</f>
        <v>0</v>
      </c>
      <c r="C94" s="960">
        <f t="shared" si="174"/>
        <v>0</v>
      </c>
      <c r="D94" s="960">
        <f t="shared" si="174"/>
        <v>0</v>
      </c>
      <c r="E94" s="960"/>
      <c r="F94" s="960"/>
      <c r="G94" s="960"/>
      <c r="H94" s="960"/>
      <c r="I94" s="960"/>
      <c r="J94" s="809">
        <f t="shared" si="174"/>
        <v>0</v>
      </c>
      <c r="K94" s="809">
        <f t="shared" si="174"/>
        <v>0</v>
      </c>
      <c r="L94" s="809">
        <f>SUM(L91:L93)</f>
        <v>0</v>
      </c>
      <c r="M94" s="809"/>
      <c r="N94" s="809"/>
      <c r="O94" s="809"/>
      <c r="P94" s="809"/>
      <c r="Q94" s="808">
        <f>SUM(Q91:Q93)</f>
        <v>0</v>
      </c>
      <c r="R94" s="808">
        <f>SUM(R91:R93)</f>
        <v>0</v>
      </c>
      <c r="S94" s="808">
        <f>SUM(S91:S93)</f>
        <v>0</v>
      </c>
      <c r="T94" s="1033"/>
      <c r="U94" s="810">
        <f>SUM(U91:U93)</f>
        <v>0</v>
      </c>
      <c r="V94" s="811">
        <f>SUM(V91:V93)</f>
        <v>0</v>
      </c>
      <c r="W94" s="648"/>
      <c r="X94" s="649"/>
      <c r="Y94" s="649"/>
      <c r="Z94" s="649"/>
      <c r="AA94" s="546">
        <f>SUM(AA91:AA93)</f>
        <v>0</v>
      </c>
      <c r="AB94" s="655">
        <f>SUM(AB91:AB93)</f>
        <v>0</v>
      </c>
      <c r="AC94" s="812">
        <f>SUM(AC91:AC93)</f>
        <v>0</v>
      </c>
      <c r="AD94" s="1074"/>
      <c r="AE94" s="902"/>
      <c r="AF94" s="902"/>
      <c r="AG94" s="902"/>
      <c r="AH94" s="902"/>
      <c r="AI94" s="902"/>
      <c r="AJ94" s="902"/>
      <c r="AK94" s="1075">
        <f>SUM(AK91:AK93)</f>
        <v>0</v>
      </c>
      <c r="AL94" s="813">
        <f>SUM(AL91:AL93)</f>
        <v>0</v>
      </c>
      <c r="AM94" s="813">
        <f>SUM(AM91:AM93)</f>
        <v>0</v>
      </c>
      <c r="AN94" s="242">
        <f t="shared" si="138"/>
        <v>0</v>
      </c>
    </row>
    <row r="95" spans="1:40" ht="16.5" thickBot="1" x14ac:dyDescent="0.3">
      <c r="A95" s="433" t="s">
        <v>349</v>
      </c>
      <c r="B95" s="961">
        <f t="shared" ref="B95:K95" si="175">B82+B84+B86+B88+B90+B94</f>
        <v>0</v>
      </c>
      <c r="C95" s="962">
        <f t="shared" si="175"/>
        <v>0</v>
      </c>
      <c r="D95" s="962">
        <f t="shared" si="175"/>
        <v>0</v>
      </c>
      <c r="E95" s="962"/>
      <c r="F95" s="962"/>
      <c r="G95" s="962"/>
      <c r="H95" s="962"/>
      <c r="I95" s="962"/>
      <c r="J95" s="783">
        <f t="shared" si="175"/>
        <v>0</v>
      </c>
      <c r="K95" s="783">
        <f t="shared" si="175"/>
        <v>0</v>
      </c>
      <c r="L95" s="783">
        <f>L82+L84+L86+L88+L90+L94</f>
        <v>0</v>
      </c>
      <c r="M95" s="783"/>
      <c r="N95" s="783"/>
      <c r="O95" s="783"/>
      <c r="P95" s="783"/>
      <c r="Q95" s="782">
        <f>Q82+Q84+Q86+Q88+Q90+Q94</f>
        <v>0</v>
      </c>
      <c r="R95" s="782">
        <f>R82+R84+R86+R88+R90+R94</f>
        <v>0</v>
      </c>
      <c r="S95" s="782">
        <f>S82+S84+S86+S88+S90+S94</f>
        <v>0</v>
      </c>
      <c r="T95" s="1030"/>
      <c r="U95" s="784">
        <f>U82+U84+U86+U88+U90+U94</f>
        <v>0</v>
      </c>
      <c r="V95" s="785">
        <f>V82+V84+V86+V88+V90+V94</f>
        <v>0</v>
      </c>
      <c r="W95" s="437"/>
      <c r="X95" s="438"/>
      <c r="Y95" s="438"/>
      <c r="Z95" s="438"/>
      <c r="AA95" s="439">
        <f>AA82+AA84+AA86+AA88+AA90+AA94</f>
        <v>0</v>
      </c>
      <c r="AB95" s="447">
        <f>AB82+AB84+AB86+AB88+AB90+AB94</f>
        <v>0</v>
      </c>
      <c r="AC95" s="786">
        <f>AC82+AC84+AC86+AC88+AC90+AC94</f>
        <v>0</v>
      </c>
      <c r="AD95" s="1076"/>
      <c r="AE95" s="897"/>
      <c r="AF95" s="897"/>
      <c r="AG95" s="897"/>
      <c r="AH95" s="897"/>
      <c r="AI95" s="897"/>
      <c r="AJ95" s="897"/>
      <c r="AK95" s="1067">
        <f>AK82+AK84+AK86+AK88+AK90+AK94</f>
        <v>0</v>
      </c>
      <c r="AL95" s="787">
        <f>AL82+AL84+AL86+AL88+AL90+AL94</f>
        <v>0</v>
      </c>
      <c r="AM95" s="787">
        <f>AM82+AM84+AM86+AM88+AM90+AM94</f>
        <v>0</v>
      </c>
      <c r="AN95" s="788">
        <f t="shared" si="138"/>
        <v>0</v>
      </c>
    </row>
    <row r="96" spans="1:40" ht="30" x14ac:dyDescent="0.25">
      <c r="A96" s="521" t="s">
        <v>350</v>
      </c>
      <c r="B96" s="1008"/>
      <c r="C96" s="1009"/>
      <c r="D96" s="1009"/>
      <c r="E96" s="1009"/>
      <c r="F96" s="1009"/>
      <c r="G96" s="1009"/>
      <c r="H96" s="1009"/>
      <c r="I96" s="1009"/>
      <c r="J96" s="815"/>
      <c r="K96" s="815"/>
      <c r="L96" s="815"/>
      <c r="M96" s="815"/>
      <c r="N96" s="815"/>
      <c r="O96" s="815"/>
      <c r="P96" s="815"/>
      <c r="Q96" s="814"/>
      <c r="R96" s="814"/>
      <c r="S96" s="814"/>
      <c r="T96" s="1034"/>
      <c r="U96" s="816"/>
      <c r="V96" s="817">
        <f>SUM(B96:T96)</f>
        <v>0</v>
      </c>
      <c r="W96" s="525"/>
      <c r="X96" s="526"/>
      <c r="Y96" s="526"/>
      <c r="Z96" s="526"/>
      <c r="AA96" s="527"/>
      <c r="AB96" s="535"/>
      <c r="AC96" s="818"/>
      <c r="AD96" s="1077"/>
      <c r="AE96" s="903"/>
      <c r="AF96" s="903"/>
      <c r="AG96" s="903"/>
      <c r="AH96" s="903"/>
      <c r="AI96" s="903"/>
      <c r="AJ96" s="903"/>
      <c r="AK96" s="1078"/>
      <c r="AL96" s="819"/>
      <c r="AM96" s="819"/>
      <c r="AN96" s="202">
        <f t="shared" si="138"/>
        <v>0</v>
      </c>
    </row>
    <row r="97" spans="1:40" ht="30" x14ac:dyDescent="0.25">
      <c r="A97" s="310" t="s">
        <v>351</v>
      </c>
      <c r="B97" s="955"/>
      <c r="C97" s="956"/>
      <c r="D97" s="956"/>
      <c r="E97" s="956"/>
      <c r="F97" s="956"/>
      <c r="G97" s="956"/>
      <c r="H97" s="956"/>
      <c r="I97" s="956"/>
      <c r="J97" s="730"/>
      <c r="K97" s="730"/>
      <c r="L97" s="730"/>
      <c r="M97" s="730"/>
      <c r="N97" s="730"/>
      <c r="O97" s="730"/>
      <c r="P97" s="730"/>
      <c r="Q97" s="729"/>
      <c r="R97" s="729"/>
      <c r="S97" s="729"/>
      <c r="T97" s="1025"/>
      <c r="U97" s="731"/>
      <c r="V97" s="805"/>
      <c r="W97" s="495"/>
      <c r="X97" s="496"/>
      <c r="Y97" s="496"/>
      <c r="Z97" s="496"/>
      <c r="AA97" s="380"/>
      <c r="AB97" s="502"/>
      <c r="AC97" s="806"/>
      <c r="AD97" s="1073"/>
      <c r="AE97" s="901"/>
      <c r="AF97" s="901"/>
      <c r="AG97" s="901"/>
      <c r="AH97" s="901"/>
      <c r="AI97" s="901"/>
      <c r="AJ97" s="901"/>
      <c r="AK97" s="1058"/>
      <c r="AL97" s="807"/>
      <c r="AM97" s="807"/>
      <c r="AN97" s="215">
        <f t="shared" si="138"/>
        <v>0</v>
      </c>
    </row>
    <row r="98" spans="1:40" ht="45" x14ac:dyDescent="0.25">
      <c r="A98" s="310" t="s">
        <v>352</v>
      </c>
      <c r="B98" s="955"/>
      <c r="C98" s="956"/>
      <c r="D98" s="956"/>
      <c r="E98" s="956"/>
      <c r="F98" s="956"/>
      <c r="G98" s="956"/>
      <c r="H98" s="956"/>
      <c r="I98" s="956"/>
      <c r="J98" s="730"/>
      <c r="K98" s="730"/>
      <c r="L98" s="730"/>
      <c r="M98" s="730"/>
      <c r="N98" s="730"/>
      <c r="O98" s="730"/>
      <c r="P98" s="730"/>
      <c r="Q98" s="729"/>
      <c r="R98" s="729"/>
      <c r="S98" s="729"/>
      <c r="T98" s="1025"/>
      <c r="U98" s="731"/>
      <c r="V98" s="805">
        <f>SUM(B98:T98)</f>
        <v>0</v>
      </c>
      <c r="W98" s="495"/>
      <c r="X98" s="496"/>
      <c r="Y98" s="496"/>
      <c r="Z98" s="496"/>
      <c r="AA98" s="380"/>
      <c r="AB98" s="502"/>
      <c r="AC98" s="806"/>
      <c r="AD98" s="1073"/>
      <c r="AE98" s="901"/>
      <c r="AF98" s="901"/>
      <c r="AG98" s="901"/>
      <c r="AH98" s="901"/>
      <c r="AI98" s="901"/>
      <c r="AJ98" s="901"/>
      <c r="AK98" s="1058"/>
      <c r="AL98" s="807"/>
      <c r="AM98" s="807"/>
      <c r="AN98" s="215">
        <f t="shared" si="138"/>
        <v>0</v>
      </c>
    </row>
    <row r="99" spans="1:40" ht="30" x14ac:dyDescent="0.25">
      <c r="A99" s="478" t="s">
        <v>353</v>
      </c>
      <c r="B99" s="957">
        <f t="shared" ref="B99:K99" si="176">SUM(B96:B98)</f>
        <v>0</v>
      </c>
      <c r="C99" s="958">
        <f t="shared" si="176"/>
        <v>0</v>
      </c>
      <c r="D99" s="958">
        <f t="shared" si="176"/>
        <v>0</v>
      </c>
      <c r="E99" s="958"/>
      <c r="F99" s="958"/>
      <c r="G99" s="958"/>
      <c r="H99" s="958"/>
      <c r="I99" s="958"/>
      <c r="J99" s="800">
        <f t="shared" si="176"/>
        <v>0</v>
      </c>
      <c r="K99" s="800">
        <f t="shared" si="176"/>
        <v>0</v>
      </c>
      <c r="L99" s="800">
        <f>SUM(L96:L98)</f>
        <v>0</v>
      </c>
      <c r="M99" s="800"/>
      <c r="N99" s="800"/>
      <c r="O99" s="800"/>
      <c r="P99" s="800"/>
      <c r="Q99" s="799">
        <f>SUM(Q96:Q98)</f>
        <v>0</v>
      </c>
      <c r="R99" s="799">
        <f>SUM(R96:R98)</f>
        <v>0</v>
      </c>
      <c r="S99" s="799">
        <f>SUM(S96:S98)</f>
        <v>0</v>
      </c>
      <c r="T99" s="1032"/>
      <c r="U99" s="801">
        <f>SUM(U96:U98)</f>
        <v>0</v>
      </c>
      <c r="V99" s="802">
        <f>SUM(V96:V98)</f>
        <v>0</v>
      </c>
      <c r="W99" s="482"/>
      <c r="X99" s="483"/>
      <c r="Y99" s="483"/>
      <c r="Z99" s="483"/>
      <c r="AA99" s="484">
        <f>SUM(AA96:AA98)</f>
        <v>0</v>
      </c>
      <c r="AB99" s="492">
        <f>SUM(AB96:AB98)</f>
        <v>0</v>
      </c>
      <c r="AC99" s="803">
        <f>SUM(AC96:AC98)</f>
        <v>0</v>
      </c>
      <c r="AD99" s="1071"/>
      <c r="AE99" s="900"/>
      <c r="AF99" s="900"/>
      <c r="AG99" s="900"/>
      <c r="AH99" s="900"/>
      <c r="AI99" s="900"/>
      <c r="AJ99" s="900"/>
      <c r="AK99" s="1072">
        <f>SUM(AK96:AK98)</f>
        <v>0</v>
      </c>
      <c r="AL99" s="804">
        <f>SUM(AL96:AL98)</f>
        <v>0</v>
      </c>
      <c r="AM99" s="804">
        <f>SUM(AM96:AM98)</f>
        <v>0</v>
      </c>
      <c r="AN99" s="215">
        <f t="shared" si="138"/>
        <v>0</v>
      </c>
    </row>
    <row r="100" spans="1:40" ht="45" x14ac:dyDescent="0.25">
      <c r="A100" s="478" t="s">
        <v>354</v>
      </c>
      <c r="B100" s="957"/>
      <c r="C100" s="958"/>
      <c r="D100" s="958"/>
      <c r="E100" s="958"/>
      <c r="F100" s="958"/>
      <c r="G100" s="958"/>
      <c r="H100" s="958"/>
      <c r="I100" s="958"/>
      <c r="J100" s="800"/>
      <c r="K100" s="800"/>
      <c r="L100" s="800"/>
      <c r="M100" s="800"/>
      <c r="N100" s="800"/>
      <c r="O100" s="800"/>
      <c r="P100" s="800"/>
      <c r="Q100" s="799"/>
      <c r="R100" s="799"/>
      <c r="S100" s="799"/>
      <c r="T100" s="1032"/>
      <c r="U100" s="801"/>
      <c r="V100" s="805">
        <f>SUM(B100:T100)</f>
        <v>0</v>
      </c>
      <c r="W100" s="495"/>
      <c r="X100" s="496"/>
      <c r="Y100" s="496"/>
      <c r="Z100" s="496"/>
      <c r="AA100" s="484"/>
      <c r="AB100" s="539"/>
      <c r="AC100" s="820"/>
      <c r="AD100" s="1073"/>
      <c r="AE100" s="901"/>
      <c r="AF100" s="901"/>
      <c r="AG100" s="901"/>
      <c r="AH100" s="901"/>
      <c r="AI100" s="901"/>
      <c r="AJ100" s="901"/>
      <c r="AK100" s="1072"/>
      <c r="AL100" s="821"/>
      <c r="AM100" s="821"/>
      <c r="AN100" s="215">
        <f t="shared" ref="AN100:AN131" si="177">V100+AA100+AC100+AL100+AM100+AK100+AB100</f>
        <v>0</v>
      </c>
    </row>
    <row r="101" spans="1:40" ht="30" x14ac:dyDescent="0.25">
      <c r="A101" s="478" t="s">
        <v>355</v>
      </c>
      <c r="B101" s="957"/>
      <c r="C101" s="958"/>
      <c r="D101" s="958"/>
      <c r="E101" s="958"/>
      <c r="F101" s="958"/>
      <c r="G101" s="958"/>
      <c r="H101" s="958"/>
      <c r="I101" s="958"/>
      <c r="J101" s="800"/>
      <c r="K101" s="800"/>
      <c r="L101" s="800"/>
      <c r="M101" s="800"/>
      <c r="N101" s="800"/>
      <c r="O101" s="800"/>
      <c r="P101" s="800"/>
      <c r="Q101" s="799"/>
      <c r="R101" s="799"/>
      <c r="S101" s="799"/>
      <c r="T101" s="1032"/>
      <c r="U101" s="801"/>
      <c r="V101" s="805">
        <f>SUM(B101:T101)</f>
        <v>0</v>
      </c>
      <c r="W101" s="495"/>
      <c r="X101" s="496"/>
      <c r="Y101" s="496"/>
      <c r="Z101" s="496"/>
      <c r="AA101" s="484"/>
      <c r="AB101" s="539"/>
      <c r="AC101" s="820"/>
      <c r="AD101" s="1073"/>
      <c r="AE101" s="901"/>
      <c r="AF101" s="901"/>
      <c r="AG101" s="901"/>
      <c r="AH101" s="901"/>
      <c r="AI101" s="901"/>
      <c r="AJ101" s="901"/>
      <c r="AK101" s="1072"/>
      <c r="AL101" s="821"/>
      <c r="AM101" s="821"/>
      <c r="AN101" s="215">
        <f t="shared" si="177"/>
        <v>0</v>
      </c>
    </row>
    <row r="102" spans="1:40" ht="15.75" thickBot="1" x14ac:dyDescent="0.3">
      <c r="A102" s="540" t="s">
        <v>356</v>
      </c>
      <c r="B102" s="959"/>
      <c r="C102" s="960"/>
      <c r="D102" s="960"/>
      <c r="E102" s="960"/>
      <c r="F102" s="960"/>
      <c r="G102" s="960"/>
      <c r="H102" s="960"/>
      <c r="I102" s="960"/>
      <c r="J102" s="809"/>
      <c r="K102" s="809"/>
      <c r="L102" s="809"/>
      <c r="M102" s="809"/>
      <c r="N102" s="809"/>
      <c r="O102" s="809"/>
      <c r="P102" s="809"/>
      <c r="Q102" s="808"/>
      <c r="R102" s="808"/>
      <c r="S102" s="808"/>
      <c r="T102" s="1033"/>
      <c r="U102" s="810"/>
      <c r="V102" s="822">
        <f>SUM(B102:T102)</f>
        <v>0</v>
      </c>
      <c r="W102" s="544"/>
      <c r="X102" s="545"/>
      <c r="Y102" s="545"/>
      <c r="Z102" s="545"/>
      <c r="AA102" s="546"/>
      <c r="AB102" s="554"/>
      <c r="AC102" s="823"/>
      <c r="AD102" s="1079"/>
      <c r="AE102" s="904"/>
      <c r="AF102" s="904"/>
      <c r="AG102" s="904"/>
      <c r="AH102" s="904"/>
      <c r="AI102" s="904"/>
      <c r="AJ102" s="904"/>
      <c r="AK102" s="1075"/>
      <c r="AL102" s="824"/>
      <c r="AM102" s="824"/>
      <c r="AN102" s="242">
        <f t="shared" si="177"/>
        <v>0</v>
      </c>
    </row>
    <row r="103" spans="1:40" ht="16.5" thickBot="1" x14ac:dyDescent="0.3">
      <c r="A103" s="433" t="s">
        <v>357</v>
      </c>
      <c r="B103" s="961">
        <f t="shared" ref="B103:K103" si="178">B99+B100+B101+B102</f>
        <v>0</v>
      </c>
      <c r="C103" s="962">
        <f t="shared" si="178"/>
        <v>0</v>
      </c>
      <c r="D103" s="962">
        <f t="shared" si="178"/>
        <v>0</v>
      </c>
      <c r="E103" s="962"/>
      <c r="F103" s="962"/>
      <c r="G103" s="962"/>
      <c r="H103" s="962"/>
      <c r="I103" s="962"/>
      <c r="J103" s="783">
        <f t="shared" si="178"/>
        <v>0</v>
      </c>
      <c r="K103" s="783">
        <f t="shared" si="178"/>
        <v>0</v>
      </c>
      <c r="L103" s="783">
        <f>L99+L100+L101+L102</f>
        <v>0</v>
      </c>
      <c r="M103" s="783"/>
      <c r="N103" s="783"/>
      <c r="O103" s="783"/>
      <c r="P103" s="783"/>
      <c r="Q103" s="782">
        <f>Q99+Q100+Q101+Q102</f>
        <v>0</v>
      </c>
      <c r="R103" s="782">
        <f>R99+R100+R101+R102</f>
        <v>0</v>
      </c>
      <c r="S103" s="782">
        <f>S99+S100+S101+S102</f>
        <v>0</v>
      </c>
      <c r="T103" s="1030"/>
      <c r="U103" s="784">
        <f>U99+U100+U101+U102</f>
        <v>0</v>
      </c>
      <c r="V103" s="785">
        <f>V99+V100+V101+V102</f>
        <v>0</v>
      </c>
      <c r="W103" s="437"/>
      <c r="X103" s="438"/>
      <c r="Y103" s="438"/>
      <c r="Z103" s="438"/>
      <c r="AA103" s="439">
        <f>AA99+AA100+AA101+AA102</f>
        <v>0</v>
      </c>
      <c r="AB103" s="447">
        <f>AB99+AB100+AB101+AB102</f>
        <v>0</v>
      </c>
      <c r="AC103" s="786">
        <f>AC99+AC100+AC101+AC102</f>
        <v>0</v>
      </c>
      <c r="AD103" s="1066"/>
      <c r="AE103" s="897"/>
      <c r="AF103" s="897"/>
      <c r="AG103" s="897"/>
      <c r="AH103" s="897"/>
      <c r="AI103" s="897"/>
      <c r="AJ103" s="897"/>
      <c r="AK103" s="1067">
        <f>AK99+AK100+AK101+AK102</f>
        <v>0</v>
      </c>
      <c r="AL103" s="787">
        <f>AL99+AL100+AL101+AL102</f>
        <v>0</v>
      </c>
      <c r="AM103" s="787">
        <f>AM99+AM100+AM101+AM102</f>
        <v>0</v>
      </c>
      <c r="AN103" s="788">
        <f t="shared" si="177"/>
        <v>0</v>
      </c>
    </row>
    <row r="104" spans="1:40" x14ac:dyDescent="0.25">
      <c r="A104" s="556" t="s">
        <v>358</v>
      </c>
      <c r="B104" s="979"/>
      <c r="C104" s="980"/>
      <c r="D104" s="980"/>
      <c r="E104" s="980"/>
      <c r="F104" s="980"/>
      <c r="G104" s="980"/>
      <c r="H104" s="980"/>
      <c r="I104" s="980"/>
      <c r="J104" s="826"/>
      <c r="K104" s="826"/>
      <c r="L104" s="826"/>
      <c r="M104" s="826"/>
      <c r="N104" s="826"/>
      <c r="O104" s="826"/>
      <c r="P104" s="826"/>
      <c r="Q104" s="825"/>
      <c r="R104" s="825"/>
      <c r="S104" s="825"/>
      <c r="T104" s="1035"/>
      <c r="U104" s="827"/>
      <c r="V104" s="796">
        <f>SUM(B104:T104)</f>
        <v>0</v>
      </c>
      <c r="W104" s="467"/>
      <c r="X104" s="468"/>
      <c r="Y104" s="468"/>
      <c r="Z104" s="468"/>
      <c r="AA104" s="559"/>
      <c r="AB104" s="564"/>
      <c r="AC104" s="828"/>
      <c r="AD104" s="1070"/>
      <c r="AE104" s="899"/>
      <c r="AF104" s="899"/>
      <c r="AG104" s="899"/>
      <c r="AH104" s="899"/>
      <c r="AI104" s="899"/>
      <c r="AJ104" s="899"/>
      <c r="AK104" s="1080"/>
      <c r="AL104" s="829"/>
      <c r="AM104" s="829"/>
      <c r="AN104" s="202">
        <f t="shared" si="177"/>
        <v>0</v>
      </c>
    </row>
    <row r="105" spans="1:40" ht="30" x14ac:dyDescent="0.25">
      <c r="A105" s="478" t="s">
        <v>570</v>
      </c>
      <c r="B105" s="957"/>
      <c r="C105" s="958"/>
      <c r="D105" s="958"/>
      <c r="E105" s="958"/>
      <c r="F105" s="958"/>
      <c r="G105" s="958"/>
      <c r="H105" s="958"/>
      <c r="I105" s="958"/>
      <c r="J105" s="800"/>
      <c r="K105" s="800"/>
      <c r="L105" s="800"/>
      <c r="M105" s="800"/>
      <c r="N105" s="800"/>
      <c r="O105" s="800"/>
      <c r="P105" s="800"/>
      <c r="Q105" s="799"/>
      <c r="R105" s="799"/>
      <c r="S105" s="799"/>
      <c r="T105" s="1032"/>
      <c r="U105" s="801"/>
      <c r="V105" s="805">
        <f>SUM(B105:T105)</f>
        <v>0</v>
      </c>
      <c r="W105" s="495"/>
      <c r="X105" s="496"/>
      <c r="Y105" s="496"/>
      <c r="Z105" s="496"/>
      <c r="AA105" s="484"/>
      <c r="AB105" s="539"/>
      <c r="AC105" s="820"/>
      <c r="AD105" s="1073"/>
      <c r="AE105" s="901"/>
      <c r="AF105" s="901"/>
      <c r="AG105" s="901"/>
      <c r="AH105" s="901"/>
      <c r="AI105" s="901"/>
      <c r="AJ105" s="901"/>
      <c r="AK105" s="1072"/>
      <c r="AL105" s="821"/>
      <c r="AM105" s="821"/>
      <c r="AN105" s="215">
        <f t="shared" si="177"/>
        <v>0</v>
      </c>
    </row>
    <row r="106" spans="1:40" ht="35.25" customHeight="1" x14ac:dyDescent="0.25">
      <c r="A106" s="478" t="s">
        <v>572</v>
      </c>
      <c r="B106" s="957"/>
      <c r="C106" s="958"/>
      <c r="D106" s="958"/>
      <c r="E106" s="958"/>
      <c r="F106" s="958"/>
      <c r="G106" s="958"/>
      <c r="H106" s="958"/>
      <c r="I106" s="958"/>
      <c r="J106" s="800"/>
      <c r="K106" s="800"/>
      <c r="L106" s="800"/>
      <c r="M106" s="800"/>
      <c r="N106" s="800"/>
      <c r="O106" s="800"/>
      <c r="P106" s="800"/>
      <c r="Q106" s="799"/>
      <c r="R106" s="799"/>
      <c r="S106" s="799"/>
      <c r="T106" s="1032"/>
      <c r="U106" s="801"/>
      <c r="V106" s="805">
        <f>SUM(B106:T106)</f>
        <v>0</v>
      </c>
      <c r="W106" s="495"/>
      <c r="X106" s="496"/>
      <c r="Y106" s="496"/>
      <c r="Z106" s="496"/>
      <c r="AA106" s="484"/>
      <c r="AB106" s="539"/>
      <c r="AC106" s="820"/>
      <c r="AD106" s="1073"/>
      <c r="AE106" s="901"/>
      <c r="AF106" s="901"/>
      <c r="AG106" s="901"/>
      <c r="AH106" s="901"/>
      <c r="AI106" s="901"/>
      <c r="AJ106" s="901"/>
      <c r="AK106" s="1072">
        <f>AJ106</f>
        <v>0</v>
      </c>
      <c r="AL106" s="821"/>
      <c r="AM106" s="821"/>
      <c r="AN106" s="1240">
        <f t="shared" si="177"/>
        <v>0</v>
      </c>
    </row>
    <row r="107" spans="1:40" ht="15.75" thickBot="1" x14ac:dyDescent="0.3">
      <c r="A107" s="540" t="s">
        <v>360</v>
      </c>
      <c r="B107" s="959"/>
      <c r="C107" s="960"/>
      <c r="D107" s="960"/>
      <c r="E107" s="960"/>
      <c r="F107" s="960"/>
      <c r="G107" s="960"/>
      <c r="H107" s="960"/>
      <c r="I107" s="960"/>
      <c r="J107" s="809"/>
      <c r="K107" s="809"/>
      <c r="L107" s="809"/>
      <c r="M107" s="809"/>
      <c r="N107" s="809"/>
      <c r="O107" s="809"/>
      <c r="P107" s="809"/>
      <c r="Q107" s="808"/>
      <c r="R107" s="808"/>
      <c r="S107" s="808"/>
      <c r="T107" s="1033"/>
      <c r="U107" s="810"/>
      <c r="V107" s="822">
        <f>SUM(B107:T107)</f>
        <v>0</v>
      </c>
      <c r="W107" s="544"/>
      <c r="X107" s="545"/>
      <c r="Y107" s="545"/>
      <c r="Z107" s="545"/>
      <c r="AA107" s="546"/>
      <c r="AB107" s="554">
        <f>(AB104+AB105+AB106)*27%</f>
        <v>0</v>
      </c>
      <c r="AC107" s="823"/>
      <c r="AD107" s="1079"/>
      <c r="AE107" s="904"/>
      <c r="AF107" s="904"/>
      <c r="AG107" s="904"/>
      <c r="AH107" s="904"/>
      <c r="AI107" s="904"/>
      <c r="AJ107" s="904">
        <f>AJ106*27%</f>
        <v>0</v>
      </c>
      <c r="AK107" s="1075">
        <f>AJ107</f>
        <v>0</v>
      </c>
      <c r="AL107" s="824"/>
      <c r="AM107" s="824"/>
      <c r="AN107" s="1241">
        <f t="shared" si="177"/>
        <v>0</v>
      </c>
    </row>
    <row r="108" spans="1:40" ht="16.5" thickBot="1" x14ac:dyDescent="0.3">
      <c r="A108" s="433" t="s">
        <v>361</v>
      </c>
      <c r="B108" s="961">
        <f t="shared" ref="B108:K108" si="179">SUM(B104:B107)</f>
        <v>0</v>
      </c>
      <c r="C108" s="962">
        <f t="shared" si="179"/>
        <v>0</v>
      </c>
      <c r="D108" s="962">
        <f t="shared" si="179"/>
        <v>0</v>
      </c>
      <c r="E108" s="962"/>
      <c r="F108" s="962"/>
      <c r="G108" s="962"/>
      <c r="H108" s="962"/>
      <c r="I108" s="962"/>
      <c r="J108" s="783">
        <f t="shared" si="179"/>
        <v>0</v>
      </c>
      <c r="K108" s="783">
        <f t="shared" si="179"/>
        <v>0</v>
      </c>
      <c r="L108" s="783">
        <f>SUM(L104:L107)</f>
        <v>0</v>
      </c>
      <c r="M108" s="783"/>
      <c r="N108" s="783"/>
      <c r="O108" s="783"/>
      <c r="P108" s="783"/>
      <c r="Q108" s="782">
        <f>SUM(Q104:Q107)</f>
        <v>0</v>
      </c>
      <c r="R108" s="782">
        <f>SUM(R104:R107)</f>
        <v>0</v>
      </c>
      <c r="S108" s="782">
        <f>SUM(S104:S107)</f>
        <v>0</v>
      </c>
      <c r="T108" s="1030"/>
      <c r="U108" s="784">
        <f>SUM(U104:U107)</f>
        <v>0</v>
      </c>
      <c r="V108" s="785">
        <f>SUM(V104:V107)</f>
        <v>0</v>
      </c>
      <c r="W108" s="437"/>
      <c r="X108" s="438"/>
      <c r="Y108" s="438"/>
      <c r="Z108" s="438"/>
      <c r="AA108" s="439">
        <f>SUM(AA104:AA107)</f>
        <v>0</v>
      </c>
      <c r="AB108" s="447">
        <f>SUM(AB104:AB107)</f>
        <v>0</v>
      </c>
      <c r="AC108" s="786">
        <f>SUM(AC104:AC107)</f>
        <v>0</v>
      </c>
      <c r="AD108" s="1066"/>
      <c r="AE108" s="897"/>
      <c r="AF108" s="897"/>
      <c r="AG108" s="897"/>
      <c r="AH108" s="897"/>
      <c r="AI108" s="897"/>
      <c r="AJ108" s="897">
        <f>SUM(AJ104:AJ107)</f>
        <v>0</v>
      </c>
      <c r="AK108" s="1067">
        <f>SUM(AK104:AK107)</f>
        <v>0</v>
      </c>
      <c r="AL108" s="787">
        <f>SUM(AL104:AL107)</f>
        <v>0</v>
      </c>
      <c r="AM108" s="787">
        <f>SUM(AM104:AM107)</f>
        <v>0</v>
      </c>
      <c r="AN108" s="830">
        <f t="shared" si="177"/>
        <v>0</v>
      </c>
    </row>
    <row r="109" spans="1:40" ht="30" x14ac:dyDescent="0.25">
      <c r="A109" s="556" t="s">
        <v>571</v>
      </c>
      <c r="B109" s="979"/>
      <c r="C109" s="980"/>
      <c r="D109" s="980"/>
      <c r="E109" s="980"/>
      <c r="F109" s="980"/>
      <c r="G109" s="980"/>
      <c r="H109" s="980"/>
      <c r="I109" s="980"/>
      <c r="J109" s="826"/>
      <c r="K109" s="826"/>
      <c r="L109" s="826"/>
      <c r="M109" s="826"/>
      <c r="N109" s="826"/>
      <c r="O109" s="826"/>
      <c r="P109" s="826"/>
      <c r="Q109" s="825"/>
      <c r="R109" s="825"/>
      <c r="S109" s="825"/>
      <c r="T109" s="1035"/>
      <c r="U109" s="827"/>
      <c r="V109" s="796">
        <f>SUM(B109:T109)</f>
        <v>0</v>
      </c>
      <c r="W109" s="467"/>
      <c r="X109" s="468"/>
      <c r="Y109" s="468"/>
      <c r="Z109" s="468"/>
      <c r="AA109" s="559"/>
      <c r="AB109" s="564">
        <v>315000</v>
      </c>
      <c r="AC109" s="828"/>
      <c r="AD109" s="1070"/>
      <c r="AE109" s="899"/>
      <c r="AF109" s="899"/>
      <c r="AG109" s="899"/>
      <c r="AH109" s="899"/>
      <c r="AI109" s="899"/>
      <c r="AJ109" s="899">
        <v>389365</v>
      </c>
      <c r="AK109" s="1080">
        <f>SUM(AD109:AJ109)</f>
        <v>389365</v>
      </c>
      <c r="AL109" s="829"/>
      <c r="AM109" s="829"/>
      <c r="AN109" s="1242">
        <f t="shared" si="177"/>
        <v>704365</v>
      </c>
    </row>
    <row r="110" spans="1:40" x14ac:dyDescent="0.25">
      <c r="A110" s="478" t="s">
        <v>363</v>
      </c>
      <c r="B110" s="957"/>
      <c r="C110" s="958"/>
      <c r="D110" s="958"/>
      <c r="E110" s="958"/>
      <c r="F110" s="958"/>
      <c r="G110" s="958"/>
      <c r="H110" s="958"/>
      <c r="I110" s="958"/>
      <c r="J110" s="800"/>
      <c r="K110" s="800"/>
      <c r="L110" s="800"/>
      <c r="M110" s="800"/>
      <c r="N110" s="800"/>
      <c r="O110" s="800"/>
      <c r="P110" s="800"/>
      <c r="Q110" s="799"/>
      <c r="R110" s="799"/>
      <c r="S110" s="799"/>
      <c r="T110" s="1032"/>
      <c r="U110" s="801"/>
      <c r="V110" s="805">
        <f>SUM(B110:T110)</f>
        <v>0</v>
      </c>
      <c r="W110" s="495"/>
      <c r="X110" s="496"/>
      <c r="Y110" s="496"/>
      <c r="Z110" s="496"/>
      <c r="AA110" s="484"/>
      <c r="AB110" s="539"/>
      <c r="AC110" s="820"/>
      <c r="AD110" s="1073"/>
      <c r="AE110" s="901"/>
      <c r="AF110" s="901"/>
      <c r="AG110" s="901"/>
      <c r="AH110" s="901"/>
      <c r="AI110" s="901"/>
      <c r="AJ110" s="901"/>
      <c r="AK110" s="1080">
        <f>SUM(AD110:AJ110)</f>
        <v>0</v>
      </c>
      <c r="AL110" s="821"/>
      <c r="AM110" s="821"/>
      <c r="AN110" s="215">
        <f t="shared" si="177"/>
        <v>0</v>
      </c>
    </row>
    <row r="111" spans="1:40" x14ac:dyDescent="0.25">
      <c r="A111" s="478" t="s">
        <v>364</v>
      </c>
      <c r="B111" s="957"/>
      <c r="C111" s="958"/>
      <c r="D111" s="958"/>
      <c r="E111" s="958"/>
      <c r="F111" s="958"/>
      <c r="G111" s="958"/>
      <c r="H111" s="958"/>
      <c r="I111" s="958"/>
      <c r="J111" s="800"/>
      <c r="K111" s="800"/>
      <c r="L111" s="800"/>
      <c r="M111" s="800"/>
      <c r="N111" s="800"/>
      <c r="O111" s="800"/>
      <c r="P111" s="800"/>
      <c r="Q111" s="799"/>
      <c r="R111" s="799"/>
      <c r="S111" s="799"/>
      <c r="T111" s="1032"/>
      <c r="U111" s="801"/>
      <c r="V111" s="805">
        <f>SUM(B111:T111)</f>
        <v>0</v>
      </c>
      <c r="W111" s="495"/>
      <c r="X111" s="496"/>
      <c r="Y111" s="496"/>
      <c r="Z111" s="496"/>
      <c r="AA111" s="484"/>
      <c r="AB111" s="539"/>
      <c r="AC111" s="820"/>
      <c r="AD111" s="1073"/>
      <c r="AE111" s="901"/>
      <c r="AF111" s="901"/>
      <c r="AG111" s="901"/>
      <c r="AH111" s="901"/>
      <c r="AI111" s="901"/>
      <c r="AJ111" s="901"/>
      <c r="AK111" s="1080">
        <f>SUM(AD111:AJ111)</f>
        <v>0</v>
      </c>
      <c r="AL111" s="821"/>
      <c r="AM111" s="821"/>
      <c r="AN111" s="215">
        <f t="shared" si="177"/>
        <v>0</v>
      </c>
    </row>
    <row r="112" spans="1:40" ht="15.75" thickBot="1" x14ac:dyDescent="0.3">
      <c r="A112" s="540" t="s">
        <v>365</v>
      </c>
      <c r="B112" s="959"/>
      <c r="C112" s="960"/>
      <c r="D112" s="960"/>
      <c r="E112" s="960"/>
      <c r="F112" s="960"/>
      <c r="G112" s="960"/>
      <c r="H112" s="960"/>
      <c r="I112" s="960"/>
      <c r="J112" s="809"/>
      <c r="K112" s="809"/>
      <c r="L112" s="809"/>
      <c r="M112" s="809"/>
      <c r="N112" s="809"/>
      <c r="O112" s="809"/>
      <c r="P112" s="809"/>
      <c r="Q112" s="808"/>
      <c r="R112" s="808"/>
      <c r="S112" s="808"/>
      <c r="T112" s="1033"/>
      <c r="U112" s="810"/>
      <c r="V112" s="822">
        <f>SUM(B112:T112)</f>
        <v>0</v>
      </c>
      <c r="W112" s="544"/>
      <c r="X112" s="545"/>
      <c r="Y112" s="545"/>
      <c r="Z112" s="545"/>
      <c r="AA112" s="546"/>
      <c r="AB112" s="554">
        <v>86000</v>
      </c>
      <c r="AC112" s="823"/>
      <c r="AD112" s="1079"/>
      <c r="AE112" s="904"/>
      <c r="AF112" s="904"/>
      <c r="AG112" s="904"/>
      <c r="AH112" s="904"/>
      <c r="AI112" s="904"/>
      <c r="AJ112" s="904">
        <f>AJ109*27%</f>
        <v>105128.55</v>
      </c>
      <c r="AK112" s="1080">
        <f>SUM(AD112:AJ112)</f>
        <v>105128.55</v>
      </c>
      <c r="AL112" s="824"/>
      <c r="AM112" s="824"/>
      <c r="AN112" s="1241">
        <f t="shared" si="177"/>
        <v>191128.55</v>
      </c>
    </row>
    <row r="113" spans="1:42" ht="16.5" thickBot="1" x14ac:dyDescent="0.3">
      <c r="A113" s="433" t="s">
        <v>366</v>
      </c>
      <c r="B113" s="961">
        <f t="shared" ref="B113:K113" si="180">SUM(B109:B112)</f>
        <v>0</v>
      </c>
      <c r="C113" s="962">
        <f t="shared" si="180"/>
        <v>0</v>
      </c>
      <c r="D113" s="962">
        <f t="shared" si="180"/>
        <v>0</v>
      </c>
      <c r="E113" s="962"/>
      <c r="F113" s="962"/>
      <c r="G113" s="962"/>
      <c r="H113" s="962"/>
      <c r="I113" s="962"/>
      <c r="J113" s="783">
        <f t="shared" si="180"/>
        <v>0</v>
      </c>
      <c r="K113" s="783">
        <f t="shared" si="180"/>
        <v>0</v>
      </c>
      <c r="L113" s="783">
        <f>SUM(L109:L112)</f>
        <v>0</v>
      </c>
      <c r="M113" s="783"/>
      <c r="N113" s="783"/>
      <c r="O113" s="783"/>
      <c r="P113" s="783"/>
      <c r="Q113" s="782">
        <f>SUM(Q109:Q112)</f>
        <v>0</v>
      </c>
      <c r="R113" s="782">
        <f>SUM(R109:R112)</f>
        <v>0</v>
      </c>
      <c r="S113" s="782">
        <f>SUM(S109:S112)</f>
        <v>0</v>
      </c>
      <c r="T113" s="1030"/>
      <c r="U113" s="784">
        <f>SUM(U109:U112)</f>
        <v>0</v>
      </c>
      <c r="V113" s="785">
        <f>SUM(V109:V112)</f>
        <v>0</v>
      </c>
      <c r="W113" s="437"/>
      <c r="X113" s="438"/>
      <c r="Y113" s="438"/>
      <c r="Z113" s="438"/>
      <c r="AA113" s="439">
        <f>SUM(AA109:AA112)</f>
        <v>0</v>
      </c>
      <c r="AB113" s="447">
        <f>SUM(AB109:AB112)</f>
        <v>401000</v>
      </c>
      <c r="AC113" s="786">
        <f>SUM(AC109:AC112)</f>
        <v>0</v>
      </c>
      <c r="AD113" s="1066"/>
      <c r="AE113" s="897"/>
      <c r="AF113" s="897"/>
      <c r="AG113" s="897"/>
      <c r="AH113" s="897"/>
      <c r="AI113" s="897"/>
      <c r="AJ113" s="897">
        <f>SUM(AJ109:AJ112)</f>
        <v>494493.55</v>
      </c>
      <c r="AK113" s="1067">
        <f>SUM(AK109:AK112)</f>
        <v>494493.55</v>
      </c>
      <c r="AL113" s="787">
        <f>SUM(AL109:AL112)</f>
        <v>0</v>
      </c>
      <c r="AM113" s="787">
        <f>SUM(AM109:AM112)</f>
        <v>0</v>
      </c>
      <c r="AN113" s="830">
        <f t="shared" si="177"/>
        <v>895493.55</v>
      </c>
    </row>
    <row r="114" spans="1:42" ht="30.75" thickBot="1" x14ac:dyDescent="0.3">
      <c r="A114" s="339" t="s">
        <v>367</v>
      </c>
      <c r="B114" s="965"/>
      <c r="C114" s="966"/>
      <c r="D114" s="966"/>
      <c r="E114" s="966"/>
      <c r="F114" s="966"/>
      <c r="G114" s="966"/>
      <c r="H114" s="966"/>
      <c r="I114" s="966"/>
      <c r="J114" s="741"/>
      <c r="K114" s="741"/>
      <c r="L114" s="741"/>
      <c r="M114" s="741"/>
      <c r="N114" s="741"/>
      <c r="O114" s="741"/>
      <c r="P114" s="741"/>
      <c r="Q114" s="740"/>
      <c r="R114" s="740"/>
      <c r="S114" s="740"/>
      <c r="T114" s="1027"/>
      <c r="U114" s="742"/>
      <c r="V114" s="708">
        <f>SUM(B114:T114)</f>
        <v>0</v>
      </c>
      <c r="W114" s="247"/>
      <c r="X114" s="248"/>
      <c r="Y114" s="248"/>
      <c r="Z114" s="248"/>
      <c r="AA114" s="249"/>
      <c r="AB114" s="257"/>
      <c r="AC114" s="709"/>
      <c r="AD114" s="1081"/>
      <c r="AE114" s="885"/>
      <c r="AF114" s="885"/>
      <c r="AG114" s="885"/>
      <c r="AH114" s="885"/>
      <c r="AI114" s="885"/>
      <c r="AJ114" s="885"/>
      <c r="AK114" s="1053"/>
      <c r="AL114" s="710"/>
      <c r="AM114" s="710"/>
      <c r="AN114" s="202">
        <f t="shared" si="177"/>
        <v>0</v>
      </c>
    </row>
    <row r="115" spans="1:42" ht="30.75" thickBot="1" x14ac:dyDescent="0.3">
      <c r="A115" s="339" t="s">
        <v>368</v>
      </c>
      <c r="B115" s="965"/>
      <c r="C115" s="966"/>
      <c r="D115" s="966"/>
      <c r="E115" s="966"/>
      <c r="F115" s="966"/>
      <c r="G115" s="966"/>
      <c r="H115" s="966"/>
      <c r="I115" s="966"/>
      <c r="J115" s="741"/>
      <c r="K115" s="741"/>
      <c r="L115" s="741"/>
      <c r="M115" s="741"/>
      <c r="N115" s="741"/>
      <c r="O115" s="741"/>
      <c r="P115" s="741"/>
      <c r="Q115" s="740"/>
      <c r="R115" s="740"/>
      <c r="S115" s="740"/>
      <c r="T115" s="1027"/>
      <c r="U115" s="742"/>
      <c r="V115" s="708">
        <f>SUM(B115:T115)</f>
        <v>0</v>
      </c>
      <c r="W115" s="247"/>
      <c r="X115" s="248"/>
      <c r="Y115" s="248"/>
      <c r="Z115" s="248"/>
      <c r="AA115" s="249"/>
      <c r="AB115" s="257"/>
      <c r="AC115" s="709"/>
      <c r="AD115" s="1081"/>
      <c r="AE115" s="885"/>
      <c r="AF115" s="885"/>
      <c r="AG115" s="885"/>
      <c r="AH115" s="885"/>
      <c r="AI115" s="885"/>
      <c r="AJ115" s="885"/>
      <c r="AK115" s="1053"/>
      <c r="AL115" s="710"/>
      <c r="AM115" s="710"/>
      <c r="AN115" s="202">
        <f t="shared" si="177"/>
        <v>0</v>
      </c>
    </row>
    <row r="116" spans="1:42" ht="16.5" thickBot="1" x14ac:dyDescent="0.3">
      <c r="A116" s="433" t="s">
        <v>369</v>
      </c>
      <c r="B116" s="961">
        <f t="shared" ref="B116:K116" si="181">SUM(B114:B115)</f>
        <v>0</v>
      </c>
      <c r="C116" s="962">
        <f t="shared" si="181"/>
        <v>0</v>
      </c>
      <c r="D116" s="962">
        <f t="shared" si="181"/>
        <v>0</v>
      </c>
      <c r="E116" s="962"/>
      <c r="F116" s="962"/>
      <c r="G116" s="962"/>
      <c r="H116" s="962"/>
      <c r="I116" s="962"/>
      <c r="J116" s="783">
        <f t="shared" si="181"/>
        <v>0</v>
      </c>
      <c r="K116" s="783">
        <f t="shared" si="181"/>
        <v>0</v>
      </c>
      <c r="L116" s="783">
        <f>SUM(L114:L115)</f>
        <v>0</v>
      </c>
      <c r="M116" s="783"/>
      <c r="N116" s="783"/>
      <c r="O116" s="783"/>
      <c r="P116" s="783"/>
      <c r="Q116" s="782">
        <f>SUM(Q114:Q115)</f>
        <v>0</v>
      </c>
      <c r="R116" s="782">
        <f>SUM(R114:R115)</f>
        <v>0</v>
      </c>
      <c r="S116" s="782">
        <f>SUM(S114:S115)</f>
        <v>0</v>
      </c>
      <c r="T116" s="1030"/>
      <c r="U116" s="784">
        <f>SUM(U114:U115)</f>
        <v>0</v>
      </c>
      <c r="V116" s="785">
        <f>SUM(V114:V115)</f>
        <v>0</v>
      </c>
      <c r="W116" s="437"/>
      <c r="X116" s="438"/>
      <c r="Y116" s="438"/>
      <c r="Z116" s="438"/>
      <c r="AA116" s="439">
        <f>SUM(AA114:AA115)</f>
        <v>0</v>
      </c>
      <c r="AB116" s="447">
        <f>SUM(AB114:AB115)</f>
        <v>0</v>
      </c>
      <c r="AC116" s="786">
        <f>SUM(AC114:AC115)</f>
        <v>0</v>
      </c>
      <c r="AD116" s="1066"/>
      <c r="AE116" s="897"/>
      <c r="AF116" s="897"/>
      <c r="AG116" s="897"/>
      <c r="AH116" s="897"/>
      <c r="AI116" s="897"/>
      <c r="AJ116" s="897"/>
      <c r="AK116" s="1067">
        <f>SUM(AK114:AK115)</f>
        <v>0</v>
      </c>
      <c r="AL116" s="787">
        <f>SUM(AL114:AL115)</f>
        <v>0</v>
      </c>
      <c r="AM116" s="787">
        <f>SUM(AM114:AM115)</f>
        <v>0</v>
      </c>
      <c r="AN116" s="788">
        <f t="shared" si="177"/>
        <v>0</v>
      </c>
    </row>
    <row r="117" spans="1:42" ht="30.75" thickBot="1" x14ac:dyDescent="0.3">
      <c r="A117" s="565" t="s">
        <v>370</v>
      </c>
      <c r="B117" s="969"/>
      <c r="C117" s="970"/>
      <c r="D117" s="970"/>
      <c r="E117" s="970"/>
      <c r="F117" s="970"/>
      <c r="G117" s="970"/>
      <c r="H117" s="970"/>
      <c r="I117" s="970"/>
      <c r="J117" s="832"/>
      <c r="K117" s="832"/>
      <c r="L117" s="832"/>
      <c r="M117" s="832"/>
      <c r="N117" s="832"/>
      <c r="O117" s="832"/>
      <c r="P117" s="832"/>
      <c r="Q117" s="831"/>
      <c r="R117" s="831"/>
      <c r="S117" s="831"/>
      <c r="T117" s="1036"/>
      <c r="U117" s="833"/>
      <c r="V117" s="708">
        <f>SUM(B117:T117)</f>
        <v>0</v>
      </c>
      <c r="W117" s="247"/>
      <c r="X117" s="248"/>
      <c r="Y117" s="248"/>
      <c r="Z117" s="248"/>
      <c r="AA117" s="568"/>
      <c r="AB117" s="257"/>
      <c r="AC117" s="709"/>
      <c r="AD117" s="1081"/>
      <c r="AE117" s="885"/>
      <c r="AF117" s="885"/>
      <c r="AG117" s="885"/>
      <c r="AH117" s="885"/>
      <c r="AI117" s="885"/>
      <c r="AJ117" s="885"/>
      <c r="AK117" s="1082"/>
      <c r="AL117" s="710"/>
      <c r="AM117" s="710"/>
      <c r="AN117" s="202">
        <f t="shared" si="177"/>
        <v>0</v>
      </c>
    </row>
    <row r="118" spans="1:42" ht="30.75" thickBot="1" x14ac:dyDescent="0.3">
      <c r="A118" s="571" t="s">
        <v>371</v>
      </c>
      <c r="B118" s="963">
        <f t="shared" ref="B118:K118" si="182">B117</f>
        <v>0</v>
      </c>
      <c r="C118" s="964">
        <f t="shared" si="182"/>
        <v>0</v>
      </c>
      <c r="D118" s="964">
        <f t="shared" si="182"/>
        <v>0</v>
      </c>
      <c r="E118" s="964"/>
      <c r="F118" s="964"/>
      <c r="G118" s="964"/>
      <c r="H118" s="964"/>
      <c r="I118" s="964"/>
      <c r="J118" s="835">
        <f t="shared" si="182"/>
        <v>0</v>
      </c>
      <c r="K118" s="835">
        <f t="shared" si="182"/>
        <v>0</v>
      </c>
      <c r="L118" s="835">
        <f>L117</f>
        <v>0</v>
      </c>
      <c r="M118" s="835"/>
      <c r="N118" s="835"/>
      <c r="O118" s="835"/>
      <c r="P118" s="835"/>
      <c r="Q118" s="834">
        <f>Q117</f>
        <v>0</v>
      </c>
      <c r="R118" s="834">
        <f>R117</f>
        <v>0</v>
      </c>
      <c r="S118" s="834">
        <f>S117</f>
        <v>0</v>
      </c>
      <c r="T118" s="1037"/>
      <c r="U118" s="836">
        <f>U117</f>
        <v>0</v>
      </c>
      <c r="V118" s="837">
        <f>V117</f>
        <v>0</v>
      </c>
      <c r="W118" s="575"/>
      <c r="X118" s="576"/>
      <c r="Y118" s="576"/>
      <c r="Z118" s="576"/>
      <c r="AA118" s="577">
        <f>AA117</f>
        <v>0</v>
      </c>
      <c r="AB118" s="585">
        <f>AB117</f>
        <v>0</v>
      </c>
      <c r="AC118" s="838">
        <f>AC117</f>
        <v>0</v>
      </c>
      <c r="AD118" s="1083"/>
      <c r="AE118" s="905"/>
      <c r="AF118" s="905"/>
      <c r="AG118" s="905"/>
      <c r="AH118" s="905"/>
      <c r="AI118" s="905"/>
      <c r="AJ118" s="905"/>
      <c r="AK118" s="1084">
        <f>AK117</f>
        <v>0</v>
      </c>
      <c r="AL118" s="839">
        <f>AL117</f>
        <v>0</v>
      </c>
      <c r="AM118" s="839">
        <f>AM117</f>
        <v>0</v>
      </c>
      <c r="AN118" s="202">
        <f t="shared" si="177"/>
        <v>0</v>
      </c>
    </row>
    <row r="119" spans="1:42" ht="30.75" thickBot="1" x14ac:dyDescent="0.3">
      <c r="A119" s="571" t="s">
        <v>372</v>
      </c>
      <c r="B119" s="963"/>
      <c r="C119" s="964"/>
      <c r="D119" s="964"/>
      <c r="E119" s="964"/>
      <c r="F119" s="964"/>
      <c r="G119" s="964"/>
      <c r="H119" s="964"/>
      <c r="I119" s="964"/>
      <c r="J119" s="835"/>
      <c r="K119" s="835"/>
      <c r="L119" s="835"/>
      <c r="M119" s="835"/>
      <c r="N119" s="835"/>
      <c r="O119" s="835"/>
      <c r="P119" s="835"/>
      <c r="Q119" s="834"/>
      <c r="R119" s="834"/>
      <c r="S119" s="834"/>
      <c r="T119" s="1037"/>
      <c r="U119" s="836"/>
      <c r="V119" s="708">
        <f>SUM(B119:T119)</f>
        <v>0</v>
      </c>
      <c r="W119" s="247"/>
      <c r="X119" s="248"/>
      <c r="Y119" s="248"/>
      <c r="Z119" s="248"/>
      <c r="AA119" s="577"/>
      <c r="AB119" s="589"/>
      <c r="AC119" s="840"/>
      <c r="AD119" s="1081"/>
      <c r="AE119" s="885"/>
      <c r="AF119" s="885"/>
      <c r="AG119" s="885"/>
      <c r="AH119" s="885"/>
      <c r="AI119" s="885"/>
      <c r="AJ119" s="885"/>
      <c r="AK119" s="1084"/>
      <c r="AL119" s="841"/>
      <c r="AM119" s="841"/>
      <c r="AN119" s="202">
        <f t="shared" si="177"/>
        <v>0</v>
      </c>
    </row>
    <row r="120" spans="1:42" ht="15.75" thickBot="1" x14ac:dyDescent="0.3">
      <c r="A120" s="571" t="s">
        <v>373</v>
      </c>
      <c r="B120" s="963"/>
      <c r="C120" s="964"/>
      <c r="D120" s="964"/>
      <c r="E120" s="964"/>
      <c r="F120" s="964"/>
      <c r="G120" s="964"/>
      <c r="H120" s="964"/>
      <c r="I120" s="964"/>
      <c r="J120" s="835"/>
      <c r="K120" s="835"/>
      <c r="L120" s="835"/>
      <c r="M120" s="835"/>
      <c r="N120" s="835"/>
      <c r="O120" s="835"/>
      <c r="P120" s="835"/>
      <c r="Q120" s="834"/>
      <c r="R120" s="834"/>
      <c r="S120" s="834"/>
      <c r="T120" s="1037"/>
      <c r="U120" s="836"/>
      <c r="V120" s="708">
        <f>SUM(B120:T120)</f>
        <v>0</v>
      </c>
      <c r="W120" s="247"/>
      <c r="X120" s="248"/>
      <c r="Y120" s="248"/>
      <c r="Z120" s="248"/>
      <c r="AA120" s="577"/>
      <c r="AB120" s="593"/>
      <c r="AC120" s="842"/>
      <c r="AD120" s="1081"/>
      <c r="AE120" s="885"/>
      <c r="AF120" s="885"/>
      <c r="AG120" s="885"/>
      <c r="AH120" s="885"/>
      <c r="AI120" s="885"/>
      <c r="AJ120" s="885"/>
      <c r="AK120" s="1084"/>
      <c r="AL120" s="843"/>
      <c r="AM120" s="843"/>
      <c r="AN120" s="202">
        <f t="shared" si="177"/>
        <v>0</v>
      </c>
    </row>
    <row r="121" spans="1:42" ht="15.75" thickBot="1" x14ac:dyDescent="0.3">
      <c r="A121" s="339" t="s">
        <v>374</v>
      </c>
      <c r="B121" s="965">
        <f t="shared" ref="B121:K121" si="183">B118+B119+B120</f>
        <v>0</v>
      </c>
      <c r="C121" s="966">
        <f t="shared" si="183"/>
        <v>0</v>
      </c>
      <c r="D121" s="966">
        <f t="shared" si="183"/>
        <v>0</v>
      </c>
      <c r="E121" s="966"/>
      <c r="F121" s="966"/>
      <c r="G121" s="966"/>
      <c r="H121" s="966"/>
      <c r="I121" s="966"/>
      <c r="J121" s="741">
        <f t="shared" si="183"/>
        <v>0</v>
      </c>
      <c r="K121" s="741">
        <f t="shared" si="183"/>
        <v>0</v>
      </c>
      <c r="L121" s="741">
        <f>L118+L119+L120</f>
        <v>0</v>
      </c>
      <c r="M121" s="741"/>
      <c r="N121" s="741"/>
      <c r="O121" s="741"/>
      <c r="P121" s="741"/>
      <c r="Q121" s="740">
        <f>Q118+Q119+Q120</f>
        <v>0</v>
      </c>
      <c r="R121" s="740">
        <f>R118+R119+R120</f>
        <v>0</v>
      </c>
      <c r="S121" s="740">
        <f>S118+S119+S120</f>
        <v>0</v>
      </c>
      <c r="T121" s="1027"/>
      <c r="U121" s="742">
        <f>U118+U119+U120</f>
        <v>0</v>
      </c>
      <c r="V121" s="743">
        <f>V118+V119+V120</f>
        <v>0</v>
      </c>
      <c r="W121" s="410"/>
      <c r="X121" s="343"/>
      <c r="Y121" s="343"/>
      <c r="Z121" s="343"/>
      <c r="AA121" s="249">
        <f>AA118+AA119+AA120</f>
        <v>0</v>
      </c>
      <c r="AB121" s="349">
        <f>AB118+AB119+AB120</f>
        <v>0</v>
      </c>
      <c r="AC121" s="744">
        <f>AC118+AC119+AC120</f>
        <v>0</v>
      </c>
      <c r="AD121" s="1065"/>
      <c r="AE121" s="896"/>
      <c r="AF121" s="896"/>
      <c r="AG121" s="896"/>
      <c r="AH121" s="896"/>
      <c r="AI121" s="896"/>
      <c r="AJ121" s="896"/>
      <c r="AK121" s="1053">
        <f>AK118+AK119+AK120</f>
        <v>0</v>
      </c>
      <c r="AL121" s="745">
        <f>AL118+AL119+AL120</f>
        <v>0</v>
      </c>
      <c r="AM121" s="745">
        <f>AM118+AM119+AM120</f>
        <v>0</v>
      </c>
      <c r="AN121" s="202">
        <f t="shared" si="177"/>
        <v>0</v>
      </c>
    </row>
    <row r="122" spans="1:42" ht="16.5" thickBot="1" x14ac:dyDescent="0.3">
      <c r="A122" s="433" t="s">
        <v>375</v>
      </c>
      <c r="B122" s="961">
        <f t="shared" ref="B122:K122" si="184">B121</f>
        <v>0</v>
      </c>
      <c r="C122" s="962">
        <f t="shared" si="184"/>
        <v>0</v>
      </c>
      <c r="D122" s="962">
        <f t="shared" si="184"/>
        <v>0</v>
      </c>
      <c r="E122" s="962"/>
      <c r="F122" s="962"/>
      <c r="G122" s="962"/>
      <c r="H122" s="962"/>
      <c r="I122" s="962"/>
      <c r="J122" s="783">
        <f t="shared" si="184"/>
        <v>0</v>
      </c>
      <c r="K122" s="783">
        <f t="shared" si="184"/>
        <v>0</v>
      </c>
      <c r="L122" s="783">
        <f>L121</f>
        <v>0</v>
      </c>
      <c r="M122" s="783"/>
      <c r="N122" s="783"/>
      <c r="O122" s="783"/>
      <c r="P122" s="783"/>
      <c r="Q122" s="782">
        <f>Q121</f>
        <v>0</v>
      </c>
      <c r="R122" s="782">
        <f>R121</f>
        <v>0</v>
      </c>
      <c r="S122" s="782">
        <f>S121</f>
        <v>0</v>
      </c>
      <c r="T122" s="1030"/>
      <c r="U122" s="784">
        <f>U121</f>
        <v>0</v>
      </c>
      <c r="V122" s="785">
        <f>V121</f>
        <v>0</v>
      </c>
      <c r="W122" s="437"/>
      <c r="X122" s="438"/>
      <c r="Y122" s="438"/>
      <c r="Z122" s="438"/>
      <c r="AA122" s="439">
        <f>AA121</f>
        <v>0</v>
      </c>
      <c r="AB122" s="447">
        <f>AB121</f>
        <v>0</v>
      </c>
      <c r="AC122" s="786">
        <f>AC121</f>
        <v>0</v>
      </c>
      <c r="AD122" s="1066"/>
      <c r="AE122" s="897"/>
      <c r="AF122" s="897"/>
      <c r="AG122" s="897"/>
      <c r="AH122" s="897"/>
      <c r="AI122" s="897"/>
      <c r="AJ122" s="897"/>
      <c r="AK122" s="1067">
        <f>AK121</f>
        <v>0</v>
      </c>
      <c r="AL122" s="787">
        <f>AL121</f>
        <v>0</v>
      </c>
      <c r="AM122" s="787">
        <f>AM121</f>
        <v>0</v>
      </c>
      <c r="AN122" s="788">
        <f t="shared" si="177"/>
        <v>0</v>
      </c>
    </row>
    <row r="123" spans="1:42" ht="19.5" thickBot="1" x14ac:dyDescent="0.3">
      <c r="A123" s="945" t="s">
        <v>376</v>
      </c>
      <c r="B123" s="946">
        <f t="shared" ref="B123:T123" si="185">B18+B26+B80+B95+B103+B108+B113+B116+B122</f>
        <v>8078848</v>
      </c>
      <c r="C123" s="947">
        <f t="shared" si="185"/>
        <v>3798516.125</v>
      </c>
      <c r="D123" s="947">
        <f t="shared" si="185"/>
        <v>3563509</v>
      </c>
      <c r="E123" s="947">
        <f t="shared" si="185"/>
        <v>5162758</v>
      </c>
      <c r="F123" s="947">
        <f t="shared" si="185"/>
        <v>5104024.375</v>
      </c>
      <c r="G123" s="947">
        <f t="shared" si="185"/>
        <v>5296024.375</v>
      </c>
      <c r="H123" s="947">
        <f t="shared" ref="H123" si="186">H18+H26+H80+H95+H103+H108+H113+H116+H122</f>
        <v>3944792.875</v>
      </c>
      <c r="I123" s="947">
        <f t="shared" si="185"/>
        <v>3408111.625</v>
      </c>
      <c r="J123" s="947">
        <f t="shared" si="185"/>
        <v>3466985</v>
      </c>
      <c r="K123" s="947">
        <f t="shared" si="185"/>
        <v>541578.75</v>
      </c>
      <c r="L123" s="947">
        <f t="shared" si="185"/>
        <v>3466985</v>
      </c>
      <c r="M123" s="947">
        <f t="shared" si="185"/>
        <v>3466985</v>
      </c>
      <c r="N123" s="947">
        <f t="shared" ref="N123:O123" si="187">N18+N26+N80+N95+N103+N108+N113+N116+N122</f>
        <v>3639713.5249999999</v>
      </c>
      <c r="O123" s="947">
        <f t="shared" si="187"/>
        <v>3466985</v>
      </c>
      <c r="P123" s="947">
        <f t="shared" si="185"/>
        <v>3132227.5</v>
      </c>
      <c r="Q123" s="947">
        <f t="shared" ref="Q123:R123" si="188">Q18+Q26+Q80+Q95+Q103+Q108+Q113+Q116+Q122</f>
        <v>3514985</v>
      </c>
      <c r="R123" s="947">
        <f t="shared" si="188"/>
        <v>3377450</v>
      </c>
      <c r="S123" s="947">
        <f t="shared" si="185"/>
        <v>3449450</v>
      </c>
      <c r="T123" s="947">
        <f t="shared" si="185"/>
        <v>1456353.125</v>
      </c>
      <c r="U123" s="947">
        <f>U18+U26+U80+U95+U103+U108+U113+U116+U122</f>
        <v>-1217644.3500000001</v>
      </c>
      <c r="V123" s="948">
        <f t="shared" ref="V123:AM123" si="189">V18+V26+V80+V95+V103+V108+V113+V116+V122</f>
        <v>70118637.924999997</v>
      </c>
      <c r="W123" s="946">
        <f t="shared" si="189"/>
        <v>1410000</v>
      </c>
      <c r="X123" s="947">
        <f t="shared" si="189"/>
        <v>570037</v>
      </c>
      <c r="Y123" s="947">
        <f t="shared" ref="Y123" si="190">Y18+Y26+Y80+Y95+Y103+Y108+Y113+Y116+Y122</f>
        <v>1440000</v>
      </c>
      <c r="Z123" s="947">
        <f t="shared" si="189"/>
        <v>846000</v>
      </c>
      <c r="AA123" s="952">
        <f t="shared" si="189"/>
        <v>4266037</v>
      </c>
      <c r="AB123" s="950">
        <f t="shared" si="189"/>
        <v>6519700</v>
      </c>
      <c r="AC123" s="1098">
        <f t="shared" si="189"/>
        <v>0</v>
      </c>
      <c r="AD123" s="946">
        <f t="shared" si="189"/>
        <v>4034350.2</v>
      </c>
      <c r="AE123" s="947">
        <f t="shared" si="189"/>
        <v>3773171.2</v>
      </c>
      <c r="AF123" s="947">
        <f t="shared" ref="AF123:AI123" si="191">AF18+AF26+AF80+AF95+AF103+AF108+AF113+AF116+AF122</f>
        <v>4213133.5</v>
      </c>
      <c r="AG123" s="947">
        <f t="shared" si="189"/>
        <v>3464570.375</v>
      </c>
      <c r="AH123" s="947">
        <f t="shared" ref="AH123" si="192">AH18+AH26+AH80+AH95+AH103+AH108+AH113+AH116+AH122</f>
        <v>705000</v>
      </c>
      <c r="AI123" s="947">
        <f t="shared" si="191"/>
        <v>3864697.8250000002</v>
      </c>
      <c r="AJ123" s="947">
        <f t="shared" si="189"/>
        <v>3500693.4550000001</v>
      </c>
      <c r="AK123" s="948">
        <f t="shared" si="189"/>
        <v>18877392.955000002</v>
      </c>
      <c r="AL123" s="950">
        <f t="shared" si="189"/>
        <v>0</v>
      </c>
      <c r="AM123" s="1097">
        <f t="shared" si="189"/>
        <v>0</v>
      </c>
      <c r="AN123" s="1096">
        <f>V123+AA123+AC123+AL123+AM123+AK123+AB123</f>
        <v>99781767.879999995</v>
      </c>
      <c r="AP123" s="679">
        <f>AN18+AN26+AN80+AN95+AN103+AN108+AN113+AN116+AN122</f>
        <v>99781767.879999995</v>
      </c>
    </row>
    <row r="124" spans="1:42" ht="30" x14ac:dyDescent="0.25">
      <c r="A124" s="411" t="s">
        <v>377</v>
      </c>
      <c r="B124" s="953"/>
      <c r="C124" s="954"/>
      <c r="D124" s="954"/>
      <c r="E124" s="954"/>
      <c r="F124" s="954"/>
      <c r="G124" s="954"/>
      <c r="H124" s="954"/>
      <c r="I124" s="954"/>
      <c r="J124" s="775"/>
      <c r="K124" s="775"/>
      <c r="L124" s="775"/>
      <c r="M124" s="775"/>
      <c r="N124" s="775"/>
      <c r="O124" s="775"/>
      <c r="P124" s="775"/>
      <c r="Q124" s="774"/>
      <c r="R124" s="774"/>
      <c r="S124" s="774"/>
      <c r="T124" s="1029"/>
      <c r="U124" s="776"/>
      <c r="V124" s="796">
        <f t="shared" ref="V124:V129" si="193">SUM(B124:T124)</f>
        <v>0</v>
      </c>
      <c r="W124" s="467"/>
      <c r="X124" s="468"/>
      <c r="Y124" s="468"/>
      <c r="Z124" s="468"/>
      <c r="AA124" s="469"/>
      <c r="AB124" s="477"/>
      <c r="AC124" s="797"/>
      <c r="AD124" s="1070"/>
      <c r="AE124" s="899"/>
      <c r="AF124" s="899"/>
      <c r="AG124" s="899"/>
      <c r="AH124" s="899"/>
      <c r="AI124" s="899"/>
      <c r="AJ124" s="899"/>
      <c r="AK124" s="1061"/>
      <c r="AL124" s="798"/>
      <c r="AM124" s="798"/>
      <c r="AN124" s="202">
        <f t="shared" si="177"/>
        <v>0</v>
      </c>
    </row>
    <row r="125" spans="1:42" ht="30" x14ac:dyDescent="0.25">
      <c r="A125" s="310" t="s">
        <v>378</v>
      </c>
      <c r="B125" s="955"/>
      <c r="C125" s="956"/>
      <c r="D125" s="956"/>
      <c r="E125" s="956"/>
      <c r="F125" s="956"/>
      <c r="G125" s="956"/>
      <c r="H125" s="956"/>
      <c r="I125" s="956"/>
      <c r="J125" s="730"/>
      <c r="K125" s="730"/>
      <c r="L125" s="730"/>
      <c r="M125" s="730"/>
      <c r="N125" s="730"/>
      <c r="O125" s="730"/>
      <c r="P125" s="730"/>
      <c r="Q125" s="729"/>
      <c r="R125" s="729"/>
      <c r="S125" s="729"/>
      <c r="T125" s="1025"/>
      <c r="U125" s="731"/>
      <c r="V125" s="805">
        <f t="shared" si="193"/>
        <v>0</v>
      </c>
      <c r="W125" s="495"/>
      <c r="X125" s="496"/>
      <c r="Y125" s="496"/>
      <c r="Z125" s="496"/>
      <c r="AA125" s="380"/>
      <c r="AB125" s="502"/>
      <c r="AC125" s="806"/>
      <c r="AD125" s="1073"/>
      <c r="AE125" s="901"/>
      <c r="AF125" s="901"/>
      <c r="AG125" s="901"/>
      <c r="AH125" s="901"/>
      <c r="AI125" s="901"/>
      <c r="AJ125" s="901"/>
      <c r="AK125" s="1058"/>
      <c r="AL125" s="807"/>
      <c r="AM125" s="807"/>
      <c r="AN125" s="215">
        <f t="shared" si="177"/>
        <v>0</v>
      </c>
    </row>
    <row r="126" spans="1:42" ht="60" x14ac:dyDescent="0.25">
      <c r="A126" s="310" t="s">
        <v>379</v>
      </c>
      <c r="B126" s="955"/>
      <c r="C126" s="956"/>
      <c r="D126" s="956"/>
      <c r="E126" s="956"/>
      <c r="F126" s="956"/>
      <c r="G126" s="956"/>
      <c r="H126" s="956"/>
      <c r="I126" s="956"/>
      <c r="J126" s="730"/>
      <c r="K126" s="730"/>
      <c r="L126" s="730"/>
      <c r="M126" s="730"/>
      <c r="N126" s="730"/>
      <c r="O126" s="730"/>
      <c r="P126" s="730"/>
      <c r="Q126" s="729"/>
      <c r="R126" s="729"/>
      <c r="S126" s="729"/>
      <c r="T126" s="1025"/>
      <c r="U126" s="731"/>
      <c r="V126" s="805">
        <f t="shared" si="193"/>
        <v>0</v>
      </c>
      <c r="W126" s="495"/>
      <c r="X126" s="496"/>
      <c r="Y126" s="496"/>
      <c r="Z126" s="496"/>
      <c r="AA126" s="380"/>
      <c r="AB126" s="502"/>
      <c r="AC126" s="806"/>
      <c r="AD126" s="1073"/>
      <c r="AE126" s="901"/>
      <c r="AF126" s="901"/>
      <c r="AG126" s="901"/>
      <c r="AH126" s="901"/>
      <c r="AI126" s="901"/>
      <c r="AJ126" s="901"/>
      <c r="AK126" s="1058"/>
      <c r="AL126" s="807"/>
      <c r="AM126" s="807"/>
      <c r="AN126" s="215">
        <f t="shared" si="177"/>
        <v>0</v>
      </c>
    </row>
    <row r="127" spans="1:42" ht="30" x14ac:dyDescent="0.25">
      <c r="A127" s="310" t="s">
        <v>380</v>
      </c>
      <c r="B127" s="955"/>
      <c r="C127" s="956"/>
      <c r="D127" s="956"/>
      <c r="E127" s="956"/>
      <c r="F127" s="956"/>
      <c r="G127" s="956"/>
      <c r="H127" s="956"/>
      <c r="I127" s="956"/>
      <c r="J127" s="730"/>
      <c r="K127" s="730"/>
      <c r="L127" s="730"/>
      <c r="M127" s="730"/>
      <c r="N127" s="730"/>
      <c r="O127" s="730"/>
      <c r="P127" s="730"/>
      <c r="Q127" s="729"/>
      <c r="R127" s="729"/>
      <c r="S127" s="729"/>
      <c r="T127" s="1025"/>
      <c r="U127" s="731"/>
      <c r="V127" s="805">
        <f t="shared" si="193"/>
        <v>0</v>
      </c>
      <c r="W127" s="495"/>
      <c r="X127" s="496"/>
      <c r="Y127" s="496"/>
      <c r="Z127" s="496"/>
      <c r="AA127" s="380"/>
      <c r="AB127" s="502"/>
      <c r="AC127" s="806"/>
      <c r="AD127" s="1073"/>
      <c r="AE127" s="901"/>
      <c r="AF127" s="901"/>
      <c r="AG127" s="901"/>
      <c r="AH127" s="901"/>
      <c r="AI127" s="901"/>
      <c r="AJ127" s="901"/>
      <c r="AK127" s="1058"/>
      <c r="AL127" s="807"/>
      <c r="AM127" s="807"/>
      <c r="AN127" s="215">
        <f t="shared" si="177"/>
        <v>0</v>
      </c>
    </row>
    <row r="128" spans="1:42" ht="30" x14ac:dyDescent="0.25">
      <c r="A128" s="310" t="s">
        <v>381</v>
      </c>
      <c r="B128" s="955"/>
      <c r="C128" s="956"/>
      <c r="D128" s="956"/>
      <c r="E128" s="956"/>
      <c r="F128" s="956"/>
      <c r="G128" s="956"/>
      <c r="H128" s="956"/>
      <c r="I128" s="956"/>
      <c r="J128" s="730"/>
      <c r="K128" s="730"/>
      <c r="L128" s="730"/>
      <c r="M128" s="730"/>
      <c r="N128" s="730"/>
      <c r="O128" s="730"/>
      <c r="P128" s="730"/>
      <c r="Q128" s="729"/>
      <c r="R128" s="729"/>
      <c r="S128" s="729"/>
      <c r="T128" s="1025"/>
      <c r="U128" s="731"/>
      <c r="V128" s="805">
        <f t="shared" si="193"/>
        <v>0</v>
      </c>
      <c r="W128" s="495"/>
      <c r="X128" s="496"/>
      <c r="Y128" s="496"/>
      <c r="Z128" s="496"/>
      <c r="AA128" s="380"/>
      <c r="AB128" s="502"/>
      <c r="AC128" s="806"/>
      <c r="AD128" s="1073"/>
      <c r="AE128" s="901"/>
      <c r="AF128" s="901"/>
      <c r="AG128" s="901"/>
      <c r="AH128" s="901"/>
      <c r="AI128" s="901"/>
      <c r="AJ128" s="901"/>
      <c r="AK128" s="1058"/>
      <c r="AL128" s="807"/>
      <c r="AM128" s="807"/>
      <c r="AN128" s="215">
        <f t="shared" si="177"/>
        <v>0</v>
      </c>
    </row>
    <row r="129" spans="1:40" ht="30" x14ac:dyDescent="0.25">
      <c r="A129" s="310" t="s">
        <v>382</v>
      </c>
      <c r="B129" s="955"/>
      <c r="C129" s="956"/>
      <c r="D129" s="956"/>
      <c r="E129" s="956"/>
      <c r="F129" s="956"/>
      <c r="G129" s="956"/>
      <c r="H129" s="956"/>
      <c r="I129" s="956"/>
      <c r="J129" s="730"/>
      <c r="K129" s="730"/>
      <c r="L129" s="730"/>
      <c r="M129" s="730"/>
      <c r="N129" s="730"/>
      <c r="O129" s="730"/>
      <c r="P129" s="730"/>
      <c r="Q129" s="729"/>
      <c r="R129" s="729"/>
      <c r="S129" s="729"/>
      <c r="T129" s="1025"/>
      <c r="U129" s="731"/>
      <c r="V129" s="805">
        <f t="shared" si="193"/>
        <v>0</v>
      </c>
      <c r="W129" s="495"/>
      <c r="X129" s="496"/>
      <c r="Y129" s="496"/>
      <c r="Z129" s="496"/>
      <c r="AA129" s="380"/>
      <c r="AB129" s="502"/>
      <c r="AC129" s="806"/>
      <c r="AD129" s="1073"/>
      <c r="AE129" s="901"/>
      <c r="AF129" s="901"/>
      <c r="AG129" s="901"/>
      <c r="AH129" s="901"/>
      <c r="AI129" s="901"/>
      <c r="AJ129" s="901"/>
      <c r="AK129" s="1058"/>
      <c r="AL129" s="807"/>
      <c r="AM129" s="807"/>
      <c r="AN129" s="215">
        <f t="shared" si="177"/>
        <v>0</v>
      </c>
    </row>
    <row r="130" spans="1:40" ht="30" x14ac:dyDescent="0.25">
      <c r="A130" s="478" t="s">
        <v>383</v>
      </c>
      <c r="B130" s="957">
        <f t="shared" ref="B130:K130" si="194">SUM(B124:B129)</f>
        <v>0</v>
      </c>
      <c r="C130" s="958">
        <f t="shared" si="194"/>
        <v>0</v>
      </c>
      <c r="D130" s="958">
        <f t="shared" si="194"/>
        <v>0</v>
      </c>
      <c r="E130" s="958"/>
      <c r="F130" s="958"/>
      <c r="G130" s="958"/>
      <c r="H130" s="958"/>
      <c r="I130" s="958"/>
      <c r="J130" s="800">
        <f t="shared" si="194"/>
        <v>0</v>
      </c>
      <c r="K130" s="800">
        <f t="shared" si="194"/>
        <v>0</v>
      </c>
      <c r="L130" s="800">
        <f>SUM(L124:L129)</f>
        <v>0</v>
      </c>
      <c r="M130" s="800"/>
      <c r="N130" s="800"/>
      <c r="O130" s="800"/>
      <c r="P130" s="800"/>
      <c r="Q130" s="799">
        <f>SUM(Q124:Q129)</f>
        <v>0</v>
      </c>
      <c r="R130" s="799">
        <f>SUM(R124:R129)</f>
        <v>0</v>
      </c>
      <c r="S130" s="799">
        <f>SUM(S124:S129)</f>
        <v>0</v>
      </c>
      <c r="T130" s="1032"/>
      <c r="U130" s="801">
        <f>SUM(U124:U129)</f>
        <v>0</v>
      </c>
      <c r="V130" s="802">
        <f>SUM(V124:V129)</f>
        <v>0</v>
      </c>
      <c r="W130" s="482"/>
      <c r="X130" s="483"/>
      <c r="Y130" s="483"/>
      <c r="Z130" s="483"/>
      <c r="AA130" s="484">
        <f>SUM(AA124:AA129)</f>
        <v>0</v>
      </c>
      <c r="AB130" s="492">
        <f>SUM(AB124:AB129)</f>
        <v>0</v>
      </c>
      <c r="AC130" s="803">
        <f>SUM(AC124:AC129)</f>
        <v>0</v>
      </c>
      <c r="AD130" s="1071"/>
      <c r="AE130" s="900"/>
      <c r="AF130" s="900"/>
      <c r="AG130" s="900"/>
      <c r="AH130" s="900"/>
      <c r="AI130" s="900"/>
      <c r="AJ130" s="900"/>
      <c r="AK130" s="1072">
        <f>SUM(AK124:AK129)</f>
        <v>0</v>
      </c>
      <c r="AL130" s="804">
        <f>SUM(AL124:AL129)</f>
        <v>0</v>
      </c>
      <c r="AM130" s="804">
        <f>SUM(AM124:AM129)</f>
        <v>0</v>
      </c>
      <c r="AN130" s="215">
        <f t="shared" si="177"/>
        <v>0</v>
      </c>
    </row>
    <row r="131" spans="1:40" ht="45" x14ac:dyDescent="0.25">
      <c r="A131" s="310" t="s">
        <v>384</v>
      </c>
      <c r="B131" s="955"/>
      <c r="C131" s="956"/>
      <c r="D131" s="956"/>
      <c r="E131" s="956"/>
      <c r="F131" s="956"/>
      <c r="G131" s="956"/>
      <c r="H131" s="956"/>
      <c r="I131" s="956"/>
      <c r="J131" s="730"/>
      <c r="K131" s="730"/>
      <c r="L131" s="730"/>
      <c r="M131" s="730"/>
      <c r="N131" s="730"/>
      <c r="O131" s="730"/>
      <c r="P131" s="730"/>
      <c r="Q131" s="729"/>
      <c r="R131" s="729"/>
      <c r="S131" s="729"/>
      <c r="T131" s="1025"/>
      <c r="U131" s="731"/>
      <c r="V131" s="805">
        <f>SUM(B131:T131)</f>
        <v>0</v>
      </c>
      <c r="W131" s="495"/>
      <c r="X131" s="496"/>
      <c r="Y131" s="496"/>
      <c r="Z131" s="496"/>
      <c r="AA131" s="380"/>
      <c r="AB131" s="502"/>
      <c r="AC131" s="806"/>
      <c r="AD131" s="1073"/>
      <c r="AE131" s="901"/>
      <c r="AF131" s="901"/>
      <c r="AG131" s="901"/>
      <c r="AH131" s="901"/>
      <c r="AI131" s="901"/>
      <c r="AJ131" s="901"/>
      <c r="AK131" s="1058"/>
      <c r="AL131" s="807"/>
      <c r="AM131" s="807"/>
      <c r="AN131" s="215">
        <f t="shared" si="177"/>
        <v>0</v>
      </c>
    </row>
    <row r="132" spans="1:40" x14ac:dyDescent="0.25">
      <c r="A132" s="478" t="s">
        <v>385</v>
      </c>
      <c r="B132" s="957">
        <f t="shared" ref="B132:K132" si="195">B131</f>
        <v>0</v>
      </c>
      <c r="C132" s="958">
        <f t="shared" si="195"/>
        <v>0</v>
      </c>
      <c r="D132" s="958">
        <f t="shared" si="195"/>
        <v>0</v>
      </c>
      <c r="E132" s="958"/>
      <c r="F132" s="958"/>
      <c r="G132" s="958"/>
      <c r="H132" s="958"/>
      <c r="I132" s="958"/>
      <c r="J132" s="800">
        <f t="shared" si="195"/>
        <v>0</v>
      </c>
      <c r="K132" s="800">
        <f t="shared" si="195"/>
        <v>0</v>
      </c>
      <c r="L132" s="800">
        <f>L131</f>
        <v>0</v>
      </c>
      <c r="M132" s="800"/>
      <c r="N132" s="800"/>
      <c r="O132" s="800"/>
      <c r="P132" s="800"/>
      <c r="Q132" s="799">
        <f>Q131</f>
        <v>0</v>
      </c>
      <c r="R132" s="799">
        <f>R131</f>
        <v>0</v>
      </c>
      <c r="S132" s="799">
        <f>S131</f>
        <v>0</v>
      </c>
      <c r="T132" s="1032"/>
      <c r="U132" s="801">
        <f>U131</f>
        <v>0</v>
      </c>
      <c r="V132" s="802">
        <f>V131</f>
        <v>0</v>
      </c>
      <c r="W132" s="482"/>
      <c r="X132" s="483"/>
      <c r="Y132" s="483"/>
      <c r="Z132" s="483"/>
      <c r="AA132" s="484">
        <f>AA131</f>
        <v>0</v>
      </c>
      <c r="AB132" s="492">
        <f>AB131</f>
        <v>0</v>
      </c>
      <c r="AC132" s="803">
        <f>AC131</f>
        <v>0</v>
      </c>
      <c r="AD132" s="1071"/>
      <c r="AE132" s="900"/>
      <c r="AF132" s="900"/>
      <c r="AG132" s="900"/>
      <c r="AH132" s="900"/>
      <c r="AI132" s="900"/>
      <c r="AJ132" s="900"/>
      <c r="AK132" s="1072">
        <f>AK131</f>
        <v>0</v>
      </c>
      <c r="AL132" s="804">
        <f>AL131</f>
        <v>0</v>
      </c>
      <c r="AM132" s="804">
        <f>AM131</f>
        <v>0</v>
      </c>
      <c r="AN132" s="215">
        <f t="shared" ref="AN132:AN163" si="196">V132+AA132+AC132+AL132+AM132+AK132+AB132</f>
        <v>0</v>
      </c>
    </row>
    <row r="133" spans="1:40" ht="30.75" thickBot="1" x14ac:dyDescent="0.3">
      <c r="A133" s="540" t="s">
        <v>386</v>
      </c>
      <c r="B133" s="959"/>
      <c r="C133" s="960"/>
      <c r="D133" s="960"/>
      <c r="E133" s="960"/>
      <c r="F133" s="960"/>
      <c r="G133" s="960"/>
      <c r="H133" s="960"/>
      <c r="I133" s="960"/>
      <c r="J133" s="809"/>
      <c r="K133" s="809"/>
      <c r="L133" s="809"/>
      <c r="M133" s="809"/>
      <c r="N133" s="809"/>
      <c r="O133" s="809"/>
      <c r="P133" s="809"/>
      <c r="Q133" s="808"/>
      <c r="R133" s="808"/>
      <c r="S133" s="808"/>
      <c r="T133" s="1033"/>
      <c r="U133" s="810"/>
      <c r="V133" s="822">
        <f>SUM(B133:T133)</f>
        <v>0</v>
      </c>
      <c r="W133" s="544"/>
      <c r="X133" s="545"/>
      <c r="Y133" s="545"/>
      <c r="Z133" s="545"/>
      <c r="AA133" s="546"/>
      <c r="AB133" s="554"/>
      <c r="AC133" s="823"/>
      <c r="AD133" s="1079"/>
      <c r="AE133" s="904"/>
      <c r="AF133" s="904"/>
      <c r="AG133" s="904"/>
      <c r="AH133" s="904"/>
      <c r="AI133" s="904"/>
      <c r="AJ133" s="904"/>
      <c r="AK133" s="1075"/>
      <c r="AL133" s="824"/>
      <c r="AM133" s="824"/>
      <c r="AN133" s="242">
        <f t="shared" si="196"/>
        <v>0</v>
      </c>
    </row>
    <row r="134" spans="1:40" ht="32.25" thickBot="1" x14ac:dyDescent="0.3">
      <c r="A134" s="433" t="s">
        <v>387</v>
      </c>
      <c r="B134" s="961">
        <f t="shared" ref="B134:K134" si="197">B130+B132+B133</f>
        <v>0</v>
      </c>
      <c r="C134" s="962">
        <f t="shared" si="197"/>
        <v>0</v>
      </c>
      <c r="D134" s="962">
        <f t="shared" si="197"/>
        <v>0</v>
      </c>
      <c r="E134" s="962"/>
      <c r="F134" s="962"/>
      <c r="G134" s="962"/>
      <c r="H134" s="962"/>
      <c r="I134" s="962"/>
      <c r="J134" s="783">
        <f t="shared" si="197"/>
        <v>0</v>
      </c>
      <c r="K134" s="783">
        <f t="shared" si="197"/>
        <v>0</v>
      </c>
      <c r="L134" s="783">
        <f>L130+L132+L133</f>
        <v>0</v>
      </c>
      <c r="M134" s="783"/>
      <c r="N134" s="783"/>
      <c r="O134" s="783"/>
      <c r="P134" s="783"/>
      <c r="Q134" s="782">
        <f>Q130+Q132+Q133</f>
        <v>0</v>
      </c>
      <c r="R134" s="782">
        <f>R130+R132+R133</f>
        <v>0</v>
      </c>
      <c r="S134" s="782">
        <f>S130+S132+S133</f>
        <v>0</v>
      </c>
      <c r="T134" s="1030"/>
      <c r="U134" s="784">
        <f>U130+U132+U133</f>
        <v>0</v>
      </c>
      <c r="V134" s="785">
        <f>V130+V132+V133</f>
        <v>0</v>
      </c>
      <c r="W134" s="437"/>
      <c r="X134" s="438"/>
      <c r="Y134" s="438"/>
      <c r="Z134" s="438"/>
      <c r="AA134" s="439">
        <f>AA130+AA132+AA133</f>
        <v>0</v>
      </c>
      <c r="AB134" s="447">
        <f>AB130+AB132+AB133</f>
        <v>0</v>
      </c>
      <c r="AC134" s="786">
        <f>AC130+AC132+AC133</f>
        <v>0</v>
      </c>
      <c r="AD134" s="1066"/>
      <c r="AE134" s="897"/>
      <c r="AF134" s="897"/>
      <c r="AG134" s="897"/>
      <c r="AH134" s="897"/>
      <c r="AI134" s="897"/>
      <c r="AJ134" s="897"/>
      <c r="AK134" s="1067">
        <f>AK130+AK132+AK133</f>
        <v>0</v>
      </c>
      <c r="AL134" s="787">
        <f>AL130+AL132+AL133</f>
        <v>0</v>
      </c>
      <c r="AM134" s="787">
        <f>AM130+AM132+AM133</f>
        <v>0</v>
      </c>
      <c r="AN134" s="788">
        <f t="shared" si="196"/>
        <v>0</v>
      </c>
    </row>
    <row r="135" spans="1:40" ht="30.75" thickBot="1" x14ac:dyDescent="0.3">
      <c r="A135" s="571" t="s">
        <v>388</v>
      </c>
      <c r="B135" s="963"/>
      <c r="C135" s="964"/>
      <c r="D135" s="964"/>
      <c r="E135" s="964"/>
      <c r="F135" s="964"/>
      <c r="G135" s="964"/>
      <c r="H135" s="964"/>
      <c r="I135" s="964"/>
      <c r="J135" s="835"/>
      <c r="K135" s="835"/>
      <c r="L135" s="835"/>
      <c r="M135" s="835"/>
      <c r="N135" s="835"/>
      <c r="O135" s="835"/>
      <c r="P135" s="835"/>
      <c r="Q135" s="834"/>
      <c r="R135" s="834"/>
      <c r="S135" s="834"/>
      <c r="T135" s="1037"/>
      <c r="U135" s="836"/>
      <c r="V135" s="708">
        <f>SUM(B135:T135)</f>
        <v>0</v>
      </c>
      <c r="W135" s="247"/>
      <c r="X135" s="248"/>
      <c r="Y135" s="248"/>
      <c r="Z135" s="248"/>
      <c r="AA135" s="577"/>
      <c r="AB135" s="589"/>
      <c r="AC135" s="840"/>
      <c r="AD135" s="1081"/>
      <c r="AE135" s="885"/>
      <c r="AF135" s="885"/>
      <c r="AG135" s="885"/>
      <c r="AH135" s="885"/>
      <c r="AI135" s="885"/>
      <c r="AJ135" s="885"/>
      <c r="AK135" s="1084"/>
      <c r="AL135" s="841"/>
      <c r="AM135" s="841"/>
      <c r="AN135" s="202">
        <f t="shared" si="196"/>
        <v>0</v>
      </c>
    </row>
    <row r="136" spans="1:40" ht="15.75" thickBot="1" x14ac:dyDescent="0.3">
      <c r="A136" s="571" t="s">
        <v>389</v>
      </c>
      <c r="B136" s="963"/>
      <c r="C136" s="964"/>
      <c r="D136" s="964"/>
      <c r="E136" s="964"/>
      <c r="F136" s="964"/>
      <c r="G136" s="964"/>
      <c r="H136" s="964"/>
      <c r="I136" s="964"/>
      <c r="J136" s="835"/>
      <c r="K136" s="835"/>
      <c r="L136" s="835"/>
      <c r="M136" s="835"/>
      <c r="N136" s="835"/>
      <c r="O136" s="835"/>
      <c r="P136" s="835"/>
      <c r="Q136" s="834"/>
      <c r="R136" s="834"/>
      <c r="S136" s="834"/>
      <c r="T136" s="1037"/>
      <c r="U136" s="836"/>
      <c r="V136" s="708">
        <f>SUM(B136:T136)</f>
        <v>0</v>
      </c>
      <c r="W136" s="247"/>
      <c r="X136" s="248"/>
      <c r="Y136" s="248"/>
      <c r="Z136" s="248"/>
      <c r="AA136" s="577"/>
      <c r="AB136" s="589"/>
      <c r="AC136" s="840"/>
      <c r="AD136" s="1081"/>
      <c r="AE136" s="885"/>
      <c r="AF136" s="885"/>
      <c r="AG136" s="885"/>
      <c r="AH136" s="885"/>
      <c r="AI136" s="885"/>
      <c r="AJ136" s="885"/>
      <c r="AK136" s="1084"/>
      <c r="AL136" s="841"/>
      <c r="AM136" s="841"/>
      <c r="AN136" s="202">
        <f t="shared" si="196"/>
        <v>0</v>
      </c>
    </row>
    <row r="137" spans="1:40" ht="30.75" thickBot="1" x14ac:dyDescent="0.3">
      <c r="A137" s="571" t="s">
        <v>390</v>
      </c>
      <c r="B137" s="963"/>
      <c r="C137" s="964"/>
      <c r="D137" s="964"/>
      <c r="E137" s="964"/>
      <c r="F137" s="964"/>
      <c r="G137" s="964"/>
      <c r="H137" s="964"/>
      <c r="I137" s="964"/>
      <c r="J137" s="835"/>
      <c r="K137" s="835"/>
      <c r="L137" s="835"/>
      <c r="M137" s="835"/>
      <c r="N137" s="835"/>
      <c r="O137" s="835"/>
      <c r="P137" s="835"/>
      <c r="Q137" s="834"/>
      <c r="R137" s="834"/>
      <c r="S137" s="834"/>
      <c r="T137" s="1037"/>
      <c r="U137" s="836"/>
      <c r="V137" s="708">
        <f>SUM(B137:T137)</f>
        <v>0</v>
      </c>
      <c r="W137" s="247"/>
      <c r="X137" s="248"/>
      <c r="Y137" s="248"/>
      <c r="Z137" s="248"/>
      <c r="AA137" s="577"/>
      <c r="AB137" s="589"/>
      <c r="AC137" s="840"/>
      <c r="AD137" s="1081"/>
      <c r="AE137" s="885"/>
      <c r="AF137" s="885"/>
      <c r="AG137" s="885"/>
      <c r="AH137" s="885"/>
      <c r="AI137" s="885"/>
      <c r="AJ137" s="885"/>
      <c r="AK137" s="1084"/>
      <c r="AL137" s="841"/>
      <c r="AM137" s="841"/>
      <c r="AN137" s="202">
        <f t="shared" si="196"/>
        <v>0</v>
      </c>
    </row>
    <row r="138" spans="1:40" ht="30.75" thickBot="1" x14ac:dyDescent="0.3">
      <c r="A138" s="339" t="s">
        <v>391</v>
      </c>
      <c r="B138" s="965">
        <f t="shared" ref="B138:K138" si="198">SUM(B135:B137)</f>
        <v>0</v>
      </c>
      <c r="C138" s="966">
        <f t="shared" si="198"/>
        <v>0</v>
      </c>
      <c r="D138" s="966">
        <f t="shared" si="198"/>
        <v>0</v>
      </c>
      <c r="E138" s="966"/>
      <c r="F138" s="966"/>
      <c r="G138" s="966"/>
      <c r="H138" s="966"/>
      <c r="I138" s="966"/>
      <c r="J138" s="741">
        <f t="shared" si="198"/>
        <v>0</v>
      </c>
      <c r="K138" s="741">
        <f t="shared" si="198"/>
        <v>0</v>
      </c>
      <c r="L138" s="741">
        <f>SUM(L135:L137)</f>
        <v>0</v>
      </c>
      <c r="M138" s="741"/>
      <c r="N138" s="741"/>
      <c r="O138" s="741"/>
      <c r="P138" s="741"/>
      <c r="Q138" s="740">
        <f>SUM(Q135:Q137)</f>
        <v>0</v>
      </c>
      <c r="R138" s="740">
        <f>SUM(R135:R137)</f>
        <v>0</v>
      </c>
      <c r="S138" s="740">
        <f>SUM(S135:S137)</f>
        <v>0</v>
      </c>
      <c r="T138" s="1027"/>
      <c r="U138" s="742">
        <f>SUM(U135:U137)</f>
        <v>0</v>
      </c>
      <c r="V138" s="743">
        <f>SUM(V135:V137)</f>
        <v>0</v>
      </c>
      <c r="W138" s="410"/>
      <c r="X138" s="343"/>
      <c r="Y138" s="343"/>
      <c r="Z138" s="343"/>
      <c r="AA138" s="249">
        <f>SUM(AA135:AA137)</f>
        <v>0</v>
      </c>
      <c r="AB138" s="349">
        <f>SUM(AB135:AB137)</f>
        <v>0</v>
      </c>
      <c r="AC138" s="744">
        <f>SUM(AC135:AC137)</f>
        <v>0</v>
      </c>
      <c r="AD138" s="1065"/>
      <c r="AE138" s="896"/>
      <c r="AF138" s="896"/>
      <c r="AG138" s="896"/>
      <c r="AH138" s="896"/>
      <c r="AI138" s="896"/>
      <c r="AJ138" s="896"/>
      <c r="AK138" s="1053">
        <f>SUM(AK135:AK137)</f>
        <v>0</v>
      </c>
      <c r="AL138" s="745">
        <f>SUM(AL135:AL137)</f>
        <v>0</v>
      </c>
      <c r="AM138" s="745">
        <f>SUM(AM135:AM137)</f>
        <v>0</v>
      </c>
      <c r="AN138" s="202">
        <f t="shared" si="196"/>
        <v>0</v>
      </c>
    </row>
    <row r="139" spans="1:40" ht="30.75" thickBot="1" x14ac:dyDescent="0.3">
      <c r="A139" s="339" t="s">
        <v>392</v>
      </c>
      <c r="B139" s="965"/>
      <c r="C139" s="966"/>
      <c r="D139" s="966"/>
      <c r="E139" s="966"/>
      <c r="F139" s="966"/>
      <c r="G139" s="966"/>
      <c r="H139" s="966"/>
      <c r="I139" s="966"/>
      <c r="J139" s="741"/>
      <c r="K139" s="741"/>
      <c r="L139" s="741"/>
      <c r="M139" s="741"/>
      <c r="N139" s="741"/>
      <c r="O139" s="741"/>
      <c r="P139" s="741"/>
      <c r="Q139" s="740"/>
      <c r="R139" s="740"/>
      <c r="S139" s="740"/>
      <c r="T139" s="1027"/>
      <c r="U139" s="742"/>
      <c r="V139" s="708">
        <f>SUM(B139:T139)</f>
        <v>0</v>
      </c>
      <c r="W139" s="247"/>
      <c r="X139" s="248"/>
      <c r="Y139" s="248"/>
      <c r="Z139" s="248"/>
      <c r="AA139" s="249"/>
      <c r="AB139" s="257"/>
      <c r="AC139" s="709"/>
      <c r="AD139" s="1081"/>
      <c r="AE139" s="885"/>
      <c r="AF139" s="885"/>
      <c r="AG139" s="885"/>
      <c r="AH139" s="885"/>
      <c r="AI139" s="885"/>
      <c r="AJ139" s="885"/>
      <c r="AK139" s="1053"/>
      <c r="AL139" s="710"/>
      <c r="AM139" s="710"/>
      <c r="AN139" s="202">
        <f t="shared" si="196"/>
        <v>0</v>
      </c>
    </row>
    <row r="140" spans="1:40" ht="32.25" thickBot="1" x14ac:dyDescent="0.3">
      <c r="A140" s="433" t="s">
        <v>393</v>
      </c>
      <c r="B140" s="961">
        <f t="shared" ref="B140:K140" si="199">B138+B139</f>
        <v>0</v>
      </c>
      <c r="C140" s="962">
        <f t="shared" si="199"/>
        <v>0</v>
      </c>
      <c r="D140" s="962">
        <f t="shared" si="199"/>
        <v>0</v>
      </c>
      <c r="E140" s="962"/>
      <c r="F140" s="962"/>
      <c r="G140" s="962"/>
      <c r="H140" s="962"/>
      <c r="I140" s="962"/>
      <c r="J140" s="783">
        <f t="shared" si="199"/>
        <v>0</v>
      </c>
      <c r="K140" s="783">
        <f t="shared" si="199"/>
        <v>0</v>
      </c>
      <c r="L140" s="783">
        <f>L138+L139</f>
        <v>0</v>
      </c>
      <c r="M140" s="783"/>
      <c r="N140" s="783"/>
      <c r="O140" s="783"/>
      <c r="P140" s="783"/>
      <c r="Q140" s="782">
        <f>Q138+Q139</f>
        <v>0</v>
      </c>
      <c r="R140" s="782">
        <f>R138+R139</f>
        <v>0</v>
      </c>
      <c r="S140" s="782">
        <f>S138+S139</f>
        <v>0</v>
      </c>
      <c r="T140" s="1030"/>
      <c r="U140" s="784">
        <f>U138+U139</f>
        <v>0</v>
      </c>
      <c r="V140" s="785">
        <f>V138+V139</f>
        <v>0</v>
      </c>
      <c r="W140" s="437"/>
      <c r="X140" s="438"/>
      <c r="Y140" s="438"/>
      <c r="Z140" s="438"/>
      <c r="AA140" s="439">
        <f>AA138+AA139</f>
        <v>0</v>
      </c>
      <c r="AB140" s="447">
        <f>AB138+AB139</f>
        <v>0</v>
      </c>
      <c r="AC140" s="786">
        <f>AC138+AC139</f>
        <v>0</v>
      </c>
      <c r="AD140" s="1066"/>
      <c r="AE140" s="897"/>
      <c r="AF140" s="897"/>
      <c r="AG140" s="897"/>
      <c r="AH140" s="897"/>
      <c r="AI140" s="897"/>
      <c r="AJ140" s="897"/>
      <c r="AK140" s="1067">
        <f>AK138+AK139</f>
        <v>0</v>
      </c>
      <c r="AL140" s="787">
        <f>AL138+AL139</f>
        <v>0</v>
      </c>
      <c r="AM140" s="787">
        <f>AM138+AM139</f>
        <v>0</v>
      </c>
      <c r="AN140" s="788">
        <f t="shared" si="196"/>
        <v>0</v>
      </c>
    </row>
    <row r="141" spans="1:40" ht="15.75" thickBot="1" x14ac:dyDescent="0.3">
      <c r="A141" s="595" t="s">
        <v>394</v>
      </c>
      <c r="B141" s="967"/>
      <c r="C141" s="968"/>
      <c r="D141" s="968"/>
      <c r="E141" s="968"/>
      <c r="F141" s="968"/>
      <c r="G141" s="968"/>
      <c r="H141" s="968"/>
      <c r="I141" s="968"/>
      <c r="J141" s="845"/>
      <c r="K141" s="845"/>
      <c r="L141" s="845"/>
      <c r="M141" s="845"/>
      <c r="N141" s="845"/>
      <c r="O141" s="845"/>
      <c r="P141" s="845"/>
      <c r="Q141" s="844"/>
      <c r="R141" s="844"/>
      <c r="S141" s="844"/>
      <c r="T141" s="1038"/>
      <c r="U141" s="846"/>
      <c r="V141" s="708">
        <f>SUM(B141:T141)</f>
        <v>0</v>
      </c>
      <c r="W141" s="247"/>
      <c r="X141" s="248"/>
      <c r="Y141" s="248"/>
      <c r="Z141" s="248"/>
      <c r="AA141" s="598"/>
      <c r="AB141" s="603"/>
      <c r="AC141" s="847"/>
      <c r="AD141" s="1081"/>
      <c r="AE141" s="885"/>
      <c r="AF141" s="885"/>
      <c r="AG141" s="885"/>
      <c r="AH141" s="885"/>
      <c r="AI141" s="885"/>
      <c r="AJ141" s="885"/>
      <c r="AK141" s="1085"/>
      <c r="AL141" s="848"/>
      <c r="AM141" s="848"/>
      <c r="AN141" s="202">
        <f t="shared" si="196"/>
        <v>0</v>
      </c>
    </row>
    <row r="142" spans="1:40" ht="30.75" thickBot="1" x14ac:dyDescent="0.3">
      <c r="A142" s="571" t="s">
        <v>395</v>
      </c>
      <c r="B142" s="963"/>
      <c r="C142" s="964"/>
      <c r="D142" s="964"/>
      <c r="E142" s="964"/>
      <c r="F142" s="964"/>
      <c r="G142" s="964"/>
      <c r="H142" s="964"/>
      <c r="I142" s="964"/>
      <c r="J142" s="835"/>
      <c r="K142" s="835"/>
      <c r="L142" s="835"/>
      <c r="M142" s="835"/>
      <c r="N142" s="835"/>
      <c r="O142" s="835"/>
      <c r="P142" s="835"/>
      <c r="Q142" s="834"/>
      <c r="R142" s="834"/>
      <c r="S142" s="834"/>
      <c r="T142" s="1037"/>
      <c r="U142" s="836"/>
      <c r="V142" s="708">
        <f>SUM(B142:T142)</f>
        <v>0</v>
      </c>
      <c r="W142" s="247"/>
      <c r="X142" s="248"/>
      <c r="Y142" s="248"/>
      <c r="Z142" s="248"/>
      <c r="AA142" s="577"/>
      <c r="AB142" s="589"/>
      <c r="AC142" s="840"/>
      <c r="AD142" s="1081"/>
      <c r="AE142" s="885"/>
      <c r="AF142" s="885"/>
      <c r="AG142" s="885"/>
      <c r="AH142" s="885"/>
      <c r="AI142" s="885"/>
      <c r="AJ142" s="885"/>
      <c r="AK142" s="1084"/>
      <c r="AL142" s="841"/>
      <c r="AM142" s="841"/>
      <c r="AN142" s="202">
        <f t="shared" si="196"/>
        <v>0</v>
      </c>
    </row>
    <row r="143" spans="1:40" ht="15.75" thickBot="1" x14ac:dyDescent="0.3">
      <c r="A143" s="339" t="s">
        <v>396</v>
      </c>
      <c r="B143" s="965">
        <f t="shared" ref="B143:K143" si="200">SUM(B141:B142)</f>
        <v>0</v>
      </c>
      <c r="C143" s="966">
        <f t="shared" si="200"/>
        <v>0</v>
      </c>
      <c r="D143" s="966">
        <f t="shared" si="200"/>
        <v>0</v>
      </c>
      <c r="E143" s="966"/>
      <c r="F143" s="966"/>
      <c r="G143" s="966"/>
      <c r="H143" s="966"/>
      <c r="I143" s="966"/>
      <c r="J143" s="741">
        <f t="shared" si="200"/>
        <v>0</v>
      </c>
      <c r="K143" s="741">
        <f t="shared" si="200"/>
        <v>0</v>
      </c>
      <c r="L143" s="741">
        <f>SUM(L141:L142)</f>
        <v>0</v>
      </c>
      <c r="M143" s="741"/>
      <c r="N143" s="741"/>
      <c r="O143" s="741"/>
      <c r="P143" s="741"/>
      <c r="Q143" s="740">
        <f>SUM(Q141:Q142)</f>
        <v>0</v>
      </c>
      <c r="R143" s="740">
        <f>SUM(R141:R142)</f>
        <v>0</v>
      </c>
      <c r="S143" s="740">
        <f>SUM(S141:S142)</f>
        <v>0</v>
      </c>
      <c r="T143" s="1027"/>
      <c r="U143" s="742">
        <f>SUM(U141:U142)</f>
        <v>0</v>
      </c>
      <c r="V143" s="743">
        <f>SUM(V141:V142)</f>
        <v>0</v>
      </c>
      <c r="W143" s="410"/>
      <c r="X143" s="343"/>
      <c r="Y143" s="343"/>
      <c r="Z143" s="343"/>
      <c r="AA143" s="249">
        <f>SUM(AA141:AA142)</f>
        <v>0</v>
      </c>
      <c r="AB143" s="349">
        <f>SUM(AB141:AB142)</f>
        <v>0</v>
      </c>
      <c r="AC143" s="744">
        <f>SUM(AC141:AC142)</f>
        <v>0</v>
      </c>
      <c r="AD143" s="1065"/>
      <c r="AE143" s="896"/>
      <c r="AF143" s="896"/>
      <c r="AG143" s="896"/>
      <c r="AH143" s="896"/>
      <c r="AI143" s="896"/>
      <c r="AJ143" s="896"/>
      <c r="AK143" s="1053">
        <f>SUM(AK141:AK142)</f>
        <v>0</v>
      </c>
      <c r="AL143" s="745">
        <f>SUM(AL141:AL142)</f>
        <v>0</v>
      </c>
      <c r="AM143" s="745">
        <f>SUM(AM141:AM142)</f>
        <v>0</v>
      </c>
      <c r="AN143" s="202">
        <f t="shared" si="196"/>
        <v>0</v>
      </c>
    </row>
    <row r="144" spans="1:40" ht="30.75" thickBot="1" x14ac:dyDescent="0.3">
      <c r="A144" s="565" t="s">
        <v>397</v>
      </c>
      <c r="B144" s="969"/>
      <c r="C144" s="970"/>
      <c r="D144" s="970"/>
      <c r="E144" s="970"/>
      <c r="F144" s="970"/>
      <c r="G144" s="970"/>
      <c r="H144" s="970"/>
      <c r="I144" s="970"/>
      <c r="J144" s="832"/>
      <c r="K144" s="832"/>
      <c r="L144" s="832"/>
      <c r="M144" s="832"/>
      <c r="N144" s="832"/>
      <c r="O144" s="832"/>
      <c r="P144" s="832"/>
      <c r="Q144" s="831"/>
      <c r="R144" s="831"/>
      <c r="S144" s="831"/>
      <c r="T144" s="1036"/>
      <c r="U144" s="833"/>
      <c r="V144" s="708">
        <f>SUM(B144:T144)</f>
        <v>0</v>
      </c>
      <c r="W144" s="247"/>
      <c r="X144" s="248"/>
      <c r="Y144" s="248"/>
      <c r="Z144" s="248"/>
      <c r="AA144" s="568"/>
      <c r="AB144" s="607"/>
      <c r="AC144" s="849"/>
      <c r="AD144" s="1081"/>
      <c r="AE144" s="885"/>
      <c r="AF144" s="885"/>
      <c r="AG144" s="885"/>
      <c r="AH144" s="885"/>
      <c r="AI144" s="885"/>
      <c r="AJ144" s="885"/>
      <c r="AK144" s="1082"/>
      <c r="AL144" s="850"/>
      <c r="AM144" s="850"/>
      <c r="AN144" s="202">
        <f t="shared" si="196"/>
        <v>0</v>
      </c>
    </row>
    <row r="145" spans="1:40" ht="30.75" thickBot="1" x14ac:dyDescent="0.3">
      <c r="A145" s="609" t="s">
        <v>398</v>
      </c>
      <c r="B145" s="969"/>
      <c r="C145" s="970"/>
      <c r="D145" s="970"/>
      <c r="E145" s="970"/>
      <c r="F145" s="970"/>
      <c r="G145" s="970"/>
      <c r="H145" s="970"/>
      <c r="I145" s="970"/>
      <c r="J145" s="832"/>
      <c r="K145" s="832"/>
      <c r="L145" s="832"/>
      <c r="M145" s="832"/>
      <c r="N145" s="832"/>
      <c r="O145" s="832"/>
      <c r="P145" s="832"/>
      <c r="Q145" s="831"/>
      <c r="R145" s="831"/>
      <c r="S145" s="831"/>
      <c r="T145" s="1036"/>
      <c r="U145" s="833"/>
      <c r="V145" s="708">
        <f>SUM(B145:T145)</f>
        <v>0</v>
      </c>
      <c r="W145" s="247"/>
      <c r="X145" s="248"/>
      <c r="Y145" s="248"/>
      <c r="Z145" s="248"/>
      <c r="AA145" s="568"/>
      <c r="AB145" s="607"/>
      <c r="AC145" s="849"/>
      <c r="AD145" s="1081"/>
      <c r="AE145" s="885"/>
      <c r="AF145" s="885"/>
      <c r="AG145" s="885"/>
      <c r="AH145" s="885"/>
      <c r="AI145" s="885"/>
      <c r="AJ145" s="885"/>
      <c r="AK145" s="1082"/>
      <c r="AL145" s="850"/>
      <c r="AM145" s="850"/>
      <c r="AN145" s="202">
        <f t="shared" si="196"/>
        <v>0</v>
      </c>
    </row>
    <row r="146" spans="1:40" ht="15.75" thickBot="1" x14ac:dyDescent="0.3">
      <c r="A146" s="571" t="s">
        <v>399</v>
      </c>
      <c r="B146" s="963">
        <f t="shared" ref="B146:K146" si="201">SUM(B144:B145)</f>
        <v>0</v>
      </c>
      <c r="C146" s="964">
        <f t="shared" si="201"/>
        <v>0</v>
      </c>
      <c r="D146" s="964">
        <f t="shared" si="201"/>
        <v>0</v>
      </c>
      <c r="E146" s="964"/>
      <c r="F146" s="964"/>
      <c r="G146" s="964"/>
      <c r="H146" s="964"/>
      <c r="I146" s="964"/>
      <c r="J146" s="835">
        <f t="shared" si="201"/>
        <v>0</v>
      </c>
      <c r="K146" s="835">
        <f t="shared" si="201"/>
        <v>0</v>
      </c>
      <c r="L146" s="835">
        <f>SUM(L144:L145)</f>
        <v>0</v>
      </c>
      <c r="M146" s="835"/>
      <c r="N146" s="835"/>
      <c r="O146" s="835"/>
      <c r="P146" s="835"/>
      <c r="Q146" s="834">
        <f>SUM(Q144:Q145)</f>
        <v>0</v>
      </c>
      <c r="R146" s="834">
        <f>SUM(R144:R145)</f>
        <v>0</v>
      </c>
      <c r="S146" s="834">
        <f>SUM(S144:S145)</f>
        <v>0</v>
      </c>
      <c r="T146" s="1037"/>
      <c r="U146" s="836">
        <f>SUM(U144:U145)</f>
        <v>0</v>
      </c>
      <c r="V146" s="837">
        <f>SUM(V144:V145)</f>
        <v>0</v>
      </c>
      <c r="W146" s="575"/>
      <c r="X146" s="576"/>
      <c r="Y146" s="576"/>
      <c r="Z146" s="576"/>
      <c r="AA146" s="577">
        <f>SUM(AA144:AA145)</f>
        <v>0</v>
      </c>
      <c r="AB146" s="585">
        <f>SUM(AB144:AB145)</f>
        <v>0</v>
      </c>
      <c r="AC146" s="838">
        <f>SUM(AC144:AC145)</f>
        <v>0</v>
      </c>
      <c r="AD146" s="1083"/>
      <c r="AE146" s="905"/>
      <c r="AF146" s="905"/>
      <c r="AG146" s="905"/>
      <c r="AH146" s="905"/>
      <c r="AI146" s="905"/>
      <c r="AJ146" s="905"/>
      <c r="AK146" s="1084">
        <f>SUM(AK144:AK145)</f>
        <v>0</v>
      </c>
      <c r="AL146" s="839">
        <f>SUM(AL144:AL145)</f>
        <v>0</v>
      </c>
      <c r="AM146" s="839">
        <f>SUM(AM144:AM145)</f>
        <v>0</v>
      </c>
      <c r="AN146" s="202">
        <f t="shared" si="196"/>
        <v>0</v>
      </c>
    </row>
    <row r="147" spans="1:40" ht="30.75" thickBot="1" x14ac:dyDescent="0.3">
      <c r="A147" s="609" t="s">
        <v>400</v>
      </c>
      <c r="B147" s="971"/>
      <c r="C147" s="972"/>
      <c r="D147" s="972"/>
      <c r="E147" s="972"/>
      <c r="F147" s="972"/>
      <c r="G147" s="972"/>
      <c r="H147" s="972"/>
      <c r="I147" s="972"/>
      <c r="J147" s="852"/>
      <c r="K147" s="852"/>
      <c r="L147" s="852"/>
      <c r="M147" s="852"/>
      <c r="N147" s="852"/>
      <c r="O147" s="852"/>
      <c r="P147" s="852"/>
      <c r="Q147" s="851"/>
      <c r="R147" s="851"/>
      <c r="S147" s="851"/>
      <c r="T147" s="1039"/>
      <c r="U147" s="853"/>
      <c r="V147" s="708">
        <f>SUM(B147:T147)</f>
        <v>0</v>
      </c>
      <c r="W147" s="247"/>
      <c r="X147" s="248"/>
      <c r="Y147" s="248"/>
      <c r="Z147" s="248"/>
      <c r="AA147" s="612"/>
      <c r="AB147" s="257"/>
      <c r="AC147" s="709"/>
      <c r="AD147" s="1081"/>
      <c r="AE147" s="885"/>
      <c r="AF147" s="885"/>
      <c r="AG147" s="885"/>
      <c r="AH147" s="885"/>
      <c r="AI147" s="885"/>
      <c r="AJ147" s="885"/>
      <c r="AK147" s="1086"/>
      <c r="AL147" s="710"/>
      <c r="AM147" s="710"/>
      <c r="AN147" s="202">
        <f t="shared" si="196"/>
        <v>0</v>
      </c>
    </row>
    <row r="148" spans="1:40" ht="30.75" thickBot="1" x14ac:dyDescent="0.3">
      <c r="A148" s="609" t="s">
        <v>401</v>
      </c>
      <c r="B148" s="971"/>
      <c r="C148" s="972"/>
      <c r="D148" s="972"/>
      <c r="E148" s="972"/>
      <c r="F148" s="972"/>
      <c r="G148" s="972"/>
      <c r="H148" s="972"/>
      <c r="I148" s="972"/>
      <c r="J148" s="852"/>
      <c r="K148" s="852"/>
      <c r="L148" s="852"/>
      <c r="M148" s="852"/>
      <c r="N148" s="852"/>
      <c r="O148" s="852"/>
      <c r="P148" s="852"/>
      <c r="Q148" s="851"/>
      <c r="R148" s="851"/>
      <c r="S148" s="851"/>
      <c r="T148" s="1039"/>
      <c r="U148" s="853"/>
      <c r="V148" s="708">
        <f>SUM(B148:T148)</f>
        <v>0</v>
      </c>
      <c r="W148" s="247"/>
      <c r="X148" s="248"/>
      <c r="Y148" s="248"/>
      <c r="Z148" s="248"/>
      <c r="AA148" s="612"/>
      <c r="AB148" s="257"/>
      <c r="AC148" s="709"/>
      <c r="AD148" s="1081"/>
      <c r="AE148" s="885"/>
      <c r="AF148" s="885"/>
      <c r="AG148" s="885"/>
      <c r="AH148" s="885"/>
      <c r="AI148" s="885"/>
      <c r="AJ148" s="885"/>
      <c r="AK148" s="1086"/>
      <c r="AL148" s="710"/>
      <c r="AM148" s="710"/>
      <c r="AN148" s="202">
        <f t="shared" si="196"/>
        <v>0</v>
      </c>
    </row>
    <row r="149" spans="1:40" ht="15.75" thickBot="1" x14ac:dyDescent="0.3">
      <c r="A149" s="571" t="s">
        <v>402</v>
      </c>
      <c r="B149" s="963">
        <f t="shared" ref="B149:K149" si="202">SUM(B147:B148)</f>
        <v>0</v>
      </c>
      <c r="C149" s="964">
        <f t="shared" si="202"/>
        <v>0</v>
      </c>
      <c r="D149" s="964">
        <f t="shared" si="202"/>
        <v>0</v>
      </c>
      <c r="E149" s="964"/>
      <c r="F149" s="964"/>
      <c r="G149" s="964"/>
      <c r="H149" s="964"/>
      <c r="I149" s="964"/>
      <c r="J149" s="835">
        <f t="shared" si="202"/>
        <v>0</v>
      </c>
      <c r="K149" s="835">
        <f t="shared" si="202"/>
        <v>0</v>
      </c>
      <c r="L149" s="835">
        <f>SUM(L147:L148)</f>
        <v>0</v>
      </c>
      <c r="M149" s="835"/>
      <c r="N149" s="835"/>
      <c r="O149" s="835"/>
      <c r="P149" s="835"/>
      <c r="Q149" s="834">
        <f>SUM(Q147:Q148)</f>
        <v>0</v>
      </c>
      <c r="R149" s="834">
        <f>SUM(R147:R148)</f>
        <v>0</v>
      </c>
      <c r="S149" s="834">
        <f>SUM(S147:S148)</f>
        <v>0</v>
      </c>
      <c r="T149" s="1037"/>
      <c r="U149" s="836">
        <f>SUM(U147:U148)</f>
        <v>0</v>
      </c>
      <c r="V149" s="837">
        <f>SUM(V147:V148)</f>
        <v>0</v>
      </c>
      <c r="W149" s="575"/>
      <c r="X149" s="576"/>
      <c r="Y149" s="576"/>
      <c r="Z149" s="576"/>
      <c r="AA149" s="577">
        <f>SUM(AA147:AA148)</f>
        <v>0</v>
      </c>
      <c r="AB149" s="585">
        <f>SUM(AB147:AB148)</f>
        <v>0</v>
      </c>
      <c r="AC149" s="838">
        <f>SUM(AC147:AC148)</f>
        <v>0</v>
      </c>
      <c r="AD149" s="1083"/>
      <c r="AE149" s="905"/>
      <c r="AF149" s="905"/>
      <c r="AG149" s="905"/>
      <c r="AH149" s="905"/>
      <c r="AI149" s="905"/>
      <c r="AJ149" s="905"/>
      <c r="AK149" s="1084">
        <f>SUM(AK147:AK148)</f>
        <v>0</v>
      </c>
      <c r="AL149" s="839">
        <f>SUM(AL147:AL148)</f>
        <v>0</v>
      </c>
      <c r="AM149" s="839">
        <f>SUM(AM147:AM148)</f>
        <v>0</v>
      </c>
      <c r="AN149" s="202">
        <f t="shared" si="196"/>
        <v>0</v>
      </c>
    </row>
    <row r="150" spans="1:40" ht="15.75" thickBot="1" x14ac:dyDescent="0.3">
      <c r="A150" s="609" t="s">
        <v>403</v>
      </c>
      <c r="B150" s="971"/>
      <c r="C150" s="972"/>
      <c r="D150" s="972"/>
      <c r="E150" s="972"/>
      <c r="F150" s="972"/>
      <c r="G150" s="972"/>
      <c r="H150" s="972"/>
      <c r="I150" s="972"/>
      <c r="J150" s="852"/>
      <c r="K150" s="852"/>
      <c r="L150" s="852"/>
      <c r="M150" s="852"/>
      <c r="N150" s="852"/>
      <c r="O150" s="852"/>
      <c r="P150" s="852"/>
      <c r="Q150" s="851"/>
      <c r="R150" s="851"/>
      <c r="S150" s="851"/>
      <c r="T150" s="1039"/>
      <c r="U150" s="853"/>
      <c r="V150" s="708">
        <f>SUM(B150:T150)</f>
        <v>0</v>
      </c>
      <c r="W150" s="247"/>
      <c r="X150" s="248"/>
      <c r="Y150" s="248"/>
      <c r="Z150" s="248"/>
      <c r="AA150" s="612"/>
      <c r="AB150" s="257"/>
      <c r="AC150" s="709"/>
      <c r="AD150" s="1081"/>
      <c r="AE150" s="885"/>
      <c r="AF150" s="885"/>
      <c r="AG150" s="885"/>
      <c r="AH150" s="885"/>
      <c r="AI150" s="885"/>
      <c r="AJ150" s="885"/>
      <c r="AK150" s="1086"/>
      <c r="AL150" s="710"/>
      <c r="AM150" s="710"/>
      <c r="AN150" s="202">
        <f t="shared" si="196"/>
        <v>0</v>
      </c>
    </row>
    <row r="151" spans="1:40" ht="30.75" thickBot="1" x14ac:dyDescent="0.3">
      <c r="A151" s="571" t="s">
        <v>404</v>
      </c>
      <c r="B151" s="963">
        <f t="shared" ref="B151:K151" si="203">B150</f>
        <v>0</v>
      </c>
      <c r="C151" s="964">
        <f t="shared" si="203"/>
        <v>0</v>
      </c>
      <c r="D151" s="964">
        <f t="shared" si="203"/>
        <v>0</v>
      </c>
      <c r="E151" s="964"/>
      <c r="F151" s="964"/>
      <c r="G151" s="964"/>
      <c r="H151" s="964"/>
      <c r="I151" s="964"/>
      <c r="J151" s="835">
        <f t="shared" si="203"/>
        <v>0</v>
      </c>
      <c r="K151" s="835">
        <f t="shared" si="203"/>
        <v>0</v>
      </c>
      <c r="L151" s="835">
        <f>L150</f>
        <v>0</v>
      </c>
      <c r="M151" s="835"/>
      <c r="N151" s="835"/>
      <c r="O151" s="835"/>
      <c r="P151" s="835"/>
      <c r="Q151" s="834">
        <f>Q150</f>
        <v>0</v>
      </c>
      <c r="R151" s="834">
        <f>R150</f>
        <v>0</v>
      </c>
      <c r="S151" s="834">
        <f>S150</f>
        <v>0</v>
      </c>
      <c r="T151" s="1037"/>
      <c r="U151" s="836">
        <f>U150</f>
        <v>0</v>
      </c>
      <c r="V151" s="837">
        <f>V150</f>
        <v>0</v>
      </c>
      <c r="W151" s="575"/>
      <c r="X151" s="576"/>
      <c r="Y151" s="576"/>
      <c r="Z151" s="576"/>
      <c r="AA151" s="577">
        <f>AA150</f>
        <v>0</v>
      </c>
      <c r="AB151" s="585">
        <f>AB150</f>
        <v>0</v>
      </c>
      <c r="AC151" s="838">
        <f>AC150</f>
        <v>0</v>
      </c>
      <c r="AD151" s="1083"/>
      <c r="AE151" s="905"/>
      <c r="AF151" s="905"/>
      <c r="AG151" s="905"/>
      <c r="AH151" s="905"/>
      <c r="AI151" s="905"/>
      <c r="AJ151" s="905"/>
      <c r="AK151" s="1084">
        <f>AK150</f>
        <v>0</v>
      </c>
      <c r="AL151" s="839">
        <f>AL150</f>
        <v>0</v>
      </c>
      <c r="AM151" s="839">
        <f>AM150</f>
        <v>0</v>
      </c>
      <c r="AN151" s="202">
        <f t="shared" si="196"/>
        <v>0</v>
      </c>
    </row>
    <row r="152" spans="1:40" ht="15.75" thickBot="1" x14ac:dyDescent="0.3">
      <c r="A152" s="339" t="s">
        <v>405</v>
      </c>
      <c r="B152" s="965">
        <f t="shared" ref="B152:K152" si="204">B146+B149+B151</f>
        <v>0</v>
      </c>
      <c r="C152" s="966">
        <f t="shared" si="204"/>
        <v>0</v>
      </c>
      <c r="D152" s="966">
        <f t="shared" si="204"/>
        <v>0</v>
      </c>
      <c r="E152" s="966"/>
      <c r="F152" s="966"/>
      <c r="G152" s="966"/>
      <c r="H152" s="966"/>
      <c r="I152" s="966"/>
      <c r="J152" s="741">
        <f t="shared" si="204"/>
        <v>0</v>
      </c>
      <c r="K152" s="741">
        <f t="shared" si="204"/>
        <v>0</v>
      </c>
      <c r="L152" s="741">
        <f>L146+L149+L151</f>
        <v>0</v>
      </c>
      <c r="M152" s="741"/>
      <c r="N152" s="741"/>
      <c r="O152" s="741"/>
      <c r="P152" s="741"/>
      <c r="Q152" s="740">
        <f>Q146+Q149+Q151</f>
        <v>0</v>
      </c>
      <c r="R152" s="740">
        <f>R146+R149+R151</f>
        <v>0</v>
      </c>
      <c r="S152" s="740">
        <f>S146+S149+S151</f>
        <v>0</v>
      </c>
      <c r="T152" s="1027"/>
      <c r="U152" s="742">
        <f>U146+U149+U151</f>
        <v>0</v>
      </c>
      <c r="V152" s="743">
        <f>V146+V149+V151</f>
        <v>0</v>
      </c>
      <c r="W152" s="410"/>
      <c r="X152" s="343"/>
      <c r="Y152" s="343"/>
      <c r="Z152" s="343"/>
      <c r="AA152" s="249">
        <f>AA146+AA149+AA151</f>
        <v>0</v>
      </c>
      <c r="AB152" s="349">
        <f>AB146+AB149+AB151</f>
        <v>0</v>
      </c>
      <c r="AC152" s="744">
        <f>AC146+AC149+AC151</f>
        <v>0</v>
      </c>
      <c r="AD152" s="1065"/>
      <c r="AE152" s="896"/>
      <c r="AF152" s="896"/>
      <c r="AG152" s="896"/>
      <c r="AH152" s="896"/>
      <c r="AI152" s="896"/>
      <c r="AJ152" s="896"/>
      <c r="AK152" s="1053">
        <f>AK146+AK149+AK151</f>
        <v>0</v>
      </c>
      <c r="AL152" s="745">
        <f>AL146+AL149+AL151</f>
        <v>0</v>
      </c>
      <c r="AM152" s="745">
        <f>AM146+AM149+AM151</f>
        <v>0</v>
      </c>
      <c r="AN152" s="202">
        <f t="shared" si="196"/>
        <v>0</v>
      </c>
    </row>
    <row r="153" spans="1:40" ht="15.75" thickBot="1" x14ac:dyDescent="0.3">
      <c r="A153" s="571" t="s">
        <v>406</v>
      </c>
      <c r="B153" s="963"/>
      <c r="C153" s="964"/>
      <c r="D153" s="964"/>
      <c r="E153" s="964"/>
      <c r="F153" s="964"/>
      <c r="G153" s="964"/>
      <c r="H153" s="964"/>
      <c r="I153" s="964"/>
      <c r="J153" s="835"/>
      <c r="K153" s="835"/>
      <c r="L153" s="835"/>
      <c r="M153" s="835"/>
      <c r="N153" s="835"/>
      <c r="O153" s="835"/>
      <c r="P153" s="835"/>
      <c r="Q153" s="834"/>
      <c r="R153" s="834"/>
      <c r="S153" s="834"/>
      <c r="T153" s="1037"/>
      <c r="U153" s="836"/>
      <c r="V153" s="708">
        <f>SUM(B153:T153)</f>
        <v>0</v>
      </c>
      <c r="W153" s="247"/>
      <c r="X153" s="248"/>
      <c r="Y153" s="248"/>
      <c r="Z153" s="248"/>
      <c r="AA153" s="577"/>
      <c r="AB153" s="589"/>
      <c r="AC153" s="840"/>
      <c r="AD153" s="1081"/>
      <c r="AE153" s="885"/>
      <c r="AF153" s="885"/>
      <c r="AG153" s="885"/>
      <c r="AH153" s="885"/>
      <c r="AI153" s="885"/>
      <c r="AJ153" s="885"/>
      <c r="AK153" s="1084"/>
      <c r="AL153" s="841"/>
      <c r="AM153" s="841"/>
      <c r="AN153" s="202">
        <f t="shared" si="196"/>
        <v>0</v>
      </c>
    </row>
    <row r="154" spans="1:40" ht="15.75" thickBot="1" x14ac:dyDescent="0.3">
      <c r="A154" s="571" t="s">
        <v>407</v>
      </c>
      <c r="B154" s="963"/>
      <c r="C154" s="964"/>
      <c r="D154" s="964"/>
      <c r="E154" s="964"/>
      <c r="F154" s="964"/>
      <c r="G154" s="964"/>
      <c r="H154" s="964"/>
      <c r="I154" s="964"/>
      <c r="J154" s="835"/>
      <c r="K154" s="835"/>
      <c r="L154" s="835"/>
      <c r="M154" s="835"/>
      <c r="N154" s="835"/>
      <c r="O154" s="835"/>
      <c r="P154" s="835"/>
      <c r="Q154" s="834"/>
      <c r="R154" s="834"/>
      <c r="S154" s="834"/>
      <c r="T154" s="1037"/>
      <c r="U154" s="836"/>
      <c r="V154" s="708">
        <f>SUM(B154:T154)</f>
        <v>0</v>
      </c>
      <c r="W154" s="247"/>
      <c r="X154" s="248"/>
      <c r="Y154" s="248"/>
      <c r="Z154" s="248"/>
      <c r="AA154" s="577"/>
      <c r="AB154" s="589"/>
      <c r="AC154" s="840"/>
      <c r="AD154" s="1081"/>
      <c r="AE154" s="885"/>
      <c r="AF154" s="885"/>
      <c r="AG154" s="885"/>
      <c r="AH154" s="885"/>
      <c r="AI154" s="885"/>
      <c r="AJ154" s="885"/>
      <c r="AK154" s="1084"/>
      <c r="AL154" s="841"/>
      <c r="AM154" s="841"/>
      <c r="AN154" s="202">
        <f t="shared" si="196"/>
        <v>0</v>
      </c>
    </row>
    <row r="155" spans="1:40" ht="15.75" thickBot="1" x14ac:dyDescent="0.3">
      <c r="A155" s="571" t="s">
        <v>408</v>
      </c>
      <c r="B155" s="963"/>
      <c r="C155" s="964"/>
      <c r="D155" s="964"/>
      <c r="E155" s="964"/>
      <c r="F155" s="964"/>
      <c r="G155" s="964"/>
      <c r="H155" s="964"/>
      <c r="I155" s="964"/>
      <c r="J155" s="835"/>
      <c r="K155" s="835"/>
      <c r="L155" s="835"/>
      <c r="M155" s="835"/>
      <c r="N155" s="835"/>
      <c r="O155" s="835"/>
      <c r="P155" s="835"/>
      <c r="Q155" s="834"/>
      <c r="R155" s="834"/>
      <c r="S155" s="834"/>
      <c r="T155" s="1037"/>
      <c r="U155" s="836"/>
      <c r="V155" s="708">
        <f>SUM(B155:T155)</f>
        <v>0</v>
      </c>
      <c r="W155" s="247"/>
      <c r="X155" s="248"/>
      <c r="Y155" s="248"/>
      <c r="Z155" s="248"/>
      <c r="AA155" s="577"/>
      <c r="AB155" s="589"/>
      <c r="AC155" s="840"/>
      <c r="AD155" s="1081"/>
      <c r="AE155" s="885"/>
      <c r="AF155" s="885"/>
      <c r="AG155" s="885"/>
      <c r="AH155" s="885"/>
      <c r="AI155" s="885"/>
      <c r="AJ155" s="885"/>
      <c r="AK155" s="1084"/>
      <c r="AL155" s="841"/>
      <c r="AM155" s="841"/>
      <c r="AN155" s="202">
        <f t="shared" si="196"/>
        <v>0</v>
      </c>
    </row>
    <row r="156" spans="1:40" ht="30.75" thickBot="1" x14ac:dyDescent="0.3">
      <c r="A156" s="571" t="s">
        <v>409</v>
      </c>
      <c r="B156" s="963"/>
      <c r="C156" s="964"/>
      <c r="D156" s="964"/>
      <c r="E156" s="964"/>
      <c r="F156" s="964"/>
      <c r="G156" s="964"/>
      <c r="H156" s="964"/>
      <c r="I156" s="964"/>
      <c r="J156" s="835"/>
      <c r="K156" s="835"/>
      <c r="L156" s="835"/>
      <c r="M156" s="835"/>
      <c r="N156" s="835"/>
      <c r="O156" s="835"/>
      <c r="P156" s="835"/>
      <c r="Q156" s="834"/>
      <c r="R156" s="834"/>
      <c r="S156" s="834"/>
      <c r="T156" s="1037"/>
      <c r="U156" s="836"/>
      <c r="V156" s="708">
        <f>SUM(B156:T156)</f>
        <v>0</v>
      </c>
      <c r="W156" s="247"/>
      <c r="X156" s="248"/>
      <c r="Y156" s="248"/>
      <c r="Z156" s="248"/>
      <c r="AA156" s="577"/>
      <c r="AB156" s="589"/>
      <c r="AC156" s="840"/>
      <c r="AD156" s="1081"/>
      <c r="AE156" s="885"/>
      <c r="AF156" s="885"/>
      <c r="AG156" s="885"/>
      <c r="AH156" s="885"/>
      <c r="AI156" s="885"/>
      <c r="AJ156" s="885"/>
      <c r="AK156" s="1084"/>
      <c r="AL156" s="841"/>
      <c r="AM156" s="841"/>
      <c r="AN156" s="202">
        <f t="shared" si="196"/>
        <v>0</v>
      </c>
    </row>
    <row r="157" spans="1:40" ht="15.75" thickBot="1" x14ac:dyDescent="0.3">
      <c r="A157" s="571" t="s">
        <v>410</v>
      </c>
      <c r="B157" s="963"/>
      <c r="C157" s="964"/>
      <c r="D157" s="964"/>
      <c r="E157" s="964"/>
      <c r="F157" s="964"/>
      <c r="G157" s="964"/>
      <c r="H157" s="964"/>
      <c r="I157" s="964"/>
      <c r="J157" s="835"/>
      <c r="K157" s="835"/>
      <c r="L157" s="835"/>
      <c r="M157" s="835"/>
      <c r="N157" s="835"/>
      <c r="O157" s="835"/>
      <c r="P157" s="835"/>
      <c r="Q157" s="834"/>
      <c r="R157" s="834"/>
      <c r="S157" s="834"/>
      <c r="T157" s="1037"/>
      <c r="U157" s="836"/>
      <c r="V157" s="708">
        <f>SUM(B157:T157)</f>
        <v>0</v>
      </c>
      <c r="W157" s="247"/>
      <c r="X157" s="248"/>
      <c r="Y157" s="248"/>
      <c r="Z157" s="248"/>
      <c r="AA157" s="577"/>
      <c r="AB157" s="589"/>
      <c r="AC157" s="840"/>
      <c r="AD157" s="1081"/>
      <c r="AE157" s="885"/>
      <c r="AF157" s="885"/>
      <c r="AG157" s="885"/>
      <c r="AH157" s="885"/>
      <c r="AI157" s="885"/>
      <c r="AJ157" s="885"/>
      <c r="AK157" s="1084"/>
      <c r="AL157" s="841"/>
      <c r="AM157" s="841"/>
      <c r="AN157" s="202">
        <f t="shared" si="196"/>
        <v>0</v>
      </c>
    </row>
    <row r="158" spans="1:40" ht="15.75" thickBot="1" x14ac:dyDescent="0.3">
      <c r="A158" s="339" t="s">
        <v>411</v>
      </c>
      <c r="B158" s="965">
        <f t="shared" ref="B158:K158" si="205">SUM(B153:B157)</f>
        <v>0</v>
      </c>
      <c r="C158" s="966">
        <f t="shared" si="205"/>
        <v>0</v>
      </c>
      <c r="D158" s="966">
        <f t="shared" si="205"/>
        <v>0</v>
      </c>
      <c r="E158" s="966"/>
      <c r="F158" s="966"/>
      <c r="G158" s="966"/>
      <c r="H158" s="966"/>
      <c r="I158" s="966"/>
      <c r="J158" s="741">
        <f t="shared" si="205"/>
        <v>0</v>
      </c>
      <c r="K158" s="741">
        <f t="shared" si="205"/>
        <v>0</v>
      </c>
      <c r="L158" s="741">
        <f>SUM(L153:L157)</f>
        <v>0</v>
      </c>
      <c r="M158" s="741"/>
      <c r="N158" s="741"/>
      <c r="O158" s="741"/>
      <c r="P158" s="741"/>
      <c r="Q158" s="740">
        <f>SUM(Q153:Q157)</f>
        <v>0</v>
      </c>
      <c r="R158" s="740">
        <f>SUM(R153:R157)</f>
        <v>0</v>
      </c>
      <c r="S158" s="740">
        <f>SUM(S153:S157)</f>
        <v>0</v>
      </c>
      <c r="T158" s="1027"/>
      <c r="U158" s="742">
        <f>SUM(U153:U157)</f>
        <v>0</v>
      </c>
      <c r="V158" s="743">
        <f>SUM(V153:V157)</f>
        <v>0</v>
      </c>
      <c r="W158" s="410"/>
      <c r="X158" s="343"/>
      <c r="Y158" s="343"/>
      <c r="Z158" s="343"/>
      <c r="AA158" s="249">
        <f>SUM(AA153:AA157)</f>
        <v>0</v>
      </c>
      <c r="AB158" s="349">
        <f>SUM(AB153:AB157)</f>
        <v>0</v>
      </c>
      <c r="AC158" s="744">
        <f>SUM(AC153:AC157)</f>
        <v>0</v>
      </c>
      <c r="AD158" s="1065"/>
      <c r="AE158" s="896"/>
      <c r="AF158" s="896"/>
      <c r="AG158" s="896"/>
      <c r="AH158" s="896"/>
      <c r="AI158" s="896"/>
      <c r="AJ158" s="896"/>
      <c r="AK158" s="1053">
        <f>SUM(AK153:AK157)</f>
        <v>0</v>
      </c>
      <c r="AL158" s="745">
        <f>SUM(AL153:AL157)</f>
        <v>0</v>
      </c>
      <c r="AM158" s="745">
        <f>SUM(AM153:AM157)</f>
        <v>0</v>
      </c>
      <c r="AN158" s="202">
        <f t="shared" si="196"/>
        <v>0</v>
      </c>
    </row>
    <row r="159" spans="1:40" ht="16.5" thickBot="1" x14ac:dyDescent="0.3">
      <c r="A159" s="433" t="s">
        <v>412</v>
      </c>
      <c r="B159" s="961">
        <f t="shared" ref="B159:K159" si="206">B143+B152+B158</f>
        <v>0</v>
      </c>
      <c r="C159" s="962">
        <f t="shared" si="206"/>
        <v>0</v>
      </c>
      <c r="D159" s="962">
        <f t="shared" si="206"/>
        <v>0</v>
      </c>
      <c r="E159" s="962"/>
      <c r="F159" s="962"/>
      <c r="G159" s="962"/>
      <c r="H159" s="962"/>
      <c r="I159" s="962"/>
      <c r="J159" s="783">
        <f t="shared" si="206"/>
        <v>0</v>
      </c>
      <c r="K159" s="783">
        <f t="shared" si="206"/>
        <v>0</v>
      </c>
      <c r="L159" s="783">
        <f>L143+L152+L158</f>
        <v>0</v>
      </c>
      <c r="M159" s="783"/>
      <c r="N159" s="783"/>
      <c r="O159" s="783"/>
      <c r="P159" s="783"/>
      <c r="Q159" s="782">
        <f>Q143+Q152+Q158</f>
        <v>0</v>
      </c>
      <c r="R159" s="782">
        <f>R143+R152+R158</f>
        <v>0</v>
      </c>
      <c r="S159" s="782">
        <f>S143+S152+S158</f>
        <v>0</v>
      </c>
      <c r="T159" s="1030"/>
      <c r="U159" s="784">
        <f>U143+U152+U158</f>
        <v>0</v>
      </c>
      <c r="V159" s="785">
        <f>V143+V152+V158</f>
        <v>0</v>
      </c>
      <c r="W159" s="437"/>
      <c r="X159" s="438"/>
      <c r="Y159" s="438"/>
      <c r="Z159" s="438"/>
      <c r="AA159" s="439">
        <f>AA143+AA152+AA158</f>
        <v>0</v>
      </c>
      <c r="AB159" s="447">
        <f>AB143+AB152+AB158</f>
        <v>0</v>
      </c>
      <c r="AC159" s="786">
        <f>AC143+AC152+AC158</f>
        <v>0</v>
      </c>
      <c r="AD159" s="1066"/>
      <c r="AE159" s="897"/>
      <c r="AF159" s="897"/>
      <c r="AG159" s="897"/>
      <c r="AH159" s="897"/>
      <c r="AI159" s="897"/>
      <c r="AJ159" s="897"/>
      <c r="AK159" s="1067">
        <f>AK143+AK152+AK158</f>
        <v>0</v>
      </c>
      <c r="AL159" s="787">
        <f>AL143+AL152+AL158</f>
        <v>0</v>
      </c>
      <c r="AM159" s="787">
        <f>AM143+AM152+AM158</f>
        <v>0</v>
      </c>
      <c r="AN159" s="788">
        <f t="shared" si="196"/>
        <v>0</v>
      </c>
    </row>
    <row r="160" spans="1:40" x14ac:dyDescent="0.25">
      <c r="A160" s="615" t="s">
        <v>413</v>
      </c>
      <c r="B160" s="973"/>
      <c r="C160" s="974"/>
      <c r="D160" s="974"/>
      <c r="E160" s="974"/>
      <c r="F160" s="974"/>
      <c r="G160" s="974"/>
      <c r="H160" s="974"/>
      <c r="I160" s="974"/>
      <c r="J160" s="855"/>
      <c r="K160" s="855"/>
      <c r="L160" s="855"/>
      <c r="M160" s="855"/>
      <c r="N160" s="855"/>
      <c r="O160" s="855"/>
      <c r="P160" s="855"/>
      <c r="Q160" s="854"/>
      <c r="R160" s="854"/>
      <c r="S160" s="854"/>
      <c r="T160" s="1040"/>
      <c r="U160" s="856"/>
      <c r="V160" s="857">
        <v>0</v>
      </c>
      <c r="W160" s="619"/>
      <c r="X160" s="620"/>
      <c r="Y160" s="620"/>
      <c r="Z160" s="620"/>
      <c r="AA160" s="621"/>
      <c r="AB160" s="629"/>
      <c r="AC160" s="858"/>
      <c r="AD160" s="1087"/>
      <c r="AE160" s="906"/>
      <c r="AF160" s="906"/>
      <c r="AG160" s="906"/>
      <c r="AH160" s="906"/>
      <c r="AI160" s="906"/>
      <c r="AJ160" s="906"/>
      <c r="AK160" s="1088"/>
      <c r="AL160" s="859"/>
      <c r="AM160" s="859"/>
      <c r="AN160" s="202">
        <f t="shared" si="196"/>
        <v>0</v>
      </c>
    </row>
    <row r="161" spans="1:40" ht="30" x14ac:dyDescent="0.25">
      <c r="A161" s="631" t="s">
        <v>414</v>
      </c>
      <c r="B161" s="975"/>
      <c r="C161" s="976"/>
      <c r="D161" s="976"/>
      <c r="E161" s="976"/>
      <c r="F161" s="976"/>
      <c r="G161" s="976"/>
      <c r="H161" s="976"/>
      <c r="I161" s="976"/>
      <c r="J161" s="861">
        <v>430200</v>
      </c>
      <c r="K161" s="861"/>
      <c r="L161" s="861">
        <v>430200</v>
      </c>
      <c r="M161" s="861"/>
      <c r="N161" s="861"/>
      <c r="O161" s="861"/>
      <c r="P161" s="861"/>
      <c r="Q161" s="860"/>
      <c r="R161" s="860"/>
      <c r="S161" s="860"/>
      <c r="T161" s="1041"/>
      <c r="U161" s="862"/>
      <c r="V161" s="863">
        <v>0</v>
      </c>
      <c r="W161" s="635"/>
      <c r="X161" s="636"/>
      <c r="Y161" s="636"/>
      <c r="Z161" s="636"/>
      <c r="AA161" s="637"/>
      <c r="AB161" s="645">
        <f>AB58</f>
        <v>1730000</v>
      </c>
      <c r="AC161" s="864"/>
      <c r="AD161" s="1089"/>
      <c r="AE161" s="907"/>
      <c r="AF161" s="907"/>
      <c r="AG161" s="907"/>
      <c r="AH161" s="907"/>
      <c r="AI161" s="907"/>
      <c r="AJ161" s="907"/>
      <c r="AK161" s="1090"/>
      <c r="AL161" s="865"/>
      <c r="AM161" s="865"/>
      <c r="AN161" s="215">
        <f t="shared" si="196"/>
        <v>1730000</v>
      </c>
    </row>
    <row r="162" spans="1:40" ht="45" x14ac:dyDescent="0.25">
      <c r="A162" s="310" t="s">
        <v>415</v>
      </c>
      <c r="B162" s="955"/>
      <c r="C162" s="956"/>
      <c r="D162" s="956"/>
      <c r="E162" s="956"/>
      <c r="F162" s="956"/>
      <c r="G162" s="956"/>
      <c r="H162" s="956"/>
      <c r="I162" s="956"/>
      <c r="J162" s="730"/>
      <c r="K162" s="730"/>
      <c r="L162" s="730"/>
      <c r="M162" s="730"/>
      <c r="N162" s="730"/>
      <c r="O162" s="730"/>
      <c r="P162" s="730"/>
      <c r="Q162" s="729"/>
      <c r="R162" s="729"/>
      <c r="S162" s="729"/>
      <c r="T162" s="1025"/>
      <c r="U162" s="731"/>
      <c r="V162" s="863">
        <v>0</v>
      </c>
      <c r="W162" s="635"/>
      <c r="X162" s="636"/>
      <c r="Y162" s="636"/>
      <c r="Z162" s="636"/>
      <c r="AA162" s="380"/>
      <c r="AB162" s="502"/>
      <c r="AC162" s="806"/>
      <c r="AD162" s="1089"/>
      <c r="AE162" s="907"/>
      <c r="AF162" s="907"/>
      <c r="AG162" s="907"/>
      <c r="AH162" s="907"/>
      <c r="AI162" s="907"/>
      <c r="AJ162" s="907"/>
      <c r="AK162" s="1058"/>
      <c r="AL162" s="807"/>
      <c r="AM162" s="807"/>
      <c r="AN162" s="215">
        <f t="shared" si="196"/>
        <v>0</v>
      </c>
    </row>
    <row r="163" spans="1:40" x14ac:dyDescent="0.25">
      <c r="A163" s="478" t="s">
        <v>416</v>
      </c>
      <c r="B163" s="957">
        <f t="shared" ref="B163:K163" si="207">B162</f>
        <v>0</v>
      </c>
      <c r="C163" s="958">
        <f t="shared" si="207"/>
        <v>0</v>
      </c>
      <c r="D163" s="958">
        <f t="shared" si="207"/>
        <v>0</v>
      </c>
      <c r="E163" s="958"/>
      <c r="F163" s="958"/>
      <c r="G163" s="958"/>
      <c r="H163" s="958"/>
      <c r="I163" s="958"/>
      <c r="J163" s="800">
        <f t="shared" si="207"/>
        <v>0</v>
      </c>
      <c r="K163" s="800">
        <f t="shared" si="207"/>
        <v>0</v>
      </c>
      <c r="L163" s="800">
        <f>L162</f>
        <v>0</v>
      </c>
      <c r="M163" s="800"/>
      <c r="N163" s="800"/>
      <c r="O163" s="800"/>
      <c r="P163" s="800"/>
      <c r="Q163" s="799">
        <f>Q162</f>
        <v>0</v>
      </c>
      <c r="R163" s="799">
        <f>R162</f>
        <v>0</v>
      </c>
      <c r="S163" s="799">
        <f>S162</f>
        <v>0</v>
      </c>
      <c r="T163" s="1032"/>
      <c r="U163" s="801">
        <f>U162</f>
        <v>0</v>
      </c>
      <c r="V163" s="863">
        <v>0</v>
      </c>
      <c r="W163" s="635"/>
      <c r="X163" s="636"/>
      <c r="Y163" s="636"/>
      <c r="Z163" s="636"/>
      <c r="AA163" s="484">
        <f>AA162</f>
        <v>0</v>
      </c>
      <c r="AB163" s="492">
        <f>AB162</f>
        <v>0</v>
      </c>
      <c r="AC163" s="803">
        <f>AC162</f>
        <v>0</v>
      </c>
      <c r="AD163" s="1089"/>
      <c r="AE163" s="907"/>
      <c r="AF163" s="907"/>
      <c r="AG163" s="907"/>
      <c r="AH163" s="907"/>
      <c r="AI163" s="907"/>
      <c r="AJ163" s="907"/>
      <c r="AK163" s="1072">
        <f>AK162</f>
        <v>0</v>
      </c>
      <c r="AL163" s="804">
        <f>AL162</f>
        <v>0</v>
      </c>
      <c r="AM163" s="804">
        <f>AM162</f>
        <v>0</v>
      </c>
      <c r="AN163" s="215">
        <f t="shared" si="196"/>
        <v>0</v>
      </c>
    </row>
    <row r="164" spans="1:40" x14ac:dyDescent="0.25">
      <c r="A164" s="478" t="s">
        <v>417</v>
      </c>
      <c r="B164" s="957"/>
      <c r="C164" s="958"/>
      <c r="D164" s="958"/>
      <c r="E164" s="958"/>
      <c r="F164" s="958"/>
      <c r="G164" s="958"/>
      <c r="H164" s="958"/>
      <c r="I164" s="958"/>
      <c r="J164" s="800"/>
      <c r="K164" s="800"/>
      <c r="L164" s="800"/>
      <c r="M164" s="800"/>
      <c r="N164" s="800"/>
      <c r="O164" s="800"/>
      <c r="P164" s="800"/>
      <c r="Q164" s="799"/>
      <c r="R164" s="799"/>
      <c r="S164" s="799"/>
      <c r="T164" s="1032"/>
      <c r="U164" s="801"/>
      <c r="V164" s="863">
        <v>0</v>
      </c>
      <c r="W164" s="635"/>
      <c r="X164" s="636"/>
      <c r="Y164" s="636"/>
      <c r="Z164" s="636"/>
      <c r="AA164" s="484"/>
      <c r="AB164" s="539"/>
      <c r="AC164" s="820"/>
      <c r="AD164" s="1089"/>
      <c r="AE164" s="907"/>
      <c r="AF164" s="907"/>
      <c r="AG164" s="907"/>
      <c r="AH164" s="907"/>
      <c r="AI164" s="907"/>
      <c r="AJ164" s="907"/>
      <c r="AK164" s="1072"/>
      <c r="AL164" s="821"/>
      <c r="AM164" s="821"/>
      <c r="AN164" s="215">
        <f t="shared" ref="AN164:AN186" si="208">V164+AA164+AC164+AL164+AM164+AK164+AB164</f>
        <v>0</v>
      </c>
    </row>
    <row r="165" spans="1:40" x14ac:dyDescent="0.25">
      <c r="A165" s="478" t="s">
        <v>418</v>
      </c>
      <c r="B165" s="957"/>
      <c r="C165" s="958"/>
      <c r="D165" s="958"/>
      <c r="E165" s="958"/>
      <c r="F165" s="958"/>
      <c r="G165" s="958"/>
      <c r="H165" s="958"/>
      <c r="I165" s="958"/>
      <c r="J165" s="800"/>
      <c r="K165" s="800"/>
      <c r="L165" s="800"/>
      <c r="M165" s="800"/>
      <c r="N165" s="800"/>
      <c r="O165" s="800"/>
      <c r="P165" s="800"/>
      <c r="Q165" s="799"/>
      <c r="R165" s="799"/>
      <c r="S165" s="799"/>
      <c r="T165" s="1032"/>
      <c r="U165" s="801"/>
      <c r="V165" s="863">
        <v>0</v>
      </c>
      <c r="W165" s="635"/>
      <c r="X165" s="636"/>
      <c r="Y165" s="636"/>
      <c r="Z165" s="636"/>
      <c r="AA165" s="484"/>
      <c r="AB165" s="539">
        <f>AB161*27%</f>
        <v>467100.00000000006</v>
      </c>
      <c r="AC165" s="820"/>
      <c r="AD165" s="1089"/>
      <c r="AE165" s="907"/>
      <c r="AF165" s="907"/>
      <c r="AG165" s="907"/>
      <c r="AH165" s="907"/>
      <c r="AI165" s="907"/>
      <c r="AJ165" s="907"/>
      <c r="AK165" s="1072"/>
      <c r="AL165" s="821"/>
      <c r="AM165" s="821"/>
      <c r="AN165" s="215">
        <f t="shared" si="208"/>
        <v>467100.00000000006</v>
      </c>
    </row>
    <row r="166" spans="1:40" x14ac:dyDescent="0.25">
      <c r="A166" s="478" t="s">
        <v>419</v>
      </c>
      <c r="B166" s="957"/>
      <c r="C166" s="958"/>
      <c r="D166" s="958"/>
      <c r="E166" s="958"/>
      <c r="F166" s="958"/>
      <c r="G166" s="958"/>
      <c r="H166" s="958"/>
      <c r="I166" s="958"/>
      <c r="J166" s="800"/>
      <c r="K166" s="800"/>
      <c r="L166" s="800"/>
      <c r="M166" s="800"/>
      <c r="N166" s="800"/>
      <c r="O166" s="800"/>
      <c r="P166" s="800"/>
      <c r="Q166" s="799"/>
      <c r="R166" s="799"/>
      <c r="S166" s="799"/>
      <c r="T166" s="1032"/>
      <c r="U166" s="801"/>
      <c r="V166" s="863">
        <v>0</v>
      </c>
      <c r="W166" s="635"/>
      <c r="X166" s="636"/>
      <c r="Y166" s="636"/>
      <c r="Z166" s="636"/>
      <c r="AA166" s="484"/>
      <c r="AB166" s="539"/>
      <c r="AC166" s="820"/>
      <c r="AD166" s="1089"/>
      <c r="AE166" s="907"/>
      <c r="AF166" s="907"/>
      <c r="AG166" s="907"/>
      <c r="AH166" s="907"/>
      <c r="AI166" s="907"/>
      <c r="AJ166" s="907"/>
      <c r="AK166" s="1072"/>
      <c r="AL166" s="821"/>
      <c r="AM166" s="821"/>
      <c r="AN166" s="215">
        <f t="shared" si="208"/>
        <v>0</v>
      </c>
    </row>
    <row r="167" spans="1:40" x14ac:dyDescent="0.25">
      <c r="A167" s="478" t="s">
        <v>420</v>
      </c>
      <c r="B167" s="957"/>
      <c r="C167" s="958"/>
      <c r="D167" s="958"/>
      <c r="E167" s="958"/>
      <c r="F167" s="958"/>
      <c r="G167" s="958"/>
      <c r="H167" s="958"/>
      <c r="I167" s="958"/>
      <c r="J167" s="800"/>
      <c r="K167" s="800"/>
      <c r="L167" s="800"/>
      <c r="M167" s="800"/>
      <c r="N167" s="800"/>
      <c r="O167" s="800"/>
      <c r="P167" s="800"/>
      <c r="Q167" s="799"/>
      <c r="R167" s="799"/>
      <c r="S167" s="799"/>
      <c r="T167" s="1032"/>
      <c r="U167" s="801"/>
      <c r="V167" s="805">
        <f>SUM(B167:T167)</f>
        <v>0</v>
      </c>
      <c r="W167" s="495"/>
      <c r="X167" s="496"/>
      <c r="Y167" s="496"/>
      <c r="Z167" s="496"/>
      <c r="AA167" s="484"/>
      <c r="AB167" s="539"/>
      <c r="AC167" s="820"/>
      <c r="AD167" s="1073"/>
      <c r="AE167" s="901"/>
      <c r="AF167" s="901"/>
      <c r="AG167" s="901"/>
      <c r="AH167" s="901"/>
      <c r="AI167" s="901"/>
      <c r="AJ167" s="901"/>
      <c r="AK167" s="1072"/>
      <c r="AL167" s="821"/>
      <c r="AM167" s="821"/>
      <c r="AN167" s="215">
        <f t="shared" si="208"/>
        <v>0</v>
      </c>
    </row>
    <row r="168" spans="1:40" ht="15.75" thickBot="1" x14ac:dyDescent="0.3">
      <c r="A168" s="325" t="s">
        <v>489</v>
      </c>
      <c r="B168" s="977"/>
      <c r="C168" s="978"/>
      <c r="D168" s="978"/>
      <c r="E168" s="978"/>
      <c r="F168" s="978"/>
      <c r="G168" s="978"/>
      <c r="H168" s="978"/>
      <c r="I168" s="978"/>
      <c r="J168" s="735"/>
      <c r="K168" s="735"/>
      <c r="L168" s="735"/>
      <c r="M168" s="735"/>
      <c r="N168" s="735"/>
      <c r="O168" s="735"/>
      <c r="P168" s="735"/>
      <c r="Q168" s="734"/>
      <c r="R168" s="734"/>
      <c r="S168" s="734"/>
      <c r="T168" s="1026"/>
      <c r="U168" s="736">
        <v>10000</v>
      </c>
      <c r="V168" s="822">
        <f>SUM(B168:U168)</f>
        <v>10000</v>
      </c>
      <c r="W168" s="544"/>
      <c r="X168" s="545"/>
      <c r="Y168" s="545"/>
      <c r="Z168" s="545"/>
      <c r="AA168" s="366"/>
      <c r="AB168" s="866"/>
      <c r="AC168" s="867"/>
      <c r="AD168" s="1079"/>
      <c r="AE168" s="904"/>
      <c r="AF168" s="904"/>
      <c r="AG168" s="904"/>
      <c r="AH168" s="904"/>
      <c r="AI168" s="904"/>
      <c r="AJ168" s="904">
        <v>3000</v>
      </c>
      <c r="AK168" s="1091">
        <f>AJ168</f>
        <v>3000</v>
      </c>
      <c r="AL168" s="868"/>
      <c r="AM168" s="868"/>
      <c r="AN168" s="242">
        <f t="shared" si="208"/>
        <v>13000</v>
      </c>
    </row>
    <row r="169" spans="1:40" ht="15.75" thickBot="1" x14ac:dyDescent="0.3">
      <c r="A169" s="339" t="s">
        <v>488</v>
      </c>
      <c r="B169" s="965">
        <f t="shared" ref="B169:K169" si="209">B168</f>
        <v>0</v>
      </c>
      <c r="C169" s="966">
        <f t="shared" si="209"/>
        <v>0</v>
      </c>
      <c r="D169" s="966">
        <f t="shared" si="209"/>
        <v>0</v>
      </c>
      <c r="E169" s="966"/>
      <c r="F169" s="966"/>
      <c r="G169" s="966"/>
      <c r="H169" s="966"/>
      <c r="I169" s="966"/>
      <c r="J169" s="741">
        <f t="shared" si="209"/>
        <v>0</v>
      </c>
      <c r="K169" s="741">
        <f t="shared" si="209"/>
        <v>0</v>
      </c>
      <c r="L169" s="741">
        <f>L168</f>
        <v>0</v>
      </c>
      <c r="M169" s="741"/>
      <c r="N169" s="741"/>
      <c r="O169" s="741"/>
      <c r="P169" s="741"/>
      <c r="Q169" s="740">
        <f>Q168</f>
        <v>0</v>
      </c>
      <c r="R169" s="740">
        <f>R168</f>
        <v>0</v>
      </c>
      <c r="S169" s="740">
        <f>S168</f>
        <v>0</v>
      </c>
      <c r="T169" s="1027"/>
      <c r="U169" s="742">
        <f>U168</f>
        <v>10000</v>
      </c>
      <c r="V169" s="743">
        <f>V168</f>
        <v>10000</v>
      </c>
      <c r="W169" s="410"/>
      <c r="X169" s="343"/>
      <c r="Y169" s="343"/>
      <c r="Z169" s="343"/>
      <c r="AA169" s="249">
        <f>AA168</f>
        <v>0</v>
      </c>
      <c r="AB169" s="349">
        <f>AB168</f>
        <v>0</v>
      </c>
      <c r="AC169" s="744">
        <f>AC168</f>
        <v>0</v>
      </c>
      <c r="AD169" s="890"/>
      <c r="AE169" s="896"/>
      <c r="AF169" s="896"/>
      <c r="AG169" s="896"/>
      <c r="AH169" s="896"/>
      <c r="AI169" s="896"/>
      <c r="AJ169" s="896">
        <f>AJ168</f>
        <v>3000</v>
      </c>
      <c r="AK169" s="1053">
        <f>AK168</f>
        <v>3000</v>
      </c>
      <c r="AL169" s="745">
        <f>AL168</f>
        <v>0</v>
      </c>
      <c r="AM169" s="745">
        <f>AM168</f>
        <v>0</v>
      </c>
      <c r="AN169" s="202">
        <f t="shared" si="208"/>
        <v>13000</v>
      </c>
    </row>
    <row r="170" spans="1:40" ht="16.5" thickBot="1" x14ac:dyDescent="0.3">
      <c r="A170" s="433" t="s">
        <v>422</v>
      </c>
      <c r="B170" s="961">
        <f t="shared" ref="B170:K170" si="210">B163+B164+B165+B166+B167+B169</f>
        <v>0</v>
      </c>
      <c r="C170" s="962">
        <f t="shared" si="210"/>
        <v>0</v>
      </c>
      <c r="D170" s="962">
        <f t="shared" si="210"/>
        <v>0</v>
      </c>
      <c r="E170" s="962"/>
      <c r="F170" s="962"/>
      <c r="G170" s="962"/>
      <c r="H170" s="962"/>
      <c r="I170" s="962"/>
      <c r="J170" s="783">
        <f>J163+J164+J165+J166+J167+J169+J160+J161</f>
        <v>430200</v>
      </c>
      <c r="K170" s="783">
        <f t="shared" si="210"/>
        <v>0</v>
      </c>
      <c r="L170" s="783">
        <f>L163+L164+L165+L166+L167+L169+L160+L161</f>
        <v>430200</v>
      </c>
      <c r="M170" s="783"/>
      <c r="N170" s="783"/>
      <c r="O170" s="783"/>
      <c r="P170" s="783"/>
      <c r="Q170" s="782">
        <f>Q163+Q164+Q165+Q166+Q167+Q169</f>
        <v>0</v>
      </c>
      <c r="R170" s="782">
        <f>R163+R164+R165+R166+R167+R169</f>
        <v>0</v>
      </c>
      <c r="S170" s="782">
        <f>S163+S164+S165+S166+S167+S169</f>
        <v>0</v>
      </c>
      <c r="T170" s="1030"/>
      <c r="U170" s="784">
        <f>U163+U164+U165+U166+U167+U169</f>
        <v>10000</v>
      </c>
      <c r="V170" s="785">
        <f>V163+V164+V165+V166+V167+V169+V160+V161</f>
        <v>10000</v>
      </c>
      <c r="W170" s="437"/>
      <c r="X170" s="438"/>
      <c r="Y170" s="438"/>
      <c r="Z170" s="438"/>
      <c r="AA170" s="439">
        <f>AA163+AA164+AA165+AA166+AA167+AA169+AA160+AA161</f>
        <v>0</v>
      </c>
      <c r="AB170" s="447">
        <f>AB163+AB164+AB165+AB166+AB167+AB169+AB160+AB161</f>
        <v>2197100</v>
      </c>
      <c r="AC170" s="786">
        <f>AC163+AC164+AC165+AC166+AC167+AC169+AC160+AC161</f>
        <v>0</v>
      </c>
      <c r="AD170" s="1066"/>
      <c r="AE170" s="897"/>
      <c r="AF170" s="897"/>
      <c r="AG170" s="897"/>
      <c r="AH170" s="897"/>
      <c r="AI170" s="897"/>
      <c r="AJ170" s="897">
        <f>AJ160+AJ161+AJ163+AJ164+AJ165+AJ166+AJ167+AJ169</f>
        <v>3000</v>
      </c>
      <c r="AK170" s="1067">
        <f>AK163+AK164+AK165+AK166+AK167+AK169+AK160+AK161</f>
        <v>3000</v>
      </c>
      <c r="AL170" s="787">
        <f>AL163+AL164+AL165+AL166+AL167+AL169+AL160+AL161</f>
        <v>0</v>
      </c>
      <c r="AM170" s="787">
        <f>AM163+AM164+AM165+AM166+AM167+AM169+AM160+AM161</f>
        <v>0</v>
      </c>
      <c r="AN170" s="788">
        <f t="shared" si="208"/>
        <v>2210100</v>
      </c>
    </row>
    <row r="171" spans="1:40" x14ac:dyDescent="0.25">
      <c r="A171" s="556" t="s">
        <v>423</v>
      </c>
      <c r="B171" s="979"/>
      <c r="C171" s="980"/>
      <c r="D171" s="980"/>
      <c r="E171" s="980"/>
      <c r="F171" s="980"/>
      <c r="G171" s="980"/>
      <c r="H171" s="980"/>
      <c r="I171" s="980"/>
      <c r="J171" s="826"/>
      <c r="K171" s="826"/>
      <c r="L171" s="826"/>
      <c r="M171" s="826"/>
      <c r="N171" s="826"/>
      <c r="O171" s="826"/>
      <c r="P171" s="826"/>
      <c r="Q171" s="825"/>
      <c r="R171" s="825"/>
      <c r="S171" s="825"/>
      <c r="T171" s="1035"/>
      <c r="U171" s="827"/>
      <c r="V171" s="796">
        <f>SUM(B171:T171)</f>
        <v>0</v>
      </c>
      <c r="W171" s="467"/>
      <c r="X171" s="468"/>
      <c r="Y171" s="468"/>
      <c r="Z171" s="468"/>
      <c r="AA171" s="559"/>
      <c r="AB171" s="564"/>
      <c r="AC171" s="828"/>
      <c r="AD171" s="1070"/>
      <c r="AE171" s="899"/>
      <c r="AF171" s="899"/>
      <c r="AG171" s="899"/>
      <c r="AH171" s="899"/>
      <c r="AI171" s="899"/>
      <c r="AJ171" s="899"/>
      <c r="AK171" s="1080"/>
      <c r="AL171" s="829"/>
      <c r="AM171" s="829"/>
      <c r="AN171" s="202">
        <f t="shared" si="208"/>
        <v>0</v>
      </c>
    </row>
    <row r="172" spans="1:40" ht="15.75" thickBot="1" x14ac:dyDescent="0.3">
      <c r="A172" s="540" t="s">
        <v>424</v>
      </c>
      <c r="B172" s="959"/>
      <c r="C172" s="960"/>
      <c r="D172" s="960"/>
      <c r="E172" s="960"/>
      <c r="F172" s="960"/>
      <c r="G172" s="960"/>
      <c r="H172" s="960"/>
      <c r="I172" s="960"/>
      <c r="J172" s="809"/>
      <c r="K172" s="809"/>
      <c r="L172" s="809"/>
      <c r="M172" s="809"/>
      <c r="N172" s="809"/>
      <c r="O172" s="809"/>
      <c r="P172" s="809"/>
      <c r="Q172" s="808"/>
      <c r="R172" s="808"/>
      <c r="S172" s="808"/>
      <c r="T172" s="1033"/>
      <c r="U172" s="810"/>
      <c r="V172" s="822">
        <f>SUM(B172:T172)</f>
        <v>0</v>
      </c>
      <c r="W172" s="544"/>
      <c r="X172" s="545"/>
      <c r="Y172" s="545"/>
      <c r="Z172" s="545"/>
      <c r="AA172" s="546"/>
      <c r="AB172" s="554"/>
      <c r="AC172" s="823"/>
      <c r="AD172" s="1079"/>
      <c r="AE172" s="904"/>
      <c r="AF172" s="904"/>
      <c r="AG172" s="904"/>
      <c r="AH172" s="904"/>
      <c r="AI172" s="904"/>
      <c r="AJ172" s="904"/>
      <c r="AK172" s="1075"/>
      <c r="AL172" s="824"/>
      <c r="AM172" s="824"/>
      <c r="AN172" s="242">
        <f t="shared" si="208"/>
        <v>0</v>
      </c>
    </row>
    <row r="173" spans="1:40" ht="16.5" thickBot="1" x14ac:dyDescent="0.3">
      <c r="A173" s="433" t="s">
        <v>425</v>
      </c>
      <c r="B173" s="961">
        <f t="shared" ref="B173:K173" si="211">SUM(B171:B172)</f>
        <v>0</v>
      </c>
      <c r="C173" s="962">
        <f t="shared" si="211"/>
        <v>0</v>
      </c>
      <c r="D173" s="962">
        <f t="shared" si="211"/>
        <v>0</v>
      </c>
      <c r="E173" s="962"/>
      <c r="F173" s="962"/>
      <c r="G173" s="962"/>
      <c r="H173" s="962"/>
      <c r="I173" s="962"/>
      <c r="J173" s="783">
        <f t="shared" si="211"/>
        <v>0</v>
      </c>
      <c r="K173" s="783">
        <f t="shared" si="211"/>
        <v>0</v>
      </c>
      <c r="L173" s="783">
        <f>SUM(L171:L172)</f>
        <v>0</v>
      </c>
      <c r="M173" s="783"/>
      <c r="N173" s="783"/>
      <c r="O173" s="783"/>
      <c r="P173" s="783"/>
      <c r="Q173" s="782">
        <f>SUM(Q171:Q172)</f>
        <v>0</v>
      </c>
      <c r="R173" s="782">
        <f>SUM(R171:R172)</f>
        <v>0</v>
      </c>
      <c r="S173" s="782">
        <f>SUM(S171:S172)</f>
        <v>0</v>
      </c>
      <c r="T173" s="1030"/>
      <c r="U173" s="784">
        <f>SUM(U171:U172)</f>
        <v>0</v>
      </c>
      <c r="V173" s="785">
        <f>SUM(V171:V172)</f>
        <v>0</v>
      </c>
      <c r="W173" s="437"/>
      <c r="X173" s="438"/>
      <c r="Y173" s="438"/>
      <c r="Z173" s="438"/>
      <c r="AA173" s="439">
        <f>SUM(AA171:AA172)</f>
        <v>0</v>
      </c>
      <c r="AB173" s="447">
        <f>SUM(AB171:AB172)</f>
        <v>0</v>
      </c>
      <c r="AC173" s="786">
        <f>SUM(AC171:AC172)</f>
        <v>0</v>
      </c>
      <c r="AD173" s="1066"/>
      <c r="AE173" s="897"/>
      <c r="AF173" s="897"/>
      <c r="AG173" s="897"/>
      <c r="AH173" s="897"/>
      <c r="AI173" s="897"/>
      <c r="AJ173" s="897"/>
      <c r="AK173" s="1067">
        <f>SUM(AK171:AK172)</f>
        <v>0</v>
      </c>
      <c r="AL173" s="787">
        <f>SUM(AL171:AL172)</f>
        <v>0</v>
      </c>
      <c r="AM173" s="787">
        <f>SUM(AM171:AM172)</f>
        <v>0</v>
      </c>
      <c r="AN173" s="788">
        <f t="shared" si="208"/>
        <v>0</v>
      </c>
    </row>
    <row r="174" spans="1:40" ht="30.75" thickBot="1" x14ac:dyDescent="0.3">
      <c r="A174" s="657" t="s">
        <v>426</v>
      </c>
      <c r="B174" s="981"/>
      <c r="C174" s="982"/>
      <c r="D174" s="982"/>
      <c r="E174" s="982"/>
      <c r="F174" s="982"/>
      <c r="G174" s="982"/>
      <c r="H174" s="982"/>
      <c r="I174" s="982"/>
      <c r="J174" s="870"/>
      <c r="K174" s="870"/>
      <c r="L174" s="870"/>
      <c r="M174" s="870"/>
      <c r="N174" s="870"/>
      <c r="O174" s="870"/>
      <c r="P174" s="870"/>
      <c r="Q174" s="869"/>
      <c r="R174" s="869"/>
      <c r="S174" s="869"/>
      <c r="T174" s="1042"/>
      <c r="U174" s="871"/>
      <c r="V174" s="872">
        <f>SUM(B174:T174)</f>
        <v>0</v>
      </c>
      <c r="W174" s="661"/>
      <c r="X174" s="662"/>
      <c r="Y174" s="662"/>
      <c r="Z174" s="662"/>
      <c r="AA174" s="663"/>
      <c r="AB174" s="671"/>
      <c r="AC174" s="873"/>
      <c r="AD174" s="1092"/>
      <c r="AE174" s="908"/>
      <c r="AF174" s="908"/>
      <c r="AG174" s="908"/>
      <c r="AH174" s="908"/>
      <c r="AI174" s="908"/>
      <c r="AJ174" s="908"/>
      <c r="AK174" s="1093"/>
      <c r="AL174" s="874"/>
      <c r="AM174" s="874"/>
      <c r="AN174" s="202">
        <f t="shared" si="208"/>
        <v>0</v>
      </c>
    </row>
    <row r="175" spans="1:40" ht="16.5" thickBot="1" x14ac:dyDescent="0.3">
      <c r="A175" s="433" t="s">
        <v>427</v>
      </c>
      <c r="B175" s="961">
        <f t="shared" ref="B175:K175" si="212">B174</f>
        <v>0</v>
      </c>
      <c r="C175" s="962">
        <f t="shared" si="212"/>
        <v>0</v>
      </c>
      <c r="D175" s="962">
        <f t="shared" si="212"/>
        <v>0</v>
      </c>
      <c r="E175" s="962"/>
      <c r="F175" s="962"/>
      <c r="G175" s="962"/>
      <c r="H175" s="962"/>
      <c r="I175" s="962"/>
      <c r="J175" s="783">
        <f t="shared" si="212"/>
        <v>0</v>
      </c>
      <c r="K175" s="783">
        <f t="shared" si="212"/>
        <v>0</v>
      </c>
      <c r="L175" s="783">
        <f>L174</f>
        <v>0</v>
      </c>
      <c r="M175" s="783"/>
      <c r="N175" s="783"/>
      <c r="O175" s="783"/>
      <c r="P175" s="783"/>
      <c r="Q175" s="782">
        <f>Q174</f>
        <v>0</v>
      </c>
      <c r="R175" s="782">
        <f>R174</f>
        <v>0</v>
      </c>
      <c r="S175" s="782">
        <f>S174</f>
        <v>0</v>
      </c>
      <c r="T175" s="1030"/>
      <c r="U175" s="784">
        <f>U174</f>
        <v>0</v>
      </c>
      <c r="V175" s="785">
        <f>V174</f>
        <v>0</v>
      </c>
      <c r="W175" s="437"/>
      <c r="X175" s="438"/>
      <c r="Y175" s="438"/>
      <c r="Z175" s="438"/>
      <c r="AA175" s="439">
        <f>AA174</f>
        <v>0</v>
      </c>
      <c r="AB175" s="447">
        <f>AB174</f>
        <v>0</v>
      </c>
      <c r="AC175" s="786">
        <f>AC174</f>
        <v>0</v>
      </c>
      <c r="AD175" s="1066"/>
      <c r="AE175" s="897"/>
      <c r="AF175" s="897"/>
      <c r="AG175" s="897"/>
      <c r="AH175" s="897"/>
      <c r="AI175" s="897"/>
      <c r="AJ175" s="897"/>
      <c r="AK175" s="1067">
        <f>AK174</f>
        <v>0</v>
      </c>
      <c r="AL175" s="787">
        <f>AL174</f>
        <v>0</v>
      </c>
      <c r="AM175" s="787">
        <f>AM174</f>
        <v>0</v>
      </c>
      <c r="AN175" s="788">
        <f t="shared" si="208"/>
        <v>0</v>
      </c>
    </row>
    <row r="176" spans="1:40" ht="30.75" thickBot="1" x14ac:dyDescent="0.3">
      <c r="A176" s="657" t="s">
        <v>428</v>
      </c>
      <c r="B176" s="981"/>
      <c r="C176" s="982"/>
      <c r="D176" s="982"/>
      <c r="E176" s="982"/>
      <c r="F176" s="982"/>
      <c r="G176" s="982"/>
      <c r="H176" s="982"/>
      <c r="I176" s="982"/>
      <c r="J176" s="870"/>
      <c r="K176" s="870"/>
      <c r="L176" s="870"/>
      <c r="M176" s="870"/>
      <c r="N176" s="870"/>
      <c r="O176" s="870"/>
      <c r="P176" s="870"/>
      <c r="Q176" s="869"/>
      <c r="R176" s="869"/>
      <c r="S176" s="869"/>
      <c r="T176" s="1042"/>
      <c r="U176" s="871"/>
      <c r="V176" s="872"/>
      <c r="W176" s="661"/>
      <c r="X176" s="662"/>
      <c r="Y176" s="662"/>
      <c r="Z176" s="662"/>
      <c r="AA176" s="663"/>
      <c r="AB176" s="671"/>
      <c r="AC176" s="873"/>
      <c r="AD176" s="1092"/>
      <c r="AE176" s="908"/>
      <c r="AF176" s="908"/>
      <c r="AG176" s="908"/>
      <c r="AH176" s="908"/>
      <c r="AI176" s="908"/>
      <c r="AJ176" s="908"/>
      <c r="AK176" s="1093"/>
      <c r="AL176" s="874"/>
      <c r="AM176" s="874"/>
      <c r="AN176" s="202">
        <f t="shared" si="208"/>
        <v>0</v>
      </c>
    </row>
    <row r="177" spans="1:42" ht="32.25" thickBot="1" x14ac:dyDescent="0.3">
      <c r="A177" s="433" t="s">
        <v>429</v>
      </c>
      <c r="B177" s="961">
        <f t="shared" ref="B177:K177" si="213">B176</f>
        <v>0</v>
      </c>
      <c r="C177" s="962">
        <f t="shared" si="213"/>
        <v>0</v>
      </c>
      <c r="D177" s="962">
        <f t="shared" si="213"/>
        <v>0</v>
      </c>
      <c r="E177" s="962"/>
      <c r="F177" s="962"/>
      <c r="G177" s="962"/>
      <c r="H177" s="962"/>
      <c r="I177" s="962"/>
      <c r="J177" s="783">
        <f t="shared" si="213"/>
        <v>0</v>
      </c>
      <c r="K177" s="783">
        <f t="shared" si="213"/>
        <v>0</v>
      </c>
      <c r="L177" s="783">
        <f>L176</f>
        <v>0</v>
      </c>
      <c r="M177" s="783"/>
      <c r="N177" s="783"/>
      <c r="O177" s="783"/>
      <c r="P177" s="783"/>
      <c r="Q177" s="782">
        <f>Q176</f>
        <v>0</v>
      </c>
      <c r="R177" s="782">
        <f>R176</f>
        <v>0</v>
      </c>
      <c r="S177" s="782">
        <f>S176</f>
        <v>0</v>
      </c>
      <c r="T177" s="1030"/>
      <c r="U177" s="784">
        <f>U176</f>
        <v>0</v>
      </c>
      <c r="V177" s="785">
        <f>V176</f>
        <v>0</v>
      </c>
      <c r="W177" s="437"/>
      <c r="X177" s="438"/>
      <c r="Y177" s="438"/>
      <c r="Z177" s="438"/>
      <c r="AA177" s="439">
        <f>AA176</f>
        <v>0</v>
      </c>
      <c r="AB177" s="447">
        <f>AB176</f>
        <v>0</v>
      </c>
      <c r="AC177" s="786">
        <f>AC176</f>
        <v>0</v>
      </c>
      <c r="AD177" s="1066"/>
      <c r="AE177" s="897"/>
      <c r="AF177" s="897"/>
      <c r="AG177" s="897"/>
      <c r="AH177" s="897"/>
      <c r="AI177" s="897"/>
      <c r="AJ177" s="897"/>
      <c r="AK177" s="1067">
        <f>AK176</f>
        <v>0</v>
      </c>
      <c r="AL177" s="787">
        <f>AL176</f>
        <v>0</v>
      </c>
      <c r="AM177" s="787">
        <f>AM176</f>
        <v>0</v>
      </c>
      <c r="AN177" s="788">
        <f t="shared" si="208"/>
        <v>0</v>
      </c>
    </row>
    <row r="178" spans="1:42" ht="30" x14ac:dyDescent="0.25">
      <c r="A178" s="352" t="s">
        <v>430</v>
      </c>
      <c r="B178" s="983"/>
      <c r="C178" s="984"/>
      <c r="D178" s="984"/>
      <c r="E178" s="984"/>
      <c r="F178" s="984"/>
      <c r="G178" s="984"/>
      <c r="H178" s="984"/>
      <c r="I178" s="984"/>
      <c r="J178" s="690"/>
      <c r="K178" s="690"/>
      <c r="L178" s="690"/>
      <c r="M178" s="690"/>
      <c r="N178" s="690"/>
      <c r="O178" s="690"/>
      <c r="P178" s="690"/>
      <c r="Q178" s="746"/>
      <c r="R178" s="746"/>
      <c r="S178" s="746"/>
      <c r="T178" s="1017"/>
      <c r="U178" s="691"/>
      <c r="V178" s="796">
        <f>SUM(B178:T178)</f>
        <v>0</v>
      </c>
      <c r="W178" s="467"/>
      <c r="X178" s="468"/>
      <c r="Y178" s="468"/>
      <c r="Z178" s="468"/>
      <c r="AA178" s="673"/>
      <c r="AB178" s="564"/>
      <c r="AC178" s="828"/>
      <c r="AD178" s="1070"/>
      <c r="AE178" s="899"/>
      <c r="AF178" s="899"/>
      <c r="AG178" s="899"/>
      <c r="AH178" s="899"/>
      <c r="AI178" s="899"/>
      <c r="AJ178" s="899"/>
      <c r="AK178" s="1094"/>
      <c r="AL178" s="829"/>
      <c r="AM178" s="829"/>
      <c r="AN178" s="202">
        <f t="shared" si="208"/>
        <v>0</v>
      </c>
    </row>
    <row r="179" spans="1:42" x14ac:dyDescent="0.25">
      <c r="A179" s="310" t="s">
        <v>431</v>
      </c>
      <c r="B179" s="955">
        <f t="shared" ref="B179:K179" si="214">B178</f>
        <v>0</v>
      </c>
      <c r="C179" s="956">
        <f t="shared" si="214"/>
        <v>0</v>
      </c>
      <c r="D179" s="956">
        <f t="shared" si="214"/>
        <v>0</v>
      </c>
      <c r="E179" s="956"/>
      <c r="F179" s="956"/>
      <c r="G179" s="956"/>
      <c r="H179" s="956"/>
      <c r="I179" s="956"/>
      <c r="J179" s="730">
        <f t="shared" si="214"/>
        <v>0</v>
      </c>
      <c r="K179" s="730">
        <f t="shared" si="214"/>
        <v>0</v>
      </c>
      <c r="L179" s="730">
        <f>L178</f>
        <v>0</v>
      </c>
      <c r="M179" s="730"/>
      <c r="N179" s="730"/>
      <c r="O179" s="730"/>
      <c r="P179" s="730"/>
      <c r="Q179" s="729">
        <f>Q178</f>
        <v>0</v>
      </c>
      <c r="R179" s="729">
        <f>R178</f>
        <v>0</v>
      </c>
      <c r="S179" s="729">
        <f>S178</f>
        <v>0</v>
      </c>
      <c r="T179" s="1025"/>
      <c r="U179" s="731">
        <f>U178</f>
        <v>0</v>
      </c>
      <c r="V179" s="875">
        <f>V178</f>
        <v>0</v>
      </c>
      <c r="W179" s="314"/>
      <c r="X179" s="315"/>
      <c r="Y179" s="315"/>
      <c r="Z179" s="315"/>
      <c r="AA179" s="380">
        <f>AA178</f>
        <v>0</v>
      </c>
      <c r="AB179" s="361">
        <f>AB178</f>
        <v>0</v>
      </c>
      <c r="AC179" s="750">
        <f>AC178</f>
        <v>0</v>
      </c>
      <c r="AD179" s="891"/>
      <c r="AE179" s="888"/>
      <c r="AF179" s="888"/>
      <c r="AG179" s="888"/>
      <c r="AH179" s="888"/>
      <c r="AI179" s="888"/>
      <c r="AJ179" s="888"/>
      <c r="AK179" s="1058">
        <f>AK178</f>
        <v>0</v>
      </c>
      <c r="AL179" s="751">
        <f>AL178</f>
        <v>0</v>
      </c>
      <c r="AM179" s="751">
        <f>AM178</f>
        <v>0</v>
      </c>
      <c r="AN179" s="215">
        <f t="shared" si="208"/>
        <v>0</v>
      </c>
    </row>
    <row r="180" spans="1:42" ht="30" x14ac:dyDescent="0.25">
      <c r="A180" s="216" t="s">
        <v>432</v>
      </c>
      <c r="B180" s="985"/>
      <c r="C180" s="986"/>
      <c r="D180" s="986"/>
      <c r="E180" s="986"/>
      <c r="F180" s="986"/>
      <c r="G180" s="986"/>
      <c r="H180" s="986"/>
      <c r="I180" s="986"/>
      <c r="J180" s="699"/>
      <c r="K180" s="699"/>
      <c r="L180" s="699"/>
      <c r="M180" s="699"/>
      <c r="N180" s="699"/>
      <c r="O180" s="699"/>
      <c r="P180" s="699"/>
      <c r="Q180" s="728"/>
      <c r="R180" s="728"/>
      <c r="S180" s="728"/>
      <c r="T180" s="1018"/>
      <c r="U180" s="700"/>
      <c r="V180" s="805">
        <f>SUM(B180:T180)</f>
        <v>0</v>
      </c>
      <c r="W180" s="495"/>
      <c r="X180" s="496"/>
      <c r="Y180" s="496"/>
      <c r="Z180" s="496"/>
      <c r="AA180" s="676"/>
      <c r="AB180" s="539"/>
      <c r="AC180" s="820"/>
      <c r="AD180" s="1073"/>
      <c r="AE180" s="901"/>
      <c r="AF180" s="901"/>
      <c r="AG180" s="901"/>
      <c r="AH180" s="901"/>
      <c r="AI180" s="901"/>
      <c r="AJ180" s="901"/>
      <c r="AK180" s="1095"/>
      <c r="AL180" s="821"/>
      <c r="AM180" s="821"/>
      <c r="AN180" s="215">
        <f t="shared" si="208"/>
        <v>0</v>
      </c>
    </row>
    <row r="181" spans="1:42" x14ac:dyDescent="0.25">
      <c r="A181" s="310" t="s">
        <v>433</v>
      </c>
      <c r="B181" s="955">
        <f t="shared" ref="B181:K181" si="215">B180</f>
        <v>0</v>
      </c>
      <c r="C181" s="956">
        <f t="shared" si="215"/>
        <v>0</v>
      </c>
      <c r="D181" s="956">
        <f t="shared" si="215"/>
        <v>0</v>
      </c>
      <c r="E181" s="956"/>
      <c r="F181" s="956"/>
      <c r="G181" s="956"/>
      <c r="H181" s="956"/>
      <c r="I181" s="956"/>
      <c r="J181" s="730">
        <f t="shared" si="215"/>
        <v>0</v>
      </c>
      <c r="K181" s="730">
        <f t="shared" si="215"/>
        <v>0</v>
      </c>
      <c r="L181" s="730">
        <f>L180</f>
        <v>0</v>
      </c>
      <c r="M181" s="730"/>
      <c r="N181" s="730"/>
      <c r="O181" s="730"/>
      <c r="P181" s="730"/>
      <c r="Q181" s="729">
        <f>Q180</f>
        <v>0</v>
      </c>
      <c r="R181" s="729">
        <f>R180</f>
        <v>0</v>
      </c>
      <c r="S181" s="729">
        <f>S180</f>
        <v>0</v>
      </c>
      <c r="T181" s="1025"/>
      <c r="U181" s="731">
        <f>U180</f>
        <v>0</v>
      </c>
      <c r="V181" s="875">
        <f>V180</f>
        <v>0</v>
      </c>
      <c r="W181" s="314"/>
      <c r="X181" s="315"/>
      <c r="Y181" s="315"/>
      <c r="Z181" s="315"/>
      <c r="AA181" s="380">
        <f>AA180</f>
        <v>0</v>
      </c>
      <c r="AB181" s="361">
        <f>AB180</f>
        <v>0</v>
      </c>
      <c r="AC181" s="750">
        <f>AC180</f>
        <v>0</v>
      </c>
      <c r="AD181" s="891"/>
      <c r="AE181" s="888"/>
      <c r="AF181" s="888"/>
      <c r="AG181" s="888"/>
      <c r="AH181" s="888"/>
      <c r="AI181" s="888"/>
      <c r="AJ181" s="888"/>
      <c r="AK181" s="1058">
        <f>AK180</f>
        <v>0</v>
      </c>
      <c r="AL181" s="751">
        <f>AL180</f>
        <v>0</v>
      </c>
      <c r="AM181" s="751">
        <f>AM180</f>
        <v>0</v>
      </c>
      <c r="AN181" s="215">
        <f t="shared" si="208"/>
        <v>0</v>
      </c>
    </row>
    <row r="182" spans="1:42" x14ac:dyDescent="0.25">
      <c r="A182" s="310" t="s">
        <v>434</v>
      </c>
      <c r="B182" s="955"/>
      <c r="C182" s="956"/>
      <c r="D182" s="956"/>
      <c r="E182" s="956"/>
      <c r="F182" s="956"/>
      <c r="G182" s="956"/>
      <c r="H182" s="956"/>
      <c r="I182" s="956"/>
      <c r="J182" s="730"/>
      <c r="K182" s="730"/>
      <c r="L182" s="730"/>
      <c r="M182" s="730"/>
      <c r="N182" s="730"/>
      <c r="O182" s="730"/>
      <c r="P182" s="730"/>
      <c r="Q182" s="729"/>
      <c r="R182" s="729"/>
      <c r="S182" s="729"/>
      <c r="T182" s="1025"/>
      <c r="U182" s="731"/>
      <c r="V182" s="805">
        <f>SUM(B182:T182)</f>
        <v>0</v>
      </c>
      <c r="W182" s="495"/>
      <c r="X182" s="496"/>
      <c r="Y182" s="496"/>
      <c r="Z182" s="496"/>
      <c r="AA182" s="380"/>
      <c r="AB182" s="502"/>
      <c r="AC182" s="806"/>
      <c r="AD182" s="1073"/>
      <c r="AE182" s="901"/>
      <c r="AF182" s="901"/>
      <c r="AG182" s="901"/>
      <c r="AH182" s="901"/>
      <c r="AI182" s="901"/>
      <c r="AJ182" s="901"/>
      <c r="AK182" s="1058"/>
      <c r="AL182" s="807"/>
      <c r="AM182" s="807"/>
      <c r="AN182" s="215">
        <f t="shared" si="208"/>
        <v>0</v>
      </c>
    </row>
    <row r="183" spans="1:42" x14ac:dyDescent="0.25">
      <c r="A183" s="310" t="s">
        <v>435</v>
      </c>
      <c r="B183" s="955"/>
      <c r="C183" s="956"/>
      <c r="D183" s="956"/>
      <c r="E183" s="956"/>
      <c r="F183" s="956"/>
      <c r="G183" s="956"/>
      <c r="H183" s="956"/>
      <c r="I183" s="956"/>
      <c r="J183" s="730"/>
      <c r="K183" s="730"/>
      <c r="L183" s="730"/>
      <c r="M183" s="730"/>
      <c r="N183" s="730"/>
      <c r="O183" s="730"/>
      <c r="P183" s="730"/>
      <c r="Q183" s="729"/>
      <c r="R183" s="729"/>
      <c r="S183" s="729"/>
      <c r="T183" s="1025"/>
      <c r="U183" s="731"/>
      <c r="V183" s="805">
        <f>SUM(B183:T183)</f>
        <v>0</v>
      </c>
      <c r="W183" s="495"/>
      <c r="X183" s="496"/>
      <c r="Y183" s="496"/>
      <c r="Z183" s="496"/>
      <c r="AA183" s="380"/>
      <c r="AB183" s="387"/>
      <c r="AC183" s="780">
        <v>97571668</v>
      </c>
      <c r="AD183" s="1073"/>
      <c r="AE183" s="901"/>
      <c r="AF183" s="901"/>
      <c r="AG183" s="901"/>
      <c r="AH183" s="901"/>
      <c r="AI183" s="901"/>
      <c r="AJ183" s="901"/>
      <c r="AK183" s="1058"/>
      <c r="AL183" s="763"/>
      <c r="AM183" s="763"/>
      <c r="AN183" s="215">
        <f t="shared" si="208"/>
        <v>97571668</v>
      </c>
    </row>
    <row r="184" spans="1:42" ht="15.75" thickBot="1" x14ac:dyDescent="0.3">
      <c r="A184" s="540" t="s">
        <v>436</v>
      </c>
      <c r="B184" s="959">
        <f t="shared" ref="B184:K184" si="216">B179+B181+B182+B183</f>
        <v>0</v>
      </c>
      <c r="C184" s="960">
        <f t="shared" si="216"/>
        <v>0</v>
      </c>
      <c r="D184" s="960">
        <f t="shared" si="216"/>
        <v>0</v>
      </c>
      <c r="E184" s="960"/>
      <c r="F184" s="960"/>
      <c r="G184" s="960"/>
      <c r="H184" s="960"/>
      <c r="I184" s="960"/>
      <c r="J184" s="809">
        <f t="shared" si="216"/>
        <v>0</v>
      </c>
      <c r="K184" s="809">
        <f t="shared" si="216"/>
        <v>0</v>
      </c>
      <c r="L184" s="809">
        <f>L179+L181+L182+L183</f>
        <v>0</v>
      </c>
      <c r="M184" s="809"/>
      <c r="N184" s="809"/>
      <c r="O184" s="809"/>
      <c r="P184" s="809"/>
      <c r="Q184" s="808">
        <f>Q179+Q181+Q182+Q183</f>
        <v>0</v>
      </c>
      <c r="R184" s="808">
        <f>R179+R181+R182+R183</f>
        <v>0</v>
      </c>
      <c r="S184" s="808">
        <f>S179+S181+S182+S183</f>
        <v>0</v>
      </c>
      <c r="T184" s="1033"/>
      <c r="U184" s="810">
        <f>U179+U181+U182+U183</f>
        <v>0</v>
      </c>
      <c r="V184" s="811">
        <f>V179+V181+V182+V183</f>
        <v>0</v>
      </c>
      <c r="W184" s="648"/>
      <c r="X184" s="649"/>
      <c r="Y184" s="649"/>
      <c r="Z184" s="649"/>
      <c r="AA184" s="546">
        <f>AA179+AA181+AA182+AA183</f>
        <v>0</v>
      </c>
      <c r="AB184" s="655"/>
      <c r="AC184" s="812">
        <f>AC179+AC181+AC182+AC183</f>
        <v>97571668</v>
      </c>
      <c r="AD184" s="1074"/>
      <c r="AE184" s="902"/>
      <c r="AF184" s="902"/>
      <c r="AG184" s="902"/>
      <c r="AH184" s="902"/>
      <c r="AI184" s="902"/>
      <c r="AJ184" s="902"/>
      <c r="AK184" s="1075">
        <f>AK179+AK181+AK182+AK183</f>
        <v>0</v>
      </c>
      <c r="AL184" s="813">
        <f>AL179+AL181+AL182+AL183</f>
        <v>0</v>
      </c>
      <c r="AM184" s="813">
        <f>AM179+AM181+AM182+AM183</f>
        <v>0</v>
      </c>
      <c r="AN184" s="242">
        <f t="shared" si="208"/>
        <v>97571668</v>
      </c>
    </row>
    <row r="185" spans="1:42" ht="16.5" thickBot="1" x14ac:dyDescent="0.3">
      <c r="A185" s="433" t="s">
        <v>437</v>
      </c>
      <c r="B185" s="961">
        <f t="shared" ref="B185:K185" si="217">B184</f>
        <v>0</v>
      </c>
      <c r="C185" s="962">
        <f t="shared" si="217"/>
        <v>0</v>
      </c>
      <c r="D185" s="962">
        <f t="shared" si="217"/>
        <v>0</v>
      </c>
      <c r="E185" s="962"/>
      <c r="F185" s="962"/>
      <c r="G185" s="962"/>
      <c r="H185" s="962"/>
      <c r="I185" s="962"/>
      <c r="J185" s="783">
        <f t="shared" si="217"/>
        <v>0</v>
      </c>
      <c r="K185" s="783">
        <f t="shared" si="217"/>
        <v>0</v>
      </c>
      <c r="L185" s="783">
        <f>L184</f>
        <v>0</v>
      </c>
      <c r="M185" s="783"/>
      <c r="N185" s="783"/>
      <c r="O185" s="783"/>
      <c r="P185" s="783"/>
      <c r="Q185" s="782">
        <f>Q184</f>
        <v>0</v>
      </c>
      <c r="R185" s="782">
        <f>R184</f>
        <v>0</v>
      </c>
      <c r="S185" s="782">
        <f>S184</f>
        <v>0</v>
      </c>
      <c r="T185" s="1030"/>
      <c r="U185" s="784">
        <f>U184</f>
        <v>0</v>
      </c>
      <c r="V185" s="785">
        <f>V184</f>
        <v>0</v>
      </c>
      <c r="W185" s="437"/>
      <c r="X185" s="438"/>
      <c r="Y185" s="438"/>
      <c r="Z185" s="438"/>
      <c r="AA185" s="439">
        <f>AA184</f>
        <v>0</v>
      </c>
      <c r="AB185" s="447">
        <f>AB184</f>
        <v>0</v>
      </c>
      <c r="AC185" s="786">
        <f>AC184</f>
        <v>97571668</v>
      </c>
      <c r="AD185" s="1066"/>
      <c r="AE185" s="897"/>
      <c r="AF185" s="897"/>
      <c r="AG185" s="897"/>
      <c r="AH185" s="897"/>
      <c r="AI185" s="897"/>
      <c r="AJ185" s="897"/>
      <c r="AK185" s="1067">
        <f>AK184</f>
        <v>0</v>
      </c>
      <c r="AL185" s="787">
        <f>AL184</f>
        <v>0</v>
      </c>
      <c r="AM185" s="787">
        <f>AM184</f>
        <v>0</v>
      </c>
      <c r="AN185" s="788">
        <f t="shared" si="208"/>
        <v>97571668</v>
      </c>
    </row>
    <row r="186" spans="1:42" ht="19.5" thickBot="1" x14ac:dyDescent="0.3">
      <c r="A186" s="945" t="s">
        <v>438</v>
      </c>
      <c r="B186" s="946">
        <f t="shared" ref="B186:K186" si="218">B134+B140+B159+B170+B173+B175+B177+B185</f>
        <v>0</v>
      </c>
      <c r="C186" s="947">
        <f t="shared" si="218"/>
        <v>0</v>
      </c>
      <c r="D186" s="947">
        <f t="shared" si="218"/>
        <v>0</v>
      </c>
      <c r="E186" s="947"/>
      <c r="F186" s="947"/>
      <c r="G186" s="947"/>
      <c r="H186" s="947"/>
      <c r="I186" s="947"/>
      <c r="J186" s="947">
        <f t="shared" si="218"/>
        <v>430200</v>
      </c>
      <c r="K186" s="947">
        <f t="shared" si="218"/>
        <v>0</v>
      </c>
      <c r="L186" s="947">
        <f>L134+L140+L159+L170+L173+L175+L177+L185</f>
        <v>430200</v>
      </c>
      <c r="M186" s="947"/>
      <c r="N186" s="947"/>
      <c r="O186" s="947"/>
      <c r="P186" s="947"/>
      <c r="Q186" s="947">
        <f>Q134+Q140+Q159+Q170+Q173+Q175+Q177+Q185</f>
        <v>0</v>
      </c>
      <c r="R186" s="947">
        <f>R134+R140+R159+R170+R173+R175+R177+R185</f>
        <v>0</v>
      </c>
      <c r="S186" s="947">
        <f>S134+S140+S159+S170+S173+S175+S177+S185</f>
        <v>0</v>
      </c>
      <c r="T186" s="947"/>
      <c r="U186" s="947">
        <f>U134+U140+U159+U170+U173+U175+U177+U185</f>
        <v>10000</v>
      </c>
      <c r="V186" s="948">
        <f>V134+V140+V159+V170+V173+V175+V177+V185</f>
        <v>10000</v>
      </c>
      <c r="W186" s="946"/>
      <c r="X186" s="947"/>
      <c r="Y186" s="947"/>
      <c r="Z186" s="947"/>
      <c r="AA186" s="948">
        <f>AA134+AA140+AA159+AA170+AA173+AA175+AA177+AA185</f>
        <v>0</v>
      </c>
      <c r="AB186" s="950">
        <f>AB134+AB140+AB159+AB170+AB173+AB175+AB177+AB185</f>
        <v>2197100</v>
      </c>
      <c r="AC186" s="950">
        <f>AC134+AC140+AC159+AC170+AC173+AC175+AC177+AC185</f>
        <v>97571668</v>
      </c>
      <c r="AD186" s="1097"/>
      <c r="AE186" s="947"/>
      <c r="AF186" s="947"/>
      <c r="AG186" s="947"/>
      <c r="AH186" s="947"/>
      <c r="AI186" s="947"/>
      <c r="AJ186" s="947"/>
      <c r="AK186" s="948">
        <f>AK134+AK140+AK159+AK170+AK173+AK175+AK177+AK185</f>
        <v>3000</v>
      </c>
      <c r="AL186" s="950">
        <f>AL134+AL140+AL159+AL170+AL173+AL175+AL177+AL185</f>
        <v>0</v>
      </c>
      <c r="AM186" s="950">
        <f>AM134+AM140+AM159+AM170+AM173+AM175+AM177+AM185</f>
        <v>0</v>
      </c>
      <c r="AN186" s="951">
        <f t="shared" si="208"/>
        <v>99781768</v>
      </c>
      <c r="AP186" s="679">
        <f>AN134+AN140+AN159+AN170+AN173+AN175+AN177+AN185</f>
        <v>99781768</v>
      </c>
    </row>
    <row r="187" spans="1:42" x14ac:dyDescent="0.25">
      <c r="V187" s="679">
        <f>V186-V123-AA123</f>
        <v>-74374674.924999997</v>
      </c>
      <c r="AB187" s="679">
        <f>AB186-AB123</f>
        <v>-4322600</v>
      </c>
      <c r="AC187" s="679">
        <f>V188</f>
        <v>37594900</v>
      </c>
      <c r="AD187" t="s">
        <v>568</v>
      </c>
      <c r="AK187" s="679">
        <f>AK186-AK123</f>
        <v>-18874392.955000002</v>
      </c>
      <c r="AN187" s="876">
        <f>V187+AB187+AK187</f>
        <v>-97571667.879999995</v>
      </c>
    </row>
    <row r="188" spans="1:42" x14ac:dyDescent="0.25">
      <c r="V188" s="679">
        <v>37594900</v>
      </c>
      <c r="W188" t="s">
        <v>568</v>
      </c>
      <c r="AB188" s="679">
        <v>8834180</v>
      </c>
      <c r="AC188" s="679">
        <f>V189</f>
        <v>14400000</v>
      </c>
      <c r="AD188" t="s">
        <v>569</v>
      </c>
      <c r="AK188" s="679">
        <f>4419000+8979000</f>
        <v>13398000</v>
      </c>
      <c r="AL188" t="s">
        <v>478</v>
      </c>
      <c r="AN188" s="876"/>
    </row>
    <row r="189" spans="1:42" x14ac:dyDescent="0.25">
      <c r="V189" s="679">
        <v>14400000</v>
      </c>
      <c r="W189" t="s">
        <v>569</v>
      </c>
      <c r="AB189" s="679"/>
      <c r="AC189" s="679">
        <f>V190</f>
        <v>0</v>
      </c>
      <c r="AK189" s="679">
        <v>1917000</v>
      </c>
      <c r="AL189" t="s">
        <v>480</v>
      </c>
      <c r="AN189" s="876"/>
    </row>
    <row r="190" spans="1:42" x14ac:dyDescent="0.25">
      <c r="V190" s="679"/>
      <c r="AB190" s="679"/>
      <c r="AC190" s="679">
        <f>V191</f>
        <v>0</v>
      </c>
      <c r="AK190" s="685">
        <f>AK187+SUM(AK188:AK189)</f>
        <v>-3559392.9550000019</v>
      </c>
      <c r="AN190" s="876"/>
    </row>
    <row r="191" spans="1:42" x14ac:dyDescent="0.25">
      <c r="V191" s="679"/>
      <c r="AB191" s="685">
        <f>AB187+SUM(AB188:AB190)</f>
        <v>4511580</v>
      </c>
      <c r="AC191" s="679">
        <f>AB188</f>
        <v>8834180</v>
      </c>
      <c r="AD191" t="s">
        <v>477</v>
      </c>
      <c r="AK191" s="683">
        <v>3559393</v>
      </c>
      <c r="AL191" s="376" t="s">
        <v>444</v>
      </c>
      <c r="AN191" s="876"/>
    </row>
    <row r="192" spans="1:42" x14ac:dyDescent="0.25">
      <c r="V192" s="679"/>
      <c r="AC192" s="679">
        <f>AB189</f>
        <v>0</v>
      </c>
      <c r="AD192" t="s">
        <v>479</v>
      </c>
      <c r="AK192" s="685">
        <f>AK190+AK191</f>
        <v>4.4999998062849045E-2</v>
      </c>
      <c r="AN192" s="876"/>
    </row>
    <row r="193" spans="22:40" x14ac:dyDescent="0.25">
      <c r="V193" s="679"/>
      <c r="AC193" s="679">
        <f>V194</f>
        <v>831000</v>
      </c>
      <c r="AD193" t="s">
        <v>481</v>
      </c>
      <c r="AN193" s="876"/>
    </row>
    <row r="194" spans="22:40" x14ac:dyDescent="0.25">
      <c r="V194" s="679">
        <f>396700+434300</f>
        <v>831000</v>
      </c>
      <c r="W194" t="s">
        <v>481</v>
      </c>
      <c r="AC194" s="679">
        <f>AK188</f>
        <v>13398000</v>
      </c>
      <c r="AD194" t="s">
        <v>478</v>
      </c>
      <c r="AN194" s="876"/>
    </row>
    <row r="195" spans="22:40" x14ac:dyDescent="0.25">
      <c r="V195" s="685">
        <f>V187+SUM(V188:V194)</f>
        <v>-21548774.924999997</v>
      </c>
      <c r="AC195" s="679">
        <f>AK189</f>
        <v>1917000</v>
      </c>
      <c r="AD195" t="s">
        <v>480</v>
      </c>
      <c r="AN195" s="876"/>
    </row>
    <row r="196" spans="22:40" x14ac:dyDescent="0.25">
      <c r="V196" s="685"/>
      <c r="AC196" s="683">
        <f>AK191</f>
        <v>3559393</v>
      </c>
      <c r="AD196" s="376" t="s">
        <v>482</v>
      </c>
      <c r="AE196" s="376"/>
      <c r="AN196" s="876"/>
    </row>
    <row r="197" spans="22:40" x14ac:dyDescent="0.25">
      <c r="AA197" s="877"/>
      <c r="AB197" s="877"/>
      <c r="AC197" s="684">
        <f>SUM(AC187:AC196)</f>
        <v>80534473</v>
      </c>
      <c r="AD197" s="877" t="s">
        <v>445</v>
      </c>
      <c r="AN197" s="876"/>
    </row>
    <row r="198" spans="22:40" x14ac:dyDescent="0.25">
      <c r="AA198" s="878"/>
      <c r="AB198" s="878"/>
      <c r="AC198" s="685">
        <f>AC186-AC197</f>
        <v>17037195</v>
      </c>
      <c r="AD198" s="878" t="s">
        <v>446</v>
      </c>
      <c r="AN198" s="876">
        <f>V195+AB191+AK192</f>
        <v>-17037194.879999999</v>
      </c>
    </row>
    <row r="199" spans="22:40" x14ac:dyDescent="0.25">
      <c r="AC199" s="679"/>
      <c r="AN199" s="876"/>
    </row>
    <row r="200" spans="22:40" x14ac:dyDescent="0.25">
      <c r="AC200" s="679"/>
      <c r="AN200" s="876"/>
    </row>
    <row r="201" spans="22:40" x14ac:dyDescent="0.25">
      <c r="AC201" s="679"/>
      <c r="AN201" s="876"/>
    </row>
    <row r="202" spans="22:40" x14ac:dyDescent="0.25">
      <c r="AC202" s="909"/>
    </row>
    <row r="203" spans="22:40" x14ac:dyDescent="0.25">
      <c r="AC203" s="684"/>
      <c r="AN203" s="876">
        <f>AN186-AN123</f>
        <v>0.12000000476837158</v>
      </c>
    </row>
    <row r="204" spans="22:40" x14ac:dyDescent="0.25">
      <c r="AC204" s="685"/>
      <c r="AD204" s="878"/>
    </row>
  </sheetData>
  <sheetProtection formatCells="0" formatColumns="0" formatRows="0" insertColumns="0" insertRows="0" insertHyperlinks="0" deleteColumns="0" deleteRows="0" sort="0" autoFilter="0" pivotTables="0"/>
  <mergeCells count="10">
    <mergeCell ref="A1:AN1"/>
    <mergeCell ref="A2:A3"/>
    <mergeCell ref="B2:V2"/>
    <mergeCell ref="W2:AA2"/>
    <mergeCell ref="AB2:AB3"/>
    <mergeCell ref="AC2:AC3"/>
    <mergeCell ref="AD2:AK2"/>
    <mergeCell ref="AL2:AL3"/>
    <mergeCell ref="AM2:AM3"/>
    <mergeCell ref="AN2:AN3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3" manualBreakCount="3">
    <brk id="54" max="39" man="1"/>
    <brk id="102" max="39" man="1"/>
    <brk id="151" max="3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K151"/>
  <sheetViews>
    <sheetView view="pageBreakPreview" zoomScaleNormal="100" zoomScaleSheetLayoutView="100" workbookViewId="0">
      <selection activeCell="G33" sqref="G33"/>
    </sheetView>
  </sheetViews>
  <sheetFormatPr defaultRowHeight="12.75" x14ac:dyDescent="0.25"/>
  <cols>
    <col min="1" max="1" width="16.7109375" style="1224" customWidth="1"/>
    <col min="2" max="2" width="52.5703125" style="1225" customWidth="1"/>
    <col min="3" max="3" width="12.7109375" style="1226" customWidth="1"/>
    <col min="4" max="4" width="13.42578125" style="1226" customWidth="1"/>
    <col min="5" max="256" width="9.140625" style="1118"/>
    <col min="257" max="257" width="16.7109375" style="1118" customWidth="1"/>
    <col min="258" max="258" width="52.5703125" style="1118" customWidth="1"/>
    <col min="259" max="259" width="11" style="1118" customWidth="1"/>
    <col min="260" max="260" width="13.42578125" style="1118" customWidth="1"/>
    <col min="261" max="512" width="9.140625" style="1118"/>
    <col min="513" max="513" width="16.7109375" style="1118" customWidth="1"/>
    <col min="514" max="514" width="52.5703125" style="1118" customWidth="1"/>
    <col min="515" max="515" width="11" style="1118" customWidth="1"/>
    <col min="516" max="516" width="13.42578125" style="1118" customWidth="1"/>
    <col min="517" max="768" width="9.140625" style="1118"/>
    <col min="769" max="769" width="16.7109375" style="1118" customWidth="1"/>
    <col min="770" max="770" width="52.5703125" style="1118" customWidth="1"/>
    <col min="771" max="771" width="11" style="1118" customWidth="1"/>
    <col min="772" max="772" width="13.42578125" style="1118" customWidth="1"/>
    <col min="773" max="1024" width="9.140625" style="1118"/>
    <col min="1025" max="1025" width="16.7109375" style="1118" customWidth="1"/>
    <col min="1026" max="1026" width="52.5703125" style="1118" customWidth="1"/>
    <col min="1027" max="1027" width="11" style="1118" customWidth="1"/>
    <col min="1028" max="1028" width="13.42578125" style="1118" customWidth="1"/>
    <col min="1029" max="1280" width="9.140625" style="1118"/>
    <col min="1281" max="1281" width="16.7109375" style="1118" customWidth="1"/>
    <col min="1282" max="1282" width="52.5703125" style="1118" customWidth="1"/>
    <col min="1283" max="1283" width="11" style="1118" customWidth="1"/>
    <col min="1284" max="1284" width="13.42578125" style="1118" customWidth="1"/>
    <col min="1285" max="1536" width="9.140625" style="1118"/>
    <col min="1537" max="1537" width="16.7109375" style="1118" customWidth="1"/>
    <col min="1538" max="1538" width="52.5703125" style="1118" customWidth="1"/>
    <col min="1539" max="1539" width="11" style="1118" customWidth="1"/>
    <col min="1540" max="1540" width="13.42578125" style="1118" customWidth="1"/>
    <col min="1541" max="1792" width="9.140625" style="1118"/>
    <col min="1793" max="1793" width="16.7109375" style="1118" customWidth="1"/>
    <col min="1794" max="1794" width="52.5703125" style="1118" customWidth="1"/>
    <col min="1795" max="1795" width="11" style="1118" customWidth="1"/>
    <col min="1796" max="1796" width="13.42578125" style="1118" customWidth="1"/>
    <col min="1797" max="2048" width="9.140625" style="1118"/>
    <col min="2049" max="2049" width="16.7109375" style="1118" customWidth="1"/>
    <col min="2050" max="2050" width="52.5703125" style="1118" customWidth="1"/>
    <col min="2051" max="2051" width="11" style="1118" customWidth="1"/>
    <col min="2052" max="2052" width="13.42578125" style="1118" customWidth="1"/>
    <col min="2053" max="2304" width="9.140625" style="1118"/>
    <col min="2305" max="2305" width="16.7109375" style="1118" customWidth="1"/>
    <col min="2306" max="2306" width="52.5703125" style="1118" customWidth="1"/>
    <col min="2307" max="2307" width="11" style="1118" customWidth="1"/>
    <col min="2308" max="2308" width="13.42578125" style="1118" customWidth="1"/>
    <col min="2309" max="2560" width="9.140625" style="1118"/>
    <col min="2561" max="2561" width="16.7109375" style="1118" customWidth="1"/>
    <col min="2562" max="2562" width="52.5703125" style="1118" customWidth="1"/>
    <col min="2563" max="2563" width="11" style="1118" customWidth="1"/>
    <col min="2564" max="2564" width="13.42578125" style="1118" customWidth="1"/>
    <col min="2565" max="2816" width="9.140625" style="1118"/>
    <col min="2817" max="2817" width="16.7109375" style="1118" customWidth="1"/>
    <col min="2818" max="2818" width="52.5703125" style="1118" customWidth="1"/>
    <col min="2819" max="2819" width="11" style="1118" customWidth="1"/>
    <col min="2820" max="2820" width="13.42578125" style="1118" customWidth="1"/>
    <col min="2821" max="3072" width="9.140625" style="1118"/>
    <col min="3073" max="3073" width="16.7109375" style="1118" customWidth="1"/>
    <col min="3074" max="3074" width="52.5703125" style="1118" customWidth="1"/>
    <col min="3075" max="3075" width="11" style="1118" customWidth="1"/>
    <col min="3076" max="3076" width="13.42578125" style="1118" customWidth="1"/>
    <col min="3077" max="3328" width="9.140625" style="1118"/>
    <col min="3329" max="3329" width="16.7109375" style="1118" customWidth="1"/>
    <col min="3330" max="3330" width="52.5703125" style="1118" customWidth="1"/>
    <col min="3331" max="3331" width="11" style="1118" customWidth="1"/>
    <col min="3332" max="3332" width="13.42578125" style="1118" customWidth="1"/>
    <col min="3333" max="3584" width="9.140625" style="1118"/>
    <col min="3585" max="3585" width="16.7109375" style="1118" customWidth="1"/>
    <col min="3586" max="3586" width="52.5703125" style="1118" customWidth="1"/>
    <col min="3587" max="3587" width="11" style="1118" customWidth="1"/>
    <col min="3588" max="3588" width="13.42578125" style="1118" customWidth="1"/>
    <col min="3589" max="3840" width="9.140625" style="1118"/>
    <col min="3841" max="3841" width="16.7109375" style="1118" customWidth="1"/>
    <col min="3842" max="3842" width="52.5703125" style="1118" customWidth="1"/>
    <col min="3843" max="3843" width="11" style="1118" customWidth="1"/>
    <col min="3844" max="3844" width="13.42578125" style="1118" customWidth="1"/>
    <col min="3845" max="4096" width="9.140625" style="1118"/>
    <col min="4097" max="4097" width="16.7109375" style="1118" customWidth="1"/>
    <col min="4098" max="4098" width="52.5703125" style="1118" customWidth="1"/>
    <col min="4099" max="4099" width="11" style="1118" customWidth="1"/>
    <col min="4100" max="4100" width="13.42578125" style="1118" customWidth="1"/>
    <col min="4101" max="4352" width="9.140625" style="1118"/>
    <col min="4353" max="4353" width="16.7109375" style="1118" customWidth="1"/>
    <col min="4354" max="4354" width="52.5703125" style="1118" customWidth="1"/>
    <col min="4355" max="4355" width="11" style="1118" customWidth="1"/>
    <col min="4356" max="4356" width="13.42578125" style="1118" customWidth="1"/>
    <col min="4357" max="4608" width="9.140625" style="1118"/>
    <col min="4609" max="4609" width="16.7109375" style="1118" customWidth="1"/>
    <col min="4610" max="4610" width="52.5703125" style="1118" customWidth="1"/>
    <col min="4611" max="4611" width="11" style="1118" customWidth="1"/>
    <col min="4612" max="4612" width="13.42578125" style="1118" customWidth="1"/>
    <col min="4613" max="4864" width="9.140625" style="1118"/>
    <col min="4865" max="4865" width="16.7109375" style="1118" customWidth="1"/>
    <col min="4866" max="4866" width="52.5703125" style="1118" customWidth="1"/>
    <col min="4867" max="4867" width="11" style="1118" customWidth="1"/>
    <col min="4868" max="4868" width="13.42578125" style="1118" customWidth="1"/>
    <col min="4869" max="5120" width="9.140625" style="1118"/>
    <col min="5121" max="5121" width="16.7109375" style="1118" customWidth="1"/>
    <col min="5122" max="5122" width="52.5703125" style="1118" customWidth="1"/>
    <col min="5123" max="5123" width="11" style="1118" customWidth="1"/>
    <col min="5124" max="5124" width="13.42578125" style="1118" customWidth="1"/>
    <col min="5125" max="5376" width="9.140625" style="1118"/>
    <col min="5377" max="5377" width="16.7109375" style="1118" customWidth="1"/>
    <col min="5378" max="5378" width="52.5703125" style="1118" customWidth="1"/>
    <col min="5379" max="5379" width="11" style="1118" customWidth="1"/>
    <col min="5380" max="5380" width="13.42578125" style="1118" customWidth="1"/>
    <col min="5381" max="5632" width="9.140625" style="1118"/>
    <col min="5633" max="5633" width="16.7109375" style="1118" customWidth="1"/>
    <col min="5634" max="5634" width="52.5703125" style="1118" customWidth="1"/>
    <col min="5635" max="5635" width="11" style="1118" customWidth="1"/>
    <col min="5636" max="5636" width="13.42578125" style="1118" customWidth="1"/>
    <col min="5637" max="5888" width="9.140625" style="1118"/>
    <col min="5889" max="5889" width="16.7109375" style="1118" customWidth="1"/>
    <col min="5890" max="5890" width="52.5703125" style="1118" customWidth="1"/>
    <col min="5891" max="5891" width="11" style="1118" customWidth="1"/>
    <col min="5892" max="5892" width="13.42578125" style="1118" customWidth="1"/>
    <col min="5893" max="6144" width="9.140625" style="1118"/>
    <col min="6145" max="6145" width="16.7109375" style="1118" customWidth="1"/>
    <col min="6146" max="6146" width="52.5703125" style="1118" customWidth="1"/>
    <col min="6147" max="6147" width="11" style="1118" customWidth="1"/>
    <col min="6148" max="6148" width="13.42578125" style="1118" customWidth="1"/>
    <col min="6149" max="6400" width="9.140625" style="1118"/>
    <col min="6401" max="6401" width="16.7109375" style="1118" customWidth="1"/>
    <col min="6402" max="6402" width="52.5703125" style="1118" customWidth="1"/>
    <col min="6403" max="6403" width="11" style="1118" customWidth="1"/>
    <col min="6404" max="6404" width="13.42578125" style="1118" customWidth="1"/>
    <col min="6405" max="6656" width="9.140625" style="1118"/>
    <col min="6657" max="6657" width="16.7109375" style="1118" customWidth="1"/>
    <col min="6658" max="6658" width="52.5703125" style="1118" customWidth="1"/>
    <col min="6659" max="6659" width="11" style="1118" customWidth="1"/>
    <col min="6660" max="6660" width="13.42578125" style="1118" customWidth="1"/>
    <col min="6661" max="6912" width="9.140625" style="1118"/>
    <col min="6913" max="6913" width="16.7109375" style="1118" customWidth="1"/>
    <col min="6914" max="6914" width="52.5703125" style="1118" customWidth="1"/>
    <col min="6915" max="6915" width="11" style="1118" customWidth="1"/>
    <col min="6916" max="6916" width="13.42578125" style="1118" customWidth="1"/>
    <col min="6917" max="7168" width="9.140625" style="1118"/>
    <col min="7169" max="7169" width="16.7109375" style="1118" customWidth="1"/>
    <col min="7170" max="7170" width="52.5703125" style="1118" customWidth="1"/>
    <col min="7171" max="7171" width="11" style="1118" customWidth="1"/>
    <col min="7172" max="7172" width="13.42578125" style="1118" customWidth="1"/>
    <col min="7173" max="7424" width="9.140625" style="1118"/>
    <col min="7425" max="7425" width="16.7109375" style="1118" customWidth="1"/>
    <col min="7426" max="7426" width="52.5703125" style="1118" customWidth="1"/>
    <col min="7427" max="7427" width="11" style="1118" customWidth="1"/>
    <col min="7428" max="7428" width="13.42578125" style="1118" customWidth="1"/>
    <col min="7429" max="7680" width="9.140625" style="1118"/>
    <col min="7681" max="7681" width="16.7109375" style="1118" customWidth="1"/>
    <col min="7682" max="7682" width="52.5703125" style="1118" customWidth="1"/>
    <col min="7683" max="7683" width="11" style="1118" customWidth="1"/>
    <col min="7684" max="7684" width="13.42578125" style="1118" customWidth="1"/>
    <col min="7685" max="7936" width="9.140625" style="1118"/>
    <col min="7937" max="7937" width="16.7109375" style="1118" customWidth="1"/>
    <col min="7938" max="7938" width="52.5703125" style="1118" customWidth="1"/>
    <col min="7939" max="7939" width="11" style="1118" customWidth="1"/>
    <col min="7940" max="7940" width="13.42578125" style="1118" customWidth="1"/>
    <col min="7941" max="8192" width="9.140625" style="1118"/>
    <col min="8193" max="8193" width="16.7109375" style="1118" customWidth="1"/>
    <col min="8194" max="8194" width="52.5703125" style="1118" customWidth="1"/>
    <col min="8195" max="8195" width="11" style="1118" customWidth="1"/>
    <col min="8196" max="8196" width="13.42578125" style="1118" customWidth="1"/>
    <col min="8197" max="8448" width="9.140625" style="1118"/>
    <col min="8449" max="8449" width="16.7109375" style="1118" customWidth="1"/>
    <col min="8450" max="8450" width="52.5703125" style="1118" customWidth="1"/>
    <col min="8451" max="8451" width="11" style="1118" customWidth="1"/>
    <col min="8452" max="8452" width="13.42578125" style="1118" customWidth="1"/>
    <col min="8453" max="8704" width="9.140625" style="1118"/>
    <col min="8705" max="8705" width="16.7109375" style="1118" customWidth="1"/>
    <col min="8706" max="8706" width="52.5703125" style="1118" customWidth="1"/>
    <col min="8707" max="8707" width="11" style="1118" customWidth="1"/>
    <col min="8708" max="8708" width="13.42578125" style="1118" customWidth="1"/>
    <col min="8709" max="8960" width="9.140625" style="1118"/>
    <col min="8961" max="8961" width="16.7109375" style="1118" customWidth="1"/>
    <col min="8962" max="8962" width="52.5703125" style="1118" customWidth="1"/>
    <col min="8963" max="8963" width="11" style="1118" customWidth="1"/>
    <col min="8964" max="8964" width="13.42578125" style="1118" customWidth="1"/>
    <col min="8965" max="9216" width="9.140625" style="1118"/>
    <col min="9217" max="9217" width="16.7109375" style="1118" customWidth="1"/>
    <col min="9218" max="9218" width="52.5703125" style="1118" customWidth="1"/>
    <col min="9219" max="9219" width="11" style="1118" customWidth="1"/>
    <col min="9220" max="9220" width="13.42578125" style="1118" customWidth="1"/>
    <col min="9221" max="9472" width="9.140625" style="1118"/>
    <col min="9473" max="9473" width="16.7109375" style="1118" customWidth="1"/>
    <col min="9474" max="9474" width="52.5703125" style="1118" customWidth="1"/>
    <col min="9475" max="9475" width="11" style="1118" customWidth="1"/>
    <col min="9476" max="9476" width="13.42578125" style="1118" customWidth="1"/>
    <col min="9477" max="9728" width="9.140625" style="1118"/>
    <col min="9729" max="9729" width="16.7109375" style="1118" customWidth="1"/>
    <col min="9730" max="9730" width="52.5703125" style="1118" customWidth="1"/>
    <col min="9731" max="9731" width="11" style="1118" customWidth="1"/>
    <col min="9732" max="9732" width="13.42578125" style="1118" customWidth="1"/>
    <col min="9733" max="9984" width="9.140625" style="1118"/>
    <col min="9985" max="9985" width="16.7109375" style="1118" customWidth="1"/>
    <col min="9986" max="9986" width="52.5703125" style="1118" customWidth="1"/>
    <col min="9987" max="9987" width="11" style="1118" customWidth="1"/>
    <col min="9988" max="9988" width="13.42578125" style="1118" customWidth="1"/>
    <col min="9989" max="10240" width="9.140625" style="1118"/>
    <col min="10241" max="10241" width="16.7109375" style="1118" customWidth="1"/>
    <col min="10242" max="10242" width="52.5703125" style="1118" customWidth="1"/>
    <col min="10243" max="10243" width="11" style="1118" customWidth="1"/>
    <col min="10244" max="10244" width="13.42578125" style="1118" customWidth="1"/>
    <col min="10245" max="10496" width="9.140625" style="1118"/>
    <col min="10497" max="10497" width="16.7109375" style="1118" customWidth="1"/>
    <col min="10498" max="10498" width="52.5703125" style="1118" customWidth="1"/>
    <col min="10499" max="10499" width="11" style="1118" customWidth="1"/>
    <col min="10500" max="10500" width="13.42578125" style="1118" customWidth="1"/>
    <col min="10501" max="10752" width="9.140625" style="1118"/>
    <col min="10753" max="10753" width="16.7109375" style="1118" customWidth="1"/>
    <col min="10754" max="10754" width="52.5703125" style="1118" customWidth="1"/>
    <col min="10755" max="10755" width="11" style="1118" customWidth="1"/>
    <col min="10756" max="10756" width="13.42578125" style="1118" customWidth="1"/>
    <col min="10757" max="11008" width="9.140625" style="1118"/>
    <col min="11009" max="11009" width="16.7109375" style="1118" customWidth="1"/>
    <col min="11010" max="11010" width="52.5703125" style="1118" customWidth="1"/>
    <col min="11011" max="11011" width="11" style="1118" customWidth="1"/>
    <col min="11012" max="11012" width="13.42578125" style="1118" customWidth="1"/>
    <col min="11013" max="11264" width="9.140625" style="1118"/>
    <col min="11265" max="11265" width="16.7109375" style="1118" customWidth="1"/>
    <col min="11266" max="11266" width="52.5703125" style="1118" customWidth="1"/>
    <col min="11267" max="11267" width="11" style="1118" customWidth="1"/>
    <col min="11268" max="11268" width="13.42578125" style="1118" customWidth="1"/>
    <col min="11269" max="11520" width="9.140625" style="1118"/>
    <col min="11521" max="11521" width="16.7109375" style="1118" customWidth="1"/>
    <col min="11522" max="11522" width="52.5703125" style="1118" customWidth="1"/>
    <col min="11523" max="11523" width="11" style="1118" customWidth="1"/>
    <col min="11524" max="11524" width="13.42578125" style="1118" customWidth="1"/>
    <col min="11525" max="11776" width="9.140625" style="1118"/>
    <col min="11777" max="11777" width="16.7109375" style="1118" customWidth="1"/>
    <col min="11778" max="11778" width="52.5703125" style="1118" customWidth="1"/>
    <col min="11779" max="11779" width="11" style="1118" customWidth="1"/>
    <col min="11780" max="11780" width="13.42578125" style="1118" customWidth="1"/>
    <col min="11781" max="12032" width="9.140625" style="1118"/>
    <col min="12033" max="12033" width="16.7109375" style="1118" customWidth="1"/>
    <col min="12034" max="12034" width="52.5703125" style="1118" customWidth="1"/>
    <col min="12035" max="12035" width="11" style="1118" customWidth="1"/>
    <col min="12036" max="12036" width="13.42578125" style="1118" customWidth="1"/>
    <col min="12037" max="12288" width="9.140625" style="1118"/>
    <col min="12289" max="12289" width="16.7109375" style="1118" customWidth="1"/>
    <col min="12290" max="12290" width="52.5703125" style="1118" customWidth="1"/>
    <col min="12291" max="12291" width="11" style="1118" customWidth="1"/>
    <col min="12292" max="12292" width="13.42578125" style="1118" customWidth="1"/>
    <col min="12293" max="12544" width="9.140625" style="1118"/>
    <col min="12545" max="12545" width="16.7109375" style="1118" customWidth="1"/>
    <col min="12546" max="12546" width="52.5703125" style="1118" customWidth="1"/>
    <col min="12547" max="12547" width="11" style="1118" customWidth="1"/>
    <col min="12548" max="12548" width="13.42578125" style="1118" customWidth="1"/>
    <col min="12549" max="12800" width="9.140625" style="1118"/>
    <col min="12801" max="12801" width="16.7109375" style="1118" customWidth="1"/>
    <col min="12802" max="12802" width="52.5703125" style="1118" customWidth="1"/>
    <col min="12803" max="12803" width="11" style="1118" customWidth="1"/>
    <col min="12804" max="12804" width="13.42578125" style="1118" customWidth="1"/>
    <col min="12805" max="13056" width="9.140625" style="1118"/>
    <col min="13057" max="13057" width="16.7109375" style="1118" customWidth="1"/>
    <col min="13058" max="13058" width="52.5703125" style="1118" customWidth="1"/>
    <col min="13059" max="13059" width="11" style="1118" customWidth="1"/>
    <col min="13060" max="13060" width="13.42578125" style="1118" customWidth="1"/>
    <col min="13061" max="13312" width="9.140625" style="1118"/>
    <col min="13313" max="13313" width="16.7109375" style="1118" customWidth="1"/>
    <col min="13314" max="13314" width="52.5703125" style="1118" customWidth="1"/>
    <col min="13315" max="13315" width="11" style="1118" customWidth="1"/>
    <col min="13316" max="13316" width="13.42578125" style="1118" customWidth="1"/>
    <col min="13317" max="13568" width="9.140625" style="1118"/>
    <col min="13569" max="13569" width="16.7109375" style="1118" customWidth="1"/>
    <col min="13570" max="13570" width="52.5703125" style="1118" customWidth="1"/>
    <col min="13571" max="13571" width="11" style="1118" customWidth="1"/>
    <col min="13572" max="13572" width="13.42578125" style="1118" customWidth="1"/>
    <col min="13573" max="13824" width="9.140625" style="1118"/>
    <col min="13825" max="13825" width="16.7109375" style="1118" customWidth="1"/>
    <col min="13826" max="13826" width="52.5703125" style="1118" customWidth="1"/>
    <col min="13827" max="13827" width="11" style="1118" customWidth="1"/>
    <col min="13828" max="13828" width="13.42578125" style="1118" customWidth="1"/>
    <col min="13829" max="14080" width="9.140625" style="1118"/>
    <col min="14081" max="14081" width="16.7109375" style="1118" customWidth="1"/>
    <col min="14082" max="14082" width="52.5703125" style="1118" customWidth="1"/>
    <col min="14083" max="14083" width="11" style="1118" customWidth="1"/>
    <col min="14084" max="14084" width="13.42578125" style="1118" customWidth="1"/>
    <col min="14085" max="14336" width="9.140625" style="1118"/>
    <col min="14337" max="14337" width="16.7109375" style="1118" customWidth="1"/>
    <col min="14338" max="14338" width="52.5703125" style="1118" customWidth="1"/>
    <col min="14339" max="14339" width="11" style="1118" customWidth="1"/>
    <col min="14340" max="14340" width="13.42578125" style="1118" customWidth="1"/>
    <col min="14341" max="14592" width="9.140625" style="1118"/>
    <col min="14593" max="14593" width="16.7109375" style="1118" customWidth="1"/>
    <col min="14594" max="14594" width="52.5703125" style="1118" customWidth="1"/>
    <col min="14595" max="14595" width="11" style="1118" customWidth="1"/>
    <col min="14596" max="14596" width="13.42578125" style="1118" customWidth="1"/>
    <col min="14597" max="14848" width="9.140625" style="1118"/>
    <col min="14849" max="14849" width="16.7109375" style="1118" customWidth="1"/>
    <col min="14850" max="14850" width="52.5703125" style="1118" customWidth="1"/>
    <col min="14851" max="14851" width="11" style="1118" customWidth="1"/>
    <col min="14852" max="14852" width="13.42578125" style="1118" customWidth="1"/>
    <col min="14853" max="15104" width="9.140625" style="1118"/>
    <col min="15105" max="15105" width="16.7109375" style="1118" customWidth="1"/>
    <col min="15106" max="15106" width="52.5703125" style="1118" customWidth="1"/>
    <col min="15107" max="15107" width="11" style="1118" customWidth="1"/>
    <col min="15108" max="15108" width="13.42578125" style="1118" customWidth="1"/>
    <col min="15109" max="15360" width="9.140625" style="1118"/>
    <col min="15361" max="15361" width="16.7109375" style="1118" customWidth="1"/>
    <col min="15362" max="15362" width="52.5703125" style="1118" customWidth="1"/>
    <col min="15363" max="15363" width="11" style="1118" customWidth="1"/>
    <col min="15364" max="15364" width="13.42578125" style="1118" customWidth="1"/>
    <col min="15365" max="15616" width="9.140625" style="1118"/>
    <col min="15617" max="15617" width="16.7109375" style="1118" customWidth="1"/>
    <col min="15618" max="15618" width="52.5703125" style="1118" customWidth="1"/>
    <col min="15619" max="15619" width="11" style="1118" customWidth="1"/>
    <col min="15620" max="15620" width="13.42578125" style="1118" customWidth="1"/>
    <col min="15621" max="15872" width="9.140625" style="1118"/>
    <col min="15873" max="15873" width="16.7109375" style="1118" customWidth="1"/>
    <col min="15874" max="15874" width="52.5703125" style="1118" customWidth="1"/>
    <col min="15875" max="15875" width="11" style="1118" customWidth="1"/>
    <col min="15876" max="15876" width="13.42578125" style="1118" customWidth="1"/>
    <col min="15877" max="16128" width="9.140625" style="1118"/>
    <col min="16129" max="16129" width="16.7109375" style="1118" customWidth="1"/>
    <col min="16130" max="16130" width="52.5703125" style="1118" customWidth="1"/>
    <col min="16131" max="16131" width="11" style="1118" customWidth="1"/>
    <col min="16132" max="16132" width="13.42578125" style="1118" customWidth="1"/>
    <col min="16133" max="16384" width="9.140625" style="1118"/>
  </cols>
  <sheetData>
    <row r="1" spans="1:4" s="1101" customFormat="1" ht="16.5" customHeight="1" thickBot="1" x14ac:dyDescent="0.3">
      <c r="A1" s="1807" t="s">
        <v>1245</v>
      </c>
      <c r="B1" s="1807"/>
      <c r="C1" s="1807"/>
      <c r="D1" s="1807"/>
    </row>
    <row r="2" spans="1:4" s="1106" customFormat="1" ht="21" customHeight="1" x14ac:dyDescent="0.25">
      <c r="A2" s="1102" t="s">
        <v>649</v>
      </c>
      <c r="B2" s="1103" t="s">
        <v>650</v>
      </c>
      <c r="C2" s="1808" t="s">
        <v>651</v>
      </c>
      <c r="D2" s="1809"/>
    </row>
    <row r="3" spans="1:4" s="1106" customFormat="1" ht="16.5" thickBot="1" x14ac:dyDescent="0.3">
      <c r="A3" s="1107" t="s">
        <v>652</v>
      </c>
      <c r="B3" s="1108" t="s">
        <v>653</v>
      </c>
      <c r="C3" s="1810">
        <v>1</v>
      </c>
      <c r="D3" s="1811"/>
    </row>
    <row r="4" spans="1:4" s="1113" customFormat="1" ht="15.95" customHeight="1" thickBot="1" x14ac:dyDescent="0.3">
      <c r="A4" s="1109"/>
      <c r="B4" s="1708"/>
      <c r="C4" s="1812" t="s">
        <v>654</v>
      </c>
      <c r="D4" s="1813"/>
    </row>
    <row r="5" spans="1:4" ht="36.75" thickBot="1" x14ac:dyDescent="0.3">
      <c r="A5" s="1701" t="s">
        <v>655</v>
      </c>
      <c r="B5" s="1114" t="s">
        <v>656</v>
      </c>
      <c r="C5" s="1115" t="s">
        <v>927</v>
      </c>
      <c r="D5" s="1116" t="s">
        <v>928</v>
      </c>
    </row>
    <row r="6" spans="1:4" s="1125" customFormat="1" ht="12.95" customHeight="1" thickBot="1" x14ac:dyDescent="0.3">
      <c r="A6" s="1119">
        <v>1</v>
      </c>
      <c r="B6" s="1120">
        <v>2</v>
      </c>
      <c r="C6" s="1307">
        <v>3</v>
      </c>
      <c r="D6" s="1122">
        <v>4</v>
      </c>
    </row>
    <row r="7" spans="1:4" s="1125" customFormat="1" ht="15.95" customHeight="1" thickBot="1" x14ac:dyDescent="0.3">
      <c r="A7" s="1814" t="s">
        <v>657</v>
      </c>
      <c r="B7" s="1815"/>
      <c r="C7" s="1815"/>
      <c r="D7" s="1816"/>
    </row>
    <row r="8" spans="1:4" s="1125" customFormat="1" ht="12" customHeight="1" thickBot="1" x14ac:dyDescent="0.3">
      <c r="A8" s="1128" t="s">
        <v>696</v>
      </c>
      <c r="B8" s="1129" t="s">
        <v>697</v>
      </c>
      <c r="C8" s="1130">
        <f>+C9+C10+C11+C12+C13+C14</f>
        <v>175037086</v>
      </c>
      <c r="D8" s="1131">
        <f>+D9+D10+D11+D12+D13+D14</f>
        <v>178347415</v>
      </c>
    </row>
    <row r="9" spans="1:4" s="1138" customFormat="1" ht="12" customHeight="1" x14ac:dyDescent="0.2">
      <c r="A9" s="1133" t="s">
        <v>698</v>
      </c>
      <c r="B9" s="1134" t="s">
        <v>699</v>
      </c>
      <c r="C9" s="1135">
        <f>'7.1 Önkormányzat'!C9</f>
        <v>71400131</v>
      </c>
      <c r="D9" s="1136">
        <f>'7.1 Önkormányzat'!D9</f>
        <v>71400131</v>
      </c>
    </row>
    <row r="10" spans="1:4" s="1142" customFormat="1" ht="12" customHeight="1" x14ac:dyDescent="0.2">
      <c r="A10" s="1139" t="s">
        <v>700</v>
      </c>
      <c r="B10" s="1140" t="s">
        <v>701</v>
      </c>
      <c r="C10" s="1135">
        <f>'7.1 Önkormányzat'!C10</f>
        <v>61660080</v>
      </c>
      <c r="D10" s="1136">
        <f>'7.1 Önkormányzat'!D10</f>
        <v>66300122</v>
      </c>
    </row>
    <row r="11" spans="1:4" s="1142" customFormat="1" ht="12" customHeight="1" x14ac:dyDescent="0.2">
      <c r="A11" s="1139" t="s">
        <v>702</v>
      </c>
      <c r="B11" s="1140" t="s">
        <v>703</v>
      </c>
      <c r="C11" s="1135">
        <f>'7.1 Önkormányzat'!C11</f>
        <v>38130050</v>
      </c>
      <c r="D11" s="1136">
        <f>'7.1 Önkormányzat'!D11</f>
        <v>35930050</v>
      </c>
    </row>
    <row r="12" spans="1:4" s="1142" customFormat="1" ht="12" customHeight="1" x14ac:dyDescent="0.2">
      <c r="A12" s="1139" t="s">
        <v>704</v>
      </c>
      <c r="B12" s="1140" t="s">
        <v>705</v>
      </c>
      <c r="C12" s="1135">
        <f>'7.1 Önkormányzat'!C12</f>
        <v>3846825</v>
      </c>
      <c r="D12" s="1136">
        <f>'7.1 Önkormányzat'!D12</f>
        <v>3846825</v>
      </c>
    </row>
    <row r="13" spans="1:4" s="1142" customFormat="1" ht="12" customHeight="1" x14ac:dyDescent="0.2">
      <c r="A13" s="1139" t="s">
        <v>706</v>
      </c>
      <c r="B13" s="1140" t="s">
        <v>707</v>
      </c>
      <c r="C13" s="1135">
        <f>'7.1 Önkormányzat'!C13</f>
        <v>0</v>
      </c>
      <c r="D13" s="1136">
        <f>'7.1 Önkormányzat'!D13</f>
        <v>0</v>
      </c>
    </row>
    <row r="14" spans="1:4" s="1138" customFormat="1" ht="12" customHeight="1" thickBot="1" x14ac:dyDescent="0.25">
      <c r="A14" s="1143" t="s">
        <v>708</v>
      </c>
      <c r="B14" s="1144" t="s">
        <v>709</v>
      </c>
      <c r="C14" s="1135">
        <f>'7.1 Önkormányzat'!C14</f>
        <v>0</v>
      </c>
      <c r="D14" s="1136">
        <f>'7.1 Önkormányzat'!D14</f>
        <v>870287</v>
      </c>
    </row>
    <row r="15" spans="1:4" s="1138" customFormat="1" ht="23.25" customHeight="1" thickBot="1" x14ac:dyDescent="0.3">
      <c r="A15" s="1128" t="s">
        <v>710</v>
      </c>
      <c r="B15" s="1145" t="s">
        <v>711</v>
      </c>
      <c r="C15" s="1130">
        <f>+C16+C17+C18+C19+C20</f>
        <v>7657800</v>
      </c>
      <c r="D15" s="1131">
        <f>+D16+D17+D18+D19+D20</f>
        <v>12643074</v>
      </c>
    </row>
    <row r="16" spans="1:4" s="1138" customFormat="1" ht="12" customHeight="1" x14ac:dyDescent="0.2">
      <c r="A16" s="1133" t="s">
        <v>712</v>
      </c>
      <c r="B16" s="1134" t="s">
        <v>713</v>
      </c>
      <c r="C16" s="1135">
        <f>'7.1 Önkormányzat'!C16</f>
        <v>0</v>
      </c>
      <c r="D16" s="1136">
        <f>'7.1 Önkormányzat'!D16</f>
        <v>0</v>
      </c>
    </row>
    <row r="17" spans="1:4" s="1138" customFormat="1" ht="12" customHeight="1" x14ac:dyDescent="0.2">
      <c r="A17" s="1139" t="s">
        <v>714</v>
      </c>
      <c r="B17" s="1140" t="s">
        <v>715</v>
      </c>
      <c r="C17" s="1135">
        <f>'7.1 Önkormányzat'!C17</f>
        <v>0</v>
      </c>
      <c r="D17" s="1136">
        <f>'7.1 Önkormányzat'!D17</f>
        <v>0</v>
      </c>
    </row>
    <row r="18" spans="1:4" s="1138" customFormat="1" ht="12" customHeight="1" x14ac:dyDescent="0.2">
      <c r="A18" s="1139" t="s">
        <v>716</v>
      </c>
      <c r="B18" s="1140" t="s">
        <v>717</v>
      </c>
      <c r="C18" s="1135">
        <f>'7.1 Önkormányzat'!C18</f>
        <v>0</v>
      </c>
      <c r="D18" s="1136">
        <f>'7.1 Önkormányzat'!D18</f>
        <v>0</v>
      </c>
    </row>
    <row r="19" spans="1:4" s="1138" customFormat="1" ht="12" customHeight="1" x14ac:dyDescent="0.2">
      <c r="A19" s="1139" t="s">
        <v>718</v>
      </c>
      <c r="B19" s="1140" t="s">
        <v>719</v>
      </c>
      <c r="C19" s="1135">
        <f>'7.1 Önkormányzat'!C19</f>
        <v>0</v>
      </c>
      <c r="D19" s="1136">
        <f>'7.1 Önkormányzat'!D19</f>
        <v>0</v>
      </c>
    </row>
    <row r="20" spans="1:4" s="1138" customFormat="1" ht="12" customHeight="1" x14ac:dyDescent="0.2">
      <c r="A20" s="1139" t="s">
        <v>720</v>
      </c>
      <c r="B20" s="1140" t="s">
        <v>721</v>
      </c>
      <c r="C20" s="1135">
        <f>'7.1 Önkormányzat'!C20</f>
        <v>7657800</v>
      </c>
      <c r="D20" s="1136">
        <f>'7.1 Önkormányzat'!D20</f>
        <v>12643074</v>
      </c>
    </row>
    <row r="21" spans="1:4" s="1142" customFormat="1" ht="12" customHeight="1" thickBot="1" x14ac:dyDescent="0.25">
      <c r="A21" s="1143" t="s">
        <v>722</v>
      </c>
      <c r="B21" s="1144" t="s">
        <v>723</v>
      </c>
      <c r="C21" s="1135">
        <f>'7.1 Önkormányzat'!C21</f>
        <v>0</v>
      </c>
      <c r="D21" s="1136">
        <f>'7.1 Önkormányzat'!D21</f>
        <v>0</v>
      </c>
    </row>
    <row r="22" spans="1:4" s="1142" customFormat="1" ht="22.5" customHeight="1" thickBot="1" x14ac:dyDescent="0.3">
      <c r="A22" s="1128" t="s">
        <v>724</v>
      </c>
      <c r="B22" s="1129" t="s">
        <v>725</v>
      </c>
      <c r="C22" s="1130">
        <f>+C23+C24+C25+C26+C27</f>
        <v>0</v>
      </c>
      <c r="D22" s="1131">
        <f>+D23+D24+D25+D26+D27</f>
        <v>0</v>
      </c>
    </row>
    <row r="23" spans="1:4" s="1142" customFormat="1" ht="12" customHeight="1" x14ac:dyDescent="0.2">
      <c r="A23" s="1133" t="s">
        <v>726</v>
      </c>
      <c r="B23" s="1134" t="s">
        <v>727</v>
      </c>
      <c r="C23" s="1135">
        <f>'7.1 Önkormányzat'!C23</f>
        <v>0</v>
      </c>
      <c r="D23" s="1136">
        <f>'7.1 Önkormányzat'!D23</f>
        <v>0</v>
      </c>
    </row>
    <row r="24" spans="1:4" s="1138" customFormat="1" ht="12" customHeight="1" x14ac:dyDescent="0.2">
      <c r="A24" s="1139" t="s">
        <v>728</v>
      </c>
      <c r="B24" s="1140" t="s">
        <v>729</v>
      </c>
      <c r="C24" s="1135">
        <f>'7.1 Önkormányzat'!C24</f>
        <v>0</v>
      </c>
      <c r="D24" s="1136">
        <f>'7.1 Önkormányzat'!D24</f>
        <v>0</v>
      </c>
    </row>
    <row r="25" spans="1:4" s="1142" customFormat="1" ht="12" customHeight="1" x14ac:dyDescent="0.2">
      <c r="A25" s="1139" t="s">
        <v>730</v>
      </c>
      <c r="B25" s="1140" t="s">
        <v>731</v>
      </c>
      <c r="C25" s="1135">
        <f>'7.1 Önkormányzat'!C25</f>
        <v>0</v>
      </c>
      <c r="D25" s="1136">
        <f>'7.1 Önkormányzat'!D25</f>
        <v>0</v>
      </c>
    </row>
    <row r="26" spans="1:4" s="1142" customFormat="1" ht="12" customHeight="1" x14ac:dyDescent="0.2">
      <c r="A26" s="1139" t="s">
        <v>732</v>
      </c>
      <c r="B26" s="1140" t="s">
        <v>733</v>
      </c>
      <c r="C26" s="1135">
        <f>'7.1 Önkormányzat'!C26</f>
        <v>0</v>
      </c>
      <c r="D26" s="1136">
        <f>'7.1 Önkormányzat'!D26</f>
        <v>0</v>
      </c>
    </row>
    <row r="27" spans="1:4" s="1142" customFormat="1" ht="12" customHeight="1" x14ac:dyDescent="0.2">
      <c r="A27" s="1139" t="s">
        <v>734</v>
      </c>
      <c r="B27" s="1140" t="s">
        <v>735</v>
      </c>
      <c r="C27" s="1135">
        <f>'7.1 Önkormányzat'!C27</f>
        <v>0</v>
      </c>
      <c r="D27" s="1136">
        <f>'7.1 Önkormányzat'!D27</f>
        <v>0</v>
      </c>
    </row>
    <row r="28" spans="1:4" s="1142" customFormat="1" ht="12" customHeight="1" thickBot="1" x14ac:dyDescent="0.25">
      <c r="A28" s="1143" t="s">
        <v>736</v>
      </c>
      <c r="B28" s="1144" t="s">
        <v>737</v>
      </c>
      <c r="C28" s="1135">
        <f>'7.1 Önkormányzat'!C28</f>
        <v>0</v>
      </c>
      <c r="D28" s="1136">
        <f>'7.1 Önkormányzat'!D28</f>
        <v>0</v>
      </c>
    </row>
    <row r="29" spans="1:4" s="1142" customFormat="1" ht="12" customHeight="1" thickBot="1" x14ac:dyDescent="0.3">
      <c r="A29" s="1128" t="s">
        <v>738</v>
      </c>
      <c r="B29" s="1129" t="s">
        <v>982</v>
      </c>
      <c r="C29" s="1150">
        <f>+C30+C36</f>
        <v>91440000</v>
      </c>
      <c r="D29" s="1151">
        <f>+D30+D36</f>
        <v>80440000</v>
      </c>
    </row>
    <row r="30" spans="1:4" s="1142" customFormat="1" ht="12" customHeight="1" x14ac:dyDescent="0.2">
      <c r="A30" s="1133" t="s">
        <v>740</v>
      </c>
      <c r="B30" s="1134" t="s">
        <v>741</v>
      </c>
      <c r="C30" s="1135">
        <f>'7.1 Önkormányzat'!C30</f>
        <v>90740000</v>
      </c>
      <c r="D30" s="1136">
        <f>'7.1 Önkormányzat'!D30</f>
        <v>79740000</v>
      </c>
    </row>
    <row r="31" spans="1:4" s="1142" customFormat="1" ht="12" customHeight="1" x14ac:dyDescent="0.2">
      <c r="A31" s="1139" t="s">
        <v>742</v>
      </c>
      <c r="B31" s="1154" t="s">
        <v>743</v>
      </c>
      <c r="C31" s="1135">
        <f>'7.1 Önkormányzat'!C31</f>
        <v>40000</v>
      </c>
      <c r="D31" s="1136">
        <f>'7.1 Önkormányzat'!D31</f>
        <v>40000</v>
      </c>
    </row>
    <row r="32" spans="1:4" s="1142" customFormat="1" ht="12" customHeight="1" x14ac:dyDescent="0.2">
      <c r="A32" s="1139" t="s">
        <v>744</v>
      </c>
      <c r="B32" s="1140" t="s">
        <v>745</v>
      </c>
      <c r="C32" s="1135">
        <f>'7.1 Önkormányzat'!C32</f>
        <v>7500000</v>
      </c>
      <c r="D32" s="1136">
        <f>'7.1 Önkormányzat'!D32</f>
        <v>7500000</v>
      </c>
    </row>
    <row r="33" spans="1:4" s="1142" customFormat="1" ht="12" customHeight="1" x14ac:dyDescent="0.2">
      <c r="A33" s="1139" t="s">
        <v>746</v>
      </c>
      <c r="B33" s="1154" t="s">
        <v>747</v>
      </c>
      <c r="C33" s="1135">
        <f>'7.1 Önkormányzat'!C33</f>
        <v>72000000</v>
      </c>
      <c r="D33" s="1136">
        <f>'7.1 Önkormányzat'!D33</f>
        <v>72000000</v>
      </c>
    </row>
    <row r="34" spans="1:4" s="1142" customFormat="1" ht="12" customHeight="1" x14ac:dyDescent="0.2">
      <c r="A34" s="1139" t="s">
        <v>748</v>
      </c>
      <c r="B34" s="1154" t="s">
        <v>749</v>
      </c>
      <c r="C34" s="1135">
        <f>'7.1 Önkormányzat'!C34</f>
        <v>11000000</v>
      </c>
      <c r="D34" s="1136">
        <f>'7.1 Önkormányzat'!D34</f>
        <v>0</v>
      </c>
    </row>
    <row r="35" spans="1:4" s="1142" customFormat="1" ht="12" customHeight="1" x14ac:dyDescent="0.2">
      <c r="A35" s="1139" t="s">
        <v>750</v>
      </c>
      <c r="B35" s="1154" t="s">
        <v>751</v>
      </c>
      <c r="C35" s="1135">
        <f>'7.1 Önkormányzat'!C35</f>
        <v>200000</v>
      </c>
      <c r="D35" s="1136">
        <f>'7.1 Önkormányzat'!D35</f>
        <v>200000</v>
      </c>
    </row>
    <row r="36" spans="1:4" s="1142" customFormat="1" ht="12" customHeight="1" thickBot="1" x14ac:dyDescent="0.25">
      <c r="A36" s="1143" t="s">
        <v>752</v>
      </c>
      <c r="B36" s="1144" t="s">
        <v>248</v>
      </c>
      <c r="C36" s="1135">
        <f>'7.1 Önkormányzat'!C36</f>
        <v>700000</v>
      </c>
      <c r="D36" s="1136">
        <f>'7.1 Önkormányzat'!D36</f>
        <v>700000</v>
      </c>
    </row>
    <row r="37" spans="1:4" s="1142" customFormat="1" ht="12" customHeight="1" thickBot="1" x14ac:dyDescent="0.3">
      <c r="A37" s="1128" t="s">
        <v>753</v>
      </c>
      <c r="B37" s="1129" t="s">
        <v>754</v>
      </c>
      <c r="C37" s="1130">
        <f>SUM(C38:C47)</f>
        <v>40999338</v>
      </c>
      <c r="D37" s="1131">
        <f>SUM(D38:D47)</f>
        <v>40589338</v>
      </c>
    </row>
    <row r="38" spans="1:4" s="1142" customFormat="1" ht="12" customHeight="1" x14ac:dyDescent="0.2">
      <c r="A38" s="1133" t="s">
        <v>755</v>
      </c>
      <c r="B38" s="1134" t="s">
        <v>756</v>
      </c>
      <c r="C38" s="1135">
        <f>'7.1 Önkormányzat'!C38</f>
        <v>2000000</v>
      </c>
      <c r="D38" s="1136">
        <f>'7.1 Önkormányzat'!D38</f>
        <v>1560000</v>
      </c>
    </row>
    <row r="39" spans="1:4" s="1142" customFormat="1" ht="12" customHeight="1" x14ac:dyDescent="0.2">
      <c r="A39" s="1139" t="s">
        <v>757</v>
      </c>
      <c r="B39" s="1140" t="s">
        <v>758</v>
      </c>
      <c r="C39" s="1135">
        <f>'7.1 Önkormányzat'!C39+'7.2 Hivatal'!C10+'7.3 Óvoda'!C10</f>
        <v>17020000</v>
      </c>
      <c r="D39" s="1136">
        <f>'7.1 Önkormányzat'!D39+'7.2 Hivatal'!D10+'7.3 Óvoda'!D10</f>
        <v>16855000</v>
      </c>
    </row>
    <row r="40" spans="1:4" s="1142" customFormat="1" ht="12" customHeight="1" x14ac:dyDescent="0.2">
      <c r="A40" s="1139" t="s">
        <v>759</v>
      </c>
      <c r="B40" s="1140" t="s">
        <v>760</v>
      </c>
      <c r="C40" s="1135">
        <f>'7.1 Önkormányzat'!C40+'7.2 Hivatal'!C11+'7.3 Óvoda'!C11</f>
        <v>2220000</v>
      </c>
      <c r="D40" s="1136">
        <f>'7.1 Önkormányzat'!D40+'7.2 Hivatal'!D11+'7.3 Óvoda'!D11</f>
        <v>2220000</v>
      </c>
    </row>
    <row r="41" spans="1:4" s="1142" customFormat="1" ht="12" customHeight="1" x14ac:dyDescent="0.2">
      <c r="A41" s="1139" t="s">
        <v>761</v>
      </c>
      <c r="B41" s="1140" t="s">
        <v>762</v>
      </c>
      <c r="C41" s="1135">
        <f>'7.1 Önkormányzat'!C41</f>
        <v>0</v>
      </c>
      <c r="D41" s="1136">
        <f>'7.1 Önkormányzat'!D41</f>
        <v>165000</v>
      </c>
    </row>
    <row r="42" spans="1:4" s="1142" customFormat="1" ht="12" customHeight="1" x14ac:dyDescent="0.2">
      <c r="A42" s="1139" t="s">
        <v>763</v>
      </c>
      <c r="B42" s="1140" t="s">
        <v>764</v>
      </c>
      <c r="C42" s="1135">
        <f>'7.1 Önkormányzat'!C42+'7.2 Hivatal'!C13+'7.3 Óvoda'!C13</f>
        <v>7400000</v>
      </c>
      <c r="D42" s="1136">
        <f>'7.1 Önkormányzat'!D42+'7.2 Hivatal'!D13+'7.3 Óvoda'!D13</f>
        <v>7400000</v>
      </c>
    </row>
    <row r="43" spans="1:4" s="1142" customFormat="1" ht="12" customHeight="1" x14ac:dyDescent="0.2">
      <c r="A43" s="1139" t="s">
        <v>765</v>
      </c>
      <c r="B43" s="1140" t="s">
        <v>766</v>
      </c>
      <c r="C43" s="1135">
        <f>'7.1 Önkormányzat'!C43+'7.2 Hivatal'!C14+'7.3 Óvoda'!C14</f>
        <v>6951338</v>
      </c>
      <c r="D43" s="1136">
        <f>'7.1 Önkormányzat'!D43+'7.2 Hivatal'!D14+'7.3 Óvoda'!D14</f>
        <v>6951338</v>
      </c>
    </row>
    <row r="44" spans="1:4" s="1142" customFormat="1" ht="12" customHeight="1" x14ac:dyDescent="0.2">
      <c r="A44" s="1139" t="s">
        <v>767</v>
      </c>
      <c r="B44" s="1140" t="s">
        <v>768</v>
      </c>
      <c r="C44" s="1135">
        <f>'7.1 Önkormányzat'!C44+'7.2 Hivatal'!C15+'7.3 Óvoda'!C15</f>
        <v>5240000</v>
      </c>
      <c r="D44" s="1136">
        <f>'7.1 Önkormányzat'!D44+'7.2 Hivatal'!D15+'7.3 Óvoda'!D15</f>
        <v>5240000</v>
      </c>
    </row>
    <row r="45" spans="1:4" s="1142" customFormat="1" ht="12" customHeight="1" x14ac:dyDescent="0.2">
      <c r="A45" s="1139" t="s">
        <v>769</v>
      </c>
      <c r="B45" s="1140" t="s">
        <v>770</v>
      </c>
      <c r="C45" s="1135">
        <f>'7.1 Önkormányzat'!C45</f>
        <v>5000</v>
      </c>
      <c r="D45" s="1136">
        <f>'7.1 Önkormányzat'!D45</f>
        <v>5000</v>
      </c>
    </row>
    <row r="46" spans="1:4" s="1142" customFormat="1" ht="12" customHeight="1" x14ac:dyDescent="0.2">
      <c r="A46" s="1139" t="s">
        <v>771</v>
      </c>
      <c r="B46" s="1140" t="s">
        <v>772</v>
      </c>
      <c r="C46" s="1135">
        <f>'7.1 Önkormányzat'!C46</f>
        <v>0</v>
      </c>
      <c r="D46" s="1136">
        <f>'7.1 Önkormányzat'!D46</f>
        <v>30000</v>
      </c>
    </row>
    <row r="47" spans="1:4" s="1142" customFormat="1" ht="12" customHeight="1" thickBot="1" x14ac:dyDescent="0.25">
      <c r="A47" s="1143" t="s">
        <v>773</v>
      </c>
      <c r="B47" s="1144" t="s">
        <v>774</v>
      </c>
      <c r="C47" s="1135">
        <f>'7.1 Önkormányzat'!C47+'7.2 Hivatal'!C18+'7.3 Óvoda'!C18</f>
        <v>163000</v>
      </c>
      <c r="D47" s="1136">
        <f>'7.1 Önkormányzat'!D47+'7.2 Hivatal'!D18+'7.3 Óvoda'!D18</f>
        <v>163000</v>
      </c>
    </row>
    <row r="48" spans="1:4" s="1142" customFormat="1" ht="12" customHeight="1" thickBot="1" x14ac:dyDescent="0.3">
      <c r="A48" s="1128" t="s">
        <v>775</v>
      </c>
      <c r="B48" s="1129" t="s">
        <v>776</v>
      </c>
      <c r="C48" s="1130">
        <f>SUM(C49:C53)</f>
        <v>152362</v>
      </c>
      <c r="D48" s="1131">
        <f>SUM(D49:D53)</f>
        <v>312362</v>
      </c>
    </row>
    <row r="49" spans="1:4" s="1142" customFormat="1" ht="12" customHeight="1" x14ac:dyDescent="0.2">
      <c r="A49" s="1133" t="s">
        <v>777</v>
      </c>
      <c r="B49" s="1134" t="s">
        <v>778</v>
      </c>
      <c r="C49" s="1135">
        <f>'7.1 Önkormányzat'!C49</f>
        <v>0</v>
      </c>
      <c r="D49" s="1136">
        <f>'7.1 Önkormányzat'!D49</f>
        <v>0</v>
      </c>
    </row>
    <row r="50" spans="1:4" s="1142" customFormat="1" ht="12" customHeight="1" x14ac:dyDescent="0.2">
      <c r="A50" s="1139" t="s">
        <v>779</v>
      </c>
      <c r="B50" s="1140" t="s">
        <v>525</v>
      </c>
      <c r="C50" s="1135">
        <f>'7.1 Önkormányzat'!C50</f>
        <v>0</v>
      </c>
      <c r="D50" s="1136">
        <f>'7.1 Önkormányzat'!D50</f>
        <v>0</v>
      </c>
    </row>
    <row r="51" spans="1:4" s="1142" customFormat="1" ht="12" customHeight="1" x14ac:dyDescent="0.2">
      <c r="A51" s="1139" t="s">
        <v>780</v>
      </c>
      <c r="B51" s="1140" t="s">
        <v>781</v>
      </c>
      <c r="C51" s="1135">
        <f>'7.1 Önkormányzat'!C51+'7.2 Hivatal'!C32</f>
        <v>152362</v>
      </c>
      <c r="D51" s="1136">
        <f>'7.1 Önkormányzat'!D51+'7.2 Hivatal'!D32</f>
        <v>312362</v>
      </c>
    </row>
    <row r="52" spans="1:4" s="1142" customFormat="1" ht="12" customHeight="1" x14ac:dyDescent="0.2">
      <c r="A52" s="1139" t="s">
        <v>782</v>
      </c>
      <c r="B52" s="1140" t="s">
        <v>783</v>
      </c>
      <c r="C52" s="1135">
        <f>'7.1 Önkormányzat'!C52</f>
        <v>0</v>
      </c>
      <c r="D52" s="1136">
        <f>'7.1 Önkormányzat'!D52</f>
        <v>0</v>
      </c>
    </row>
    <row r="53" spans="1:4" s="1142" customFormat="1" ht="12" customHeight="1" thickBot="1" x14ac:dyDescent="0.25">
      <c r="A53" s="1143" t="s">
        <v>784</v>
      </c>
      <c r="B53" s="1144" t="s">
        <v>785</v>
      </c>
      <c r="C53" s="1135">
        <f>'7.1 Önkormányzat'!C53</f>
        <v>0</v>
      </c>
      <c r="D53" s="1136">
        <f>'7.1 Önkormányzat'!D53</f>
        <v>0</v>
      </c>
    </row>
    <row r="54" spans="1:4" s="1142" customFormat="1" ht="12" customHeight="1" thickBot="1" x14ac:dyDescent="0.3">
      <c r="A54" s="1128" t="s">
        <v>786</v>
      </c>
      <c r="B54" s="1129" t="s">
        <v>787</v>
      </c>
      <c r="C54" s="1130">
        <f>SUM(C55:C57)</f>
        <v>0</v>
      </c>
      <c r="D54" s="1131">
        <f>SUM(D55:D57)</f>
        <v>250000</v>
      </c>
    </row>
    <row r="55" spans="1:4" s="1142" customFormat="1" ht="12" customHeight="1" x14ac:dyDescent="0.2">
      <c r="A55" s="1133" t="s">
        <v>788</v>
      </c>
      <c r="B55" s="1134" t="s">
        <v>789</v>
      </c>
      <c r="C55" s="1135">
        <f>'7.1 Önkormányzat'!C55</f>
        <v>0</v>
      </c>
      <c r="D55" s="1136">
        <f>'7.1 Önkormányzat'!D55</f>
        <v>0</v>
      </c>
    </row>
    <row r="56" spans="1:4" s="1142" customFormat="1" ht="12" customHeight="1" x14ac:dyDescent="0.2">
      <c r="A56" s="1139" t="s">
        <v>790</v>
      </c>
      <c r="B56" s="1140" t="s">
        <v>791</v>
      </c>
      <c r="C56" s="1135">
        <f>'7.1 Önkormányzat'!C56</f>
        <v>0</v>
      </c>
      <c r="D56" s="1136">
        <f>'7.1 Önkormányzat'!D56</f>
        <v>0</v>
      </c>
    </row>
    <row r="57" spans="1:4" s="1142" customFormat="1" ht="12" customHeight="1" x14ac:dyDescent="0.2">
      <c r="A57" s="1139" t="s">
        <v>792</v>
      </c>
      <c r="B57" s="1140" t="s">
        <v>793</v>
      </c>
      <c r="C57" s="1135">
        <f>'7.1 Önkormányzat'!C57</f>
        <v>0</v>
      </c>
      <c r="D57" s="1136">
        <f>'7.1 Önkormányzat'!D57</f>
        <v>250000</v>
      </c>
    </row>
    <row r="58" spans="1:4" s="1142" customFormat="1" ht="12" customHeight="1" thickBot="1" x14ac:dyDescent="0.25">
      <c r="A58" s="1143" t="s">
        <v>794</v>
      </c>
      <c r="B58" s="1144" t="s">
        <v>795</v>
      </c>
      <c r="C58" s="1135">
        <f>'7.1 Önkormányzat'!C58</f>
        <v>0</v>
      </c>
      <c r="D58" s="1136">
        <f>'7.1 Önkormányzat'!D58</f>
        <v>0</v>
      </c>
    </row>
    <row r="59" spans="1:4" s="1142" customFormat="1" ht="12" customHeight="1" thickBot="1" x14ac:dyDescent="0.3">
      <c r="A59" s="1128" t="s">
        <v>796</v>
      </c>
      <c r="B59" s="1145" t="s">
        <v>797</v>
      </c>
      <c r="C59" s="1130">
        <f>SUM(C60:C62)</f>
        <v>0</v>
      </c>
      <c r="D59" s="1131">
        <f>SUM(D60:D62)</f>
        <v>0</v>
      </c>
    </row>
    <row r="60" spans="1:4" s="1142" customFormat="1" ht="12" customHeight="1" x14ac:dyDescent="0.2">
      <c r="A60" s="1133" t="s">
        <v>798</v>
      </c>
      <c r="B60" s="1134" t="s">
        <v>799</v>
      </c>
      <c r="C60" s="1135">
        <f>'7.1 Önkormányzat'!C60</f>
        <v>0</v>
      </c>
      <c r="D60" s="1136">
        <f>'7.1 Önkormányzat'!D60</f>
        <v>0</v>
      </c>
    </row>
    <row r="61" spans="1:4" s="1142" customFormat="1" ht="12" customHeight="1" x14ac:dyDescent="0.2">
      <c r="A61" s="1139" t="s">
        <v>800</v>
      </c>
      <c r="B61" s="1140" t="s">
        <v>801</v>
      </c>
      <c r="C61" s="1135">
        <f>'7.1 Önkormányzat'!C61</f>
        <v>0</v>
      </c>
      <c r="D61" s="1136">
        <f>'7.1 Önkormányzat'!D61</f>
        <v>0</v>
      </c>
    </row>
    <row r="62" spans="1:4" s="1142" customFormat="1" ht="12" customHeight="1" x14ac:dyDescent="0.2">
      <c r="A62" s="1139" t="s">
        <v>802</v>
      </c>
      <c r="B62" s="1140" t="s">
        <v>803</v>
      </c>
      <c r="C62" s="1135">
        <f>'7.1 Önkormányzat'!C62</f>
        <v>0</v>
      </c>
      <c r="D62" s="1136">
        <f>'7.1 Önkormányzat'!D62</f>
        <v>0</v>
      </c>
    </row>
    <row r="63" spans="1:4" s="1142" customFormat="1" ht="12" customHeight="1" thickBot="1" x14ac:dyDescent="0.25">
      <c r="A63" s="1143" t="s">
        <v>804</v>
      </c>
      <c r="B63" s="1144" t="s">
        <v>805</v>
      </c>
      <c r="C63" s="1135">
        <f>'7.1 Önkormányzat'!C63</f>
        <v>0</v>
      </c>
      <c r="D63" s="1136">
        <f>'7.1 Önkormányzat'!D63</f>
        <v>0</v>
      </c>
    </row>
    <row r="64" spans="1:4" s="1142" customFormat="1" ht="12" customHeight="1" thickBot="1" x14ac:dyDescent="0.3">
      <c r="A64" s="1128" t="s">
        <v>806</v>
      </c>
      <c r="B64" s="1129" t="s">
        <v>807</v>
      </c>
      <c r="C64" s="1150">
        <f>+C8+C15+C22+C29+C37+C48+C54+C59</f>
        <v>315286586</v>
      </c>
      <c r="D64" s="1151">
        <f>+D8+D15+D22+D29+D37+D48+D54+D59</f>
        <v>312582189</v>
      </c>
    </row>
    <row r="65" spans="1:4" s="1142" customFormat="1" ht="12" customHeight="1" thickBot="1" x14ac:dyDescent="0.2">
      <c r="A65" s="1164" t="s">
        <v>808</v>
      </c>
      <c r="B65" s="1145" t="s">
        <v>809</v>
      </c>
      <c r="C65" s="1130">
        <f>SUM(C66:C68)</f>
        <v>0</v>
      </c>
      <c r="D65" s="1131">
        <f>SUM(D66:D68)</f>
        <v>0</v>
      </c>
    </row>
    <row r="66" spans="1:4" s="1142" customFormat="1" ht="12" customHeight="1" x14ac:dyDescent="0.2">
      <c r="A66" s="1133" t="s">
        <v>810</v>
      </c>
      <c r="B66" s="1134" t="s">
        <v>811</v>
      </c>
      <c r="C66" s="1135">
        <f>'7.1 Önkormányzat'!C66</f>
        <v>0</v>
      </c>
      <c r="D66" s="1136">
        <f>'7.1 Önkormányzat'!D66</f>
        <v>0</v>
      </c>
    </row>
    <row r="67" spans="1:4" s="1142" customFormat="1" ht="12" customHeight="1" x14ac:dyDescent="0.2">
      <c r="A67" s="1139" t="s">
        <v>812</v>
      </c>
      <c r="B67" s="1140" t="s">
        <v>813</v>
      </c>
      <c r="C67" s="1135">
        <f>'7.1 Önkormányzat'!C67</f>
        <v>0</v>
      </c>
      <c r="D67" s="1136">
        <f>'7.1 Önkormányzat'!D67</f>
        <v>0</v>
      </c>
    </row>
    <row r="68" spans="1:4" s="1142" customFormat="1" ht="12" customHeight="1" thickBot="1" x14ac:dyDescent="0.25">
      <c r="A68" s="1143" t="s">
        <v>814</v>
      </c>
      <c r="B68" s="1165" t="s">
        <v>815</v>
      </c>
      <c r="C68" s="1135">
        <f>'7.1 Önkormányzat'!C68</f>
        <v>0</v>
      </c>
      <c r="D68" s="1136">
        <f>'7.1 Önkormányzat'!D68</f>
        <v>0</v>
      </c>
    </row>
    <row r="69" spans="1:4" s="1142" customFormat="1" ht="12" customHeight="1" thickBot="1" x14ac:dyDescent="0.2">
      <c r="A69" s="1164" t="s">
        <v>816</v>
      </c>
      <c r="B69" s="1145" t="s">
        <v>817</v>
      </c>
      <c r="C69" s="1130">
        <f>SUM(C70:C73)</f>
        <v>0</v>
      </c>
      <c r="D69" s="1131">
        <f>SUM(D70:D73)</f>
        <v>0</v>
      </c>
    </row>
    <row r="70" spans="1:4" s="1142" customFormat="1" ht="12" customHeight="1" x14ac:dyDescent="0.2">
      <c r="A70" s="1133" t="s">
        <v>818</v>
      </c>
      <c r="B70" s="1134" t="s">
        <v>819</v>
      </c>
      <c r="C70" s="1135">
        <f>'7.1 Önkormányzat'!C70</f>
        <v>0</v>
      </c>
      <c r="D70" s="1136">
        <f>'7.1 Önkormányzat'!D70</f>
        <v>0</v>
      </c>
    </row>
    <row r="71" spans="1:4" s="1142" customFormat="1" ht="12" customHeight="1" x14ac:dyDescent="0.2">
      <c r="A71" s="1139" t="s">
        <v>820</v>
      </c>
      <c r="B71" s="1140" t="s">
        <v>821</v>
      </c>
      <c r="C71" s="1135">
        <f>'7.1 Önkormányzat'!C71</f>
        <v>0</v>
      </c>
      <c r="D71" s="1136">
        <f>'7.1 Önkormányzat'!D71</f>
        <v>0</v>
      </c>
    </row>
    <row r="72" spans="1:4" s="1142" customFormat="1" ht="12" customHeight="1" x14ac:dyDescent="0.2">
      <c r="A72" s="1139" t="s">
        <v>822</v>
      </c>
      <c r="B72" s="1140" t="s">
        <v>823</v>
      </c>
      <c r="C72" s="1135">
        <f>'7.1 Önkormányzat'!C72</f>
        <v>0</v>
      </c>
      <c r="D72" s="1136">
        <f>'7.1 Önkormányzat'!D72</f>
        <v>0</v>
      </c>
    </row>
    <row r="73" spans="1:4" s="1142" customFormat="1" ht="12" customHeight="1" thickBot="1" x14ac:dyDescent="0.25">
      <c r="A73" s="1166" t="s">
        <v>824</v>
      </c>
      <c r="B73" s="1167" t="s">
        <v>825</v>
      </c>
      <c r="C73" s="1135">
        <f>'7.1 Önkormányzat'!C73</f>
        <v>0</v>
      </c>
      <c r="D73" s="1136">
        <f>'7.1 Önkormányzat'!D73</f>
        <v>0</v>
      </c>
    </row>
    <row r="74" spans="1:4" s="1142" customFormat="1" ht="12" customHeight="1" thickBot="1" x14ac:dyDescent="0.2">
      <c r="A74" s="1164" t="s">
        <v>826</v>
      </c>
      <c r="B74" s="1145" t="s">
        <v>827</v>
      </c>
      <c r="C74" s="1130">
        <f>SUM(C75:C76)</f>
        <v>97354513</v>
      </c>
      <c r="D74" s="1131">
        <f>SUM(D75:D76)</f>
        <v>109963173</v>
      </c>
    </row>
    <row r="75" spans="1:4" s="1142" customFormat="1" ht="12" customHeight="1" x14ac:dyDescent="0.2">
      <c r="A75" s="1133" t="s">
        <v>828</v>
      </c>
      <c r="B75" s="1134" t="s">
        <v>829</v>
      </c>
      <c r="C75" s="1135">
        <f>'7.1 Önkormányzat'!C75</f>
        <v>97354513</v>
      </c>
      <c r="D75" s="1136">
        <f>'7.1 Önkormányzat'!D75+'7.2 Hivatal'!D37+'7.3 Óvoda'!D37</f>
        <v>109963173</v>
      </c>
    </row>
    <row r="76" spans="1:4" s="1142" customFormat="1" ht="12" customHeight="1" thickBot="1" x14ac:dyDescent="0.25">
      <c r="A76" s="1143" t="s">
        <v>830</v>
      </c>
      <c r="B76" s="1144" t="s">
        <v>831</v>
      </c>
      <c r="C76" s="1135">
        <f>'7.1 Önkormányzat'!C76</f>
        <v>0</v>
      </c>
      <c r="D76" s="1136">
        <f>'7.1 Önkormányzat'!D76</f>
        <v>0</v>
      </c>
    </row>
    <row r="77" spans="1:4" s="1138" customFormat="1" ht="12" customHeight="1" thickBot="1" x14ac:dyDescent="0.2">
      <c r="A77" s="1164" t="s">
        <v>832</v>
      </c>
      <c r="B77" s="1145" t="s">
        <v>833</v>
      </c>
      <c r="C77" s="1130">
        <f>SUM(C78:C80)</f>
        <v>0</v>
      </c>
      <c r="D77" s="1131">
        <f>SUM(D78:D80)</f>
        <v>0</v>
      </c>
    </row>
    <row r="78" spans="1:4" s="1142" customFormat="1" ht="12" customHeight="1" x14ac:dyDescent="0.2">
      <c r="A78" s="1133" t="s">
        <v>834</v>
      </c>
      <c r="B78" s="1134" t="s">
        <v>835</v>
      </c>
      <c r="C78" s="1135">
        <f>'7.1 Önkormányzat'!C78</f>
        <v>0</v>
      </c>
      <c r="D78" s="1136">
        <f>'7.1 Önkormányzat'!D78</f>
        <v>0</v>
      </c>
    </row>
    <row r="79" spans="1:4" s="1142" customFormat="1" ht="12" customHeight="1" x14ac:dyDescent="0.2">
      <c r="A79" s="1139" t="s">
        <v>836</v>
      </c>
      <c r="B79" s="1140" t="s">
        <v>837</v>
      </c>
      <c r="C79" s="1135">
        <f>'7.1 Önkormányzat'!C79</f>
        <v>0</v>
      </c>
      <c r="D79" s="1136">
        <f>'7.1 Önkormányzat'!D79</f>
        <v>0</v>
      </c>
    </row>
    <row r="80" spans="1:4" s="1142" customFormat="1" ht="12" customHeight="1" thickBot="1" x14ac:dyDescent="0.25">
      <c r="A80" s="1143" t="s">
        <v>838</v>
      </c>
      <c r="B80" s="1144" t="s">
        <v>839</v>
      </c>
      <c r="C80" s="1135">
        <f>'7.1 Önkormányzat'!C80</f>
        <v>0</v>
      </c>
      <c r="D80" s="1136">
        <f>'7.1 Önkormányzat'!D80</f>
        <v>0</v>
      </c>
    </row>
    <row r="81" spans="1:4" s="1142" customFormat="1" ht="12" customHeight="1" thickBot="1" x14ac:dyDescent="0.2">
      <c r="A81" s="1164" t="s">
        <v>840</v>
      </c>
      <c r="B81" s="1145" t="s">
        <v>841</v>
      </c>
      <c r="C81" s="1130">
        <f>SUM(C82:C85)</f>
        <v>0</v>
      </c>
      <c r="D81" s="1131">
        <f>SUM(D82:D85)</f>
        <v>0</v>
      </c>
    </row>
    <row r="82" spans="1:4" s="1142" customFormat="1" ht="12" customHeight="1" x14ac:dyDescent="0.2">
      <c r="A82" s="1169" t="s">
        <v>842</v>
      </c>
      <c r="B82" s="1134" t="s">
        <v>843</v>
      </c>
      <c r="C82" s="1135">
        <f>'7.1 Önkormányzat'!C82</f>
        <v>0</v>
      </c>
      <c r="D82" s="1136">
        <f>'7.1 Önkormányzat'!D82</f>
        <v>0</v>
      </c>
    </row>
    <row r="83" spans="1:4" s="1142" customFormat="1" ht="12" customHeight="1" x14ac:dyDescent="0.2">
      <c r="A83" s="1170" t="s">
        <v>844</v>
      </c>
      <c r="B83" s="1140" t="s">
        <v>845</v>
      </c>
      <c r="C83" s="1135">
        <f>'7.1 Önkormányzat'!C83</f>
        <v>0</v>
      </c>
      <c r="D83" s="1136">
        <f>'7.1 Önkormányzat'!D83</f>
        <v>0</v>
      </c>
    </row>
    <row r="84" spans="1:4" s="1142" customFormat="1" ht="12" customHeight="1" x14ac:dyDescent="0.2">
      <c r="A84" s="1170" t="s">
        <v>846</v>
      </c>
      <c r="B84" s="1140" t="s">
        <v>847</v>
      </c>
      <c r="C84" s="1135">
        <f>'7.1 Önkormányzat'!C84</f>
        <v>0</v>
      </c>
      <c r="D84" s="1136">
        <f>'7.1 Önkormányzat'!D84</f>
        <v>0</v>
      </c>
    </row>
    <row r="85" spans="1:4" s="1138" customFormat="1" ht="12" customHeight="1" thickBot="1" x14ac:dyDescent="0.25">
      <c r="A85" s="1171" t="s">
        <v>848</v>
      </c>
      <c r="B85" s="1144" t="s">
        <v>849</v>
      </c>
      <c r="C85" s="1135">
        <f>'7.1 Önkormányzat'!C85</f>
        <v>0</v>
      </c>
      <c r="D85" s="1136">
        <f>'7.1 Önkormányzat'!D85</f>
        <v>0</v>
      </c>
    </row>
    <row r="86" spans="1:4" s="1138" customFormat="1" ht="12" customHeight="1" thickBot="1" x14ac:dyDescent="0.2">
      <c r="A86" s="1164" t="s">
        <v>850</v>
      </c>
      <c r="B86" s="1145" t="s">
        <v>851</v>
      </c>
      <c r="C86" s="1172"/>
      <c r="D86" s="1173"/>
    </row>
    <row r="87" spans="1:4" s="1138" customFormat="1" ht="12" customHeight="1" thickBot="1" x14ac:dyDescent="0.2">
      <c r="A87" s="1164" t="s">
        <v>852</v>
      </c>
      <c r="B87" s="1174" t="s">
        <v>853</v>
      </c>
      <c r="C87" s="1150">
        <f>+C65+C69+C74+C77+C81+C86</f>
        <v>97354513</v>
      </c>
      <c r="D87" s="1151">
        <f>+D65+D69+D74+D77+D81+D86</f>
        <v>109963173</v>
      </c>
    </row>
    <row r="88" spans="1:4" s="1138" customFormat="1" ht="12" customHeight="1" thickBot="1" x14ac:dyDescent="0.2">
      <c r="A88" s="1175" t="s">
        <v>854</v>
      </c>
      <c r="B88" s="1176" t="s">
        <v>855</v>
      </c>
      <c r="C88" s="1150">
        <f>+C64+C87</f>
        <v>412641099</v>
      </c>
      <c r="D88" s="1151">
        <f>+D64+D87</f>
        <v>422545362</v>
      </c>
    </row>
    <row r="89" spans="1:4" s="1142" customFormat="1" ht="15" customHeight="1" x14ac:dyDescent="0.25">
      <c r="A89" s="1178"/>
      <c r="B89" s="1179"/>
      <c r="C89" s="1180"/>
      <c r="D89" s="1180"/>
    </row>
    <row r="90" spans="1:4" ht="13.5" thickBot="1" x14ac:dyDescent="0.3">
      <c r="A90" s="1178"/>
      <c r="B90" s="1183"/>
      <c r="C90" s="1184"/>
      <c r="D90" s="1184"/>
    </row>
    <row r="91" spans="1:4" s="1125" customFormat="1" ht="16.5" customHeight="1" thickBot="1" x14ac:dyDescent="0.3">
      <c r="A91" s="1814" t="s">
        <v>856</v>
      </c>
      <c r="B91" s="1815"/>
      <c r="C91" s="1815"/>
      <c r="D91" s="1816"/>
    </row>
    <row r="92" spans="1:4" s="1189" customFormat="1" ht="12" customHeight="1" thickBot="1" x14ac:dyDescent="0.3">
      <c r="A92" s="1185" t="s">
        <v>696</v>
      </c>
      <c r="B92" s="1186" t="s">
        <v>857</v>
      </c>
      <c r="C92" s="1187">
        <f>SUM(C93:C97)</f>
        <v>299602876</v>
      </c>
      <c r="D92" s="1188">
        <f>SUM(D93:D97)</f>
        <v>303227215</v>
      </c>
    </row>
    <row r="93" spans="1:4" ht="12" customHeight="1" x14ac:dyDescent="0.25">
      <c r="A93" s="1190" t="s">
        <v>698</v>
      </c>
      <c r="B93" s="1191" t="s">
        <v>858</v>
      </c>
      <c r="C93" s="1192">
        <f>'7.1 Önkormányzat'!C93+'7.2 Hivatal'!C45+'7.3 Óvoda'!C45</f>
        <v>155209101</v>
      </c>
      <c r="D93" s="1193">
        <f>'7.1 Önkormányzat'!D93+'7.2 Hivatal'!D45+'7.3 Óvoda'!D45</f>
        <v>161705721</v>
      </c>
    </row>
    <row r="94" spans="1:4" ht="12" customHeight="1" x14ac:dyDescent="0.25">
      <c r="A94" s="1139" t="s">
        <v>700</v>
      </c>
      <c r="B94" s="1194" t="s">
        <v>25</v>
      </c>
      <c r="C94" s="1196">
        <f>'7.1 Önkormányzat'!C94+'7.2 Hivatal'!C46+'7.3 Óvoda'!C46</f>
        <v>29398248</v>
      </c>
      <c r="D94" s="1148">
        <f>'7.1 Önkormányzat'!D94+'7.2 Hivatal'!D46+'7.3 Óvoda'!D46</f>
        <v>30258467</v>
      </c>
    </row>
    <row r="95" spans="1:4" ht="12" customHeight="1" x14ac:dyDescent="0.25">
      <c r="A95" s="1139" t="s">
        <v>702</v>
      </c>
      <c r="B95" s="1194" t="s">
        <v>859</v>
      </c>
      <c r="C95" s="1196">
        <f>'7.1 Önkormányzat'!C95+'7.2 Hivatal'!C47+'7.3 Óvoda'!C47</f>
        <v>93742527</v>
      </c>
      <c r="D95" s="1148">
        <f>'7.1 Önkormányzat'!D95+'7.2 Hivatal'!D47+'7.3 Óvoda'!D47</f>
        <v>93742527</v>
      </c>
    </row>
    <row r="96" spans="1:4" ht="12" customHeight="1" x14ac:dyDescent="0.25">
      <c r="A96" s="1139" t="s">
        <v>704</v>
      </c>
      <c r="B96" s="1197" t="s">
        <v>216</v>
      </c>
      <c r="C96" s="1196">
        <f>'7.1 Önkormányzat'!C96</f>
        <v>2758000</v>
      </c>
      <c r="D96" s="1148">
        <f>'7.1 Önkormányzat'!D96</f>
        <v>2758000</v>
      </c>
    </row>
    <row r="97" spans="1:4" ht="12" customHeight="1" x14ac:dyDescent="0.25">
      <c r="A97" s="1139" t="s">
        <v>860</v>
      </c>
      <c r="B97" s="1734" t="s">
        <v>55</v>
      </c>
      <c r="C97" s="1196">
        <f>'7.1 Önkormányzat'!C97</f>
        <v>18495000</v>
      </c>
      <c r="D97" s="1148">
        <f>'7.1 Önkormányzat'!D97</f>
        <v>14762500</v>
      </c>
    </row>
    <row r="98" spans="1:4" ht="12" customHeight="1" x14ac:dyDescent="0.25">
      <c r="A98" s="1139" t="s">
        <v>708</v>
      </c>
      <c r="B98" s="1194" t="s">
        <v>861</v>
      </c>
      <c r="C98" s="1196">
        <f>'7.1 Önkormányzat'!C98</f>
        <v>0</v>
      </c>
      <c r="D98" s="1148">
        <f>'7.1 Önkormányzat'!D98</f>
        <v>10000</v>
      </c>
    </row>
    <row r="99" spans="1:4" ht="12" customHeight="1" x14ac:dyDescent="0.2">
      <c r="A99" s="1139" t="s">
        <v>862</v>
      </c>
      <c r="B99" s="1201" t="s">
        <v>863</v>
      </c>
      <c r="C99" s="1196">
        <f>'7.1 Önkormányzat'!C99</f>
        <v>0</v>
      </c>
      <c r="D99" s="1148">
        <f>'7.1 Önkormányzat'!D99</f>
        <v>0</v>
      </c>
    </row>
    <row r="100" spans="1:4" ht="12" customHeight="1" x14ac:dyDescent="0.25">
      <c r="A100" s="1139" t="s">
        <v>864</v>
      </c>
      <c r="B100" s="1202" t="s">
        <v>865</v>
      </c>
      <c r="C100" s="1196">
        <f>'7.1 Önkormányzat'!C100</f>
        <v>0</v>
      </c>
      <c r="D100" s="1148">
        <f>'7.1 Önkormányzat'!D100</f>
        <v>0</v>
      </c>
    </row>
    <row r="101" spans="1:4" ht="22.5" customHeight="1" x14ac:dyDescent="0.25">
      <c r="A101" s="1139" t="s">
        <v>866</v>
      </c>
      <c r="B101" s="1202" t="s">
        <v>867</v>
      </c>
      <c r="C101" s="1196">
        <f>'7.1 Önkormányzat'!C101</f>
        <v>0</v>
      </c>
      <c r="D101" s="1148">
        <f>'7.1 Önkormányzat'!D101</f>
        <v>0</v>
      </c>
    </row>
    <row r="102" spans="1:4" ht="12" customHeight="1" x14ac:dyDescent="0.2">
      <c r="A102" s="1139" t="s">
        <v>868</v>
      </c>
      <c r="B102" s="1201" t="s">
        <v>869</v>
      </c>
      <c r="C102" s="1196">
        <f>'7.1 Önkormányzat'!C102</f>
        <v>4255000</v>
      </c>
      <c r="D102" s="1148">
        <f>'7.1 Önkormányzat'!D102</f>
        <v>4255000</v>
      </c>
    </row>
    <row r="103" spans="1:4" ht="12" customHeight="1" x14ac:dyDescent="0.2">
      <c r="A103" s="1139" t="s">
        <v>870</v>
      </c>
      <c r="B103" s="1201" t="s">
        <v>871</v>
      </c>
      <c r="C103" s="1196">
        <f>'7.1 Önkormányzat'!C103</f>
        <v>0</v>
      </c>
      <c r="D103" s="1148">
        <f>'7.1 Önkormányzat'!D103</f>
        <v>0</v>
      </c>
    </row>
    <row r="104" spans="1:4" ht="12" customHeight="1" x14ac:dyDescent="0.25">
      <c r="A104" s="1139" t="s">
        <v>872</v>
      </c>
      <c r="B104" s="1202" t="s">
        <v>873</v>
      </c>
      <c r="C104" s="1196">
        <f>'7.1 Önkormányzat'!C104</f>
        <v>0</v>
      </c>
      <c r="D104" s="1148">
        <f>'7.1 Önkormányzat'!D104</f>
        <v>0</v>
      </c>
    </row>
    <row r="105" spans="1:4" ht="12" customHeight="1" x14ac:dyDescent="0.25">
      <c r="A105" s="1203" t="s">
        <v>874</v>
      </c>
      <c r="B105" s="1204" t="s">
        <v>875</v>
      </c>
      <c r="C105" s="1196">
        <f>'7.1 Önkormányzat'!C105</f>
        <v>0</v>
      </c>
      <c r="D105" s="1148">
        <f>'7.1 Önkormányzat'!D105</f>
        <v>0</v>
      </c>
    </row>
    <row r="106" spans="1:4" ht="12" customHeight="1" x14ac:dyDescent="0.25">
      <c r="A106" s="1139" t="s">
        <v>876</v>
      </c>
      <c r="B106" s="1204" t="s">
        <v>877</v>
      </c>
      <c r="C106" s="1196">
        <f>'7.1 Önkormányzat'!C106</f>
        <v>0</v>
      </c>
      <c r="D106" s="1148">
        <f>'7.1 Önkormányzat'!D106</f>
        <v>0</v>
      </c>
    </row>
    <row r="107" spans="1:4" ht="12" customHeight="1" thickBot="1" x14ac:dyDescent="0.3">
      <c r="A107" s="1166" t="s">
        <v>878</v>
      </c>
      <c r="B107" s="1205" t="s">
        <v>879</v>
      </c>
      <c r="C107" s="1308">
        <f>'7.1 Önkormányzat'!C107</f>
        <v>14240000</v>
      </c>
      <c r="D107" s="1206">
        <f>'7.1 Önkormányzat'!D107</f>
        <v>10497500</v>
      </c>
    </row>
    <row r="108" spans="1:4" ht="12" customHeight="1" thickBot="1" x14ac:dyDescent="0.3">
      <c r="A108" s="1128" t="s">
        <v>710</v>
      </c>
      <c r="B108" s="1207" t="s">
        <v>880</v>
      </c>
      <c r="C108" s="1130">
        <f>+C109+C111+C113</f>
        <v>58513648</v>
      </c>
      <c r="D108" s="1131">
        <f>+D109+D111+D113</f>
        <v>64326036</v>
      </c>
    </row>
    <row r="109" spans="1:4" ht="12" customHeight="1" x14ac:dyDescent="0.25">
      <c r="A109" s="1133" t="s">
        <v>712</v>
      </c>
      <c r="B109" s="1194" t="s">
        <v>63</v>
      </c>
      <c r="C109" s="1192">
        <f>'7.1 Önkormányzat'!C109+'7.2 Hivatal'!C51+'7.3 Óvoda'!C51</f>
        <v>5308292</v>
      </c>
      <c r="D109" s="1193">
        <f>'7.1 Önkormányzat'!D109+'7.2 Hivatal'!D51+'7.3 Óvoda'!D51</f>
        <v>8191680</v>
      </c>
    </row>
    <row r="110" spans="1:4" ht="12" customHeight="1" x14ac:dyDescent="0.25">
      <c r="A110" s="1133" t="s">
        <v>714</v>
      </c>
      <c r="B110" s="1208" t="s">
        <v>881</v>
      </c>
      <c r="C110" s="1196">
        <f>'7.1 Önkormányzat'!C110</f>
        <v>0</v>
      </c>
      <c r="D110" s="1148">
        <f>'7.1 Önkormányzat'!D110</f>
        <v>0</v>
      </c>
    </row>
    <row r="111" spans="1:4" ht="12" customHeight="1" x14ac:dyDescent="0.25">
      <c r="A111" s="1133" t="s">
        <v>716</v>
      </c>
      <c r="B111" s="1208" t="s">
        <v>153</v>
      </c>
      <c r="C111" s="1196">
        <f>'7.1 Önkormányzat'!C111+'7.2 Hivatal'!C52+'7.3 Óvoda'!C52</f>
        <v>53205356</v>
      </c>
      <c r="D111" s="1148">
        <f>'7.1 Önkormányzat'!D111+'7.2 Hivatal'!D52+'7.3 Óvoda'!D52</f>
        <v>53459356</v>
      </c>
    </row>
    <row r="112" spans="1:4" ht="12" customHeight="1" x14ac:dyDescent="0.25">
      <c r="A112" s="1133" t="s">
        <v>718</v>
      </c>
      <c r="B112" s="1208" t="s">
        <v>882</v>
      </c>
      <c r="C112" s="1196">
        <f>'7.1 Önkormányzat'!C112</f>
        <v>0</v>
      </c>
      <c r="D112" s="1148">
        <f>'7.1 Önkormányzat'!D112</f>
        <v>0</v>
      </c>
    </row>
    <row r="113" spans="1:4" ht="12" customHeight="1" x14ac:dyDescent="0.25">
      <c r="A113" s="1133" t="s">
        <v>720</v>
      </c>
      <c r="B113" s="1209" t="s">
        <v>883</v>
      </c>
      <c r="C113" s="1196">
        <f>'7.1 Önkormányzat'!C113</f>
        <v>0</v>
      </c>
      <c r="D113" s="1148">
        <f>'7.1 Önkormányzat'!D113</f>
        <v>2675000</v>
      </c>
    </row>
    <row r="114" spans="1:4" ht="12" customHeight="1" x14ac:dyDescent="0.25">
      <c r="A114" s="1133" t="s">
        <v>722</v>
      </c>
      <c r="B114" s="1211" t="s">
        <v>884</v>
      </c>
      <c r="C114" s="1196">
        <f>'7.1 Önkormányzat'!C114</f>
        <v>0</v>
      </c>
      <c r="D114" s="1148">
        <f>'7.1 Önkormányzat'!D114</f>
        <v>0</v>
      </c>
    </row>
    <row r="115" spans="1:4" ht="12" customHeight="1" x14ac:dyDescent="0.25">
      <c r="A115" s="1133" t="s">
        <v>885</v>
      </c>
      <c r="B115" s="1212" t="s">
        <v>886</v>
      </c>
      <c r="C115" s="1196">
        <f>'7.1 Önkormányzat'!C115</f>
        <v>0</v>
      </c>
      <c r="D115" s="1148">
        <f>'7.1 Önkormányzat'!D115</f>
        <v>0</v>
      </c>
    </row>
    <row r="116" spans="1:4" ht="12" customHeight="1" x14ac:dyDescent="0.25">
      <c r="A116" s="1133" t="s">
        <v>887</v>
      </c>
      <c r="B116" s="1202" t="s">
        <v>867</v>
      </c>
      <c r="C116" s="1196">
        <f>'7.1 Önkormányzat'!C116</f>
        <v>0</v>
      </c>
      <c r="D116" s="1148">
        <f>'7.1 Önkormányzat'!D116</f>
        <v>0</v>
      </c>
    </row>
    <row r="117" spans="1:4" ht="12" customHeight="1" x14ac:dyDescent="0.25">
      <c r="A117" s="1133" t="s">
        <v>888</v>
      </c>
      <c r="B117" s="1202" t="s">
        <v>889</v>
      </c>
      <c r="C117" s="1196">
        <f>'7.1 Önkormányzat'!C117</f>
        <v>0</v>
      </c>
      <c r="D117" s="1148">
        <f>'7.1 Önkormányzat'!D117</f>
        <v>575000</v>
      </c>
    </row>
    <row r="118" spans="1:4" ht="12" customHeight="1" x14ac:dyDescent="0.25">
      <c r="A118" s="1133" t="s">
        <v>890</v>
      </c>
      <c r="B118" s="1202" t="s">
        <v>891</v>
      </c>
      <c r="C118" s="1196">
        <f>'7.1 Önkormányzat'!C118</f>
        <v>0</v>
      </c>
      <c r="D118" s="1148">
        <f>'7.1 Önkormányzat'!D118</f>
        <v>0</v>
      </c>
    </row>
    <row r="119" spans="1:4" ht="12" customHeight="1" x14ac:dyDescent="0.25">
      <c r="A119" s="1133" t="s">
        <v>892</v>
      </c>
      <c r="B119" s="1202" t="s">
        <v>873</v>
      </c>
      <c r="C119" s="1196">
        <f>'7.1 Önkormányzat'!C119</f>
        <v>0</v>
      </c>
      <c r="D119" s="1148">
        <f>'7.1 Önkormányzat'!D119</f>
        <v>0</v>
      </c>
    </row>
    <row r="120" spans="1:4" ht="12" customHeight="1" x14ac:dyDescent="0.25">
      <c r="A120" s="1133" t="s">
        <v>893</v>
      </c>
      <c r="B120" s="1202" t="s">
        <v>894</v>
      </c>
      <c r="C120" s="1196">
        <f>'7.1 Önkormányzat'!C120</f>
        <v>0</v>
      </c>
      <c r="D120" s="1148">
        <f>'7.1 Önkormányzat'!D120</f>
        <v>0</v>
      </c>
    </row>
    <row r="121" spans="1:4" ht="12" customHeight="1" thickBot="1" x14ac:dyDescent="0.3">
      <c r="A121" s="1203" t="s">
        <v>895</v>
      </c>
      <c r="B121" s="1202" t="s">
        <v>896</v>
      </c>
      <c r="C121" s="1308">
        <f>'7.1 Önkormányzat'!C121</f>
        <v>0</v>
      </c>
      <c r="D121" s="1206">
        <f>'7.1 Önkormányzat'!D121</f>
        <v>2100000</v>
      </c>
    </row>
    <row r="122" spans="1:4" ht="12" customHeight="1" thickBot="1" x14ac:dyDescent="0.3">
      <c r="A122" s="1128" t="s">
        <v>724</v>
      </c>
      <c r="B122" s="1213" t="s">
        <v>897</v>
      </c>
      <c r="C122" s="1130">
        <f>+C123+C124</f>
        <v>47810980</v>
      </c>
      <c r="D122" s="1131">
        <f>+D123+D124</f>
        <v>48278516</v>
      </c>
    </row>
    <row r="123" spans="1:4" ht="12" customHeight="1" x14ac:dyDescent="0.25">
      <c r="A123" s="1133" t="s">
        <v>726</v>
      </c>
      <c r="B123" s="1214" t="s">
        <v>898</v>
      </c>
      <c r="C123" s="1192">
        <f>'7.1 Önkormányzat'!C123</f>
        <v>5661481</v>
      </c>
      <c r="D123" s="1193">
        <f>'7.1 Önkormányzat'!D123</f>
        <v>144507</v>
      </c>
    </row>
    <row r="124" spans="1:4" ht="12" customHeight="1" thickBot="1" x14ac:dyDescent="0.3">
      <c r="A124" s="1143" t="s">
        <v>728</v>
      </c>
      <c r="B124" s="1208" t="s">
        <v>899</v>
      </c>
      <c r="C124" s="1308">
        <f>'7.1 Önkormányzat'!C124</f>
        <v>42149499</v>
      </c>
      <c r="D124" s="1206">
        <f>'7.1 Önkormányzat'!D124</f>
        <v>48134009</v>
      </c>
    </row>
    <row r="125" spans="1:4" ht="12" customHeight="1" thickBot="1" x14ac:dyDescent="0.3">
      <c r="A125" s="1128" t="s">
        <v>900</v>
      </c>
      <c r="B125" s="1213" t="s">
        <v>901</v>
      </c>
      <c r="C125" s="1130">
        <f>+C92+C108+C122</f>
        <v>405927504</v>
      </c>
      <c r="D125" s="1131">
        <f>+D92+D108+D122</f>
        <v>415831767</v>
      </c>
    </row>
    <row r="126" spans="1:4" ht="12" customHeight="1" thickBot="1" x14ac:dyDescent="0.3">
      <c r="A126" s="1128" t="s">
        <v>753</v>
      </c>
      <c r="B126" s="1213" t="s">
        <v>902</v>
      </c>
      <c r="C126" s="1130">
        <f>+C127+C128+C129</f>
        <v>0</v>
      </c>
      <c r="D126" s="1131">
        <f>+D127+D128+D129</f>
        <v>0</v>
      </c>
    </row>
    <row r="127" spans="1:4" s="1189" customFormat="1" ht="12" customHeight="1" x14ac:dyDescent="0.25">
      <c r="A127" s="1133" t="s">
        <v>755</v>
      </c>
      <c r="B127" s="1214" t="s">
        <v>903</v>
      </c>
      <c r="C127" s="1192">
        <f>'7.1 Önkormányzat'!C127</f>
        <v>0</v>
      </c>
      <c r="D127" s="1193">
        <f>'7.1 Önkormányzat'!D127</f>
        <v>0</v>
      </c>
    </row>
    <row r="128" spans="1:4" ht="12" customHeight="1" x14ac:dyDescent="0.25">
      <c r="A128" s="1133" t="s">
        <v>757</v>
      </c>
      <c r="B128" s="1214" t="s">
        <v>904</v>
      </c>
      <c r="C128" s="1196">
        <f>'7.1 Önkormányzat'!C128</f>
        <v>0</v>
      </c>
      <c r="D128" s="1148">
        <f>'7.1 Önkormányzat'!D128</f>
        <v>0</v>
      </c>
    </row>
    <row r="129" spans="1:11" ht="12" customHeight="1" thickBot="1" x14ac:dyDescent="0.3">
      <c r="A129" s="1203" t="s">
        <v>759</v>
      </c>
      <c r="B129" s="1215" t="s">
        <v>905</v>
      </c>
      <c r="C129" s="1308">
        <f>'7.1 Önkormányzat'!C129</f>
        <v>0</v>
      </c>
      <c r="D129" s="1206">
        <f>'7.1 Önkormányzat'!D129</f>
        <v>0</v>
      </c>
    </row>
    <row r="130" spans="1:11" ht="12" customHeight="1" thickBot="1" x14ac:dyDescent="0.3">
      <c r="A130" s="1128" t="s">
        <v>775</v>
      </c>
      <c r="B130" s="1213" t="s">
        <v>906</v>
      </c>
      <c r="C130" s="1130">
        <f>+C131+C132+C133+C134</f>
        <v>0</v>
      </c>
      <c r="D130" s="1131">
        <f>+D131+D132+D133+D134</f>
        <v>0</v>
      </c>
    </row>
    <row r="131" spans="1:11" ht="12" customHeight="1" x14ac:dyDescent="0.25">
      <c r="A131" s="1133" t="s">
        <v>777</v>
      </c>
      <c r="B131" s="1214" t="s">
        <v>907</v>
      </c>
      <c r="C131" s="1192">
        <f>'7.1 Önkormányzat'!C131</f>
        <v>0</v>
      </c>
      <c r="D131" s="1193">
        <f>'7.1 Önkormányzat'!D131</f>
        <v>0</v>
      </c>
    </row>
    <row r="132" spans="1:11" ht="12" customHeight="1" x14ac:dyDescent="0.25">
      <c r="A132" s="1133" t="s">
        <v>779</v>
      </c>
      <c r="B132" s="1214" t="s">
        <v>908</v>
      </c>
      <c r="C132" s="1196">
        <f>'7.1 Önkormányzat'!C132</f>
        <v>0</v>
      </c>
      <c r="D132" s="1148">
        <f>'7.1 Önkormányzat'!D132</f>
        <v>0</v>
      </c>
    </row>
    <row r="133" spans="1:11" ht="12" customHeight="1" x14ac:dyDescent="0.25">
      <c r="A133" s="1133" t="s">
        <v>780</v>
      </c>
      <c r="B133" s="1214" t="s">
        <v>909</v>
      </c>
      <c r="C133" s="1196">
        <f>'7.1 Önkormányzat'!C133</f>
        <v>0</v>
      </c>
      <c r="D133" s="1148">
        <f>'7.1 Önkormányzat'!D133</f>
        <v>0</v>
      </c>
    </row>
    <row r="134" spans="1:11" s="1189" customFormat="1" ht="12" customHeight="1" thickBot="1" x14ac:dyDescent="0.3">
      <c r="A134" s="1203" t="s">
        <v>782</v>
      </c>
      <c r="B134" s="1215" t="s">
        <v>910</v>
      </c>
      <c r="C134" s="1308">
        <f>'7.1 Önkormányzat'!C134</f>
        <v>0</v>
      </c>
      <c r="D134" s="1206">
        <f>'7.1 Önkormányzat'!D134</f>
        <v>0</v>
      </c>
    </row>
    <row r="135" spans="1:11" ht="12" customHeight="1" thickBot="1" x14ac:dyDescent="0.3">
      <c r="A135" s="1128" t="s">
        <v>911</v>
      </c>
      <c r="B135" s="1213" t="s">
        <v>912</v>
      </c>
      <c r="C135" s="1150">
        <f>+C136+C137+C138+C139</f>
        <v>6713595</v>
      </c>
      <c r="D135" s="1151">
        <f>+D136+D137+D138+D139</f>
        <v>6713595</v>
      </c>
      <c r="K135" s="1309"/>
    </row>
    <row r="136" spans="1:11" x14ac:dyDescent="0.25">
      <c r="A136" s="1133" t="s">
        <v>788</v>
      </c>
      <c r="B136" s="1214" t="s">
        <v>913</v>
      </c>
      <c r="C136" s="1316"/>
      <c r="D136" s="1735"/>
    </row>
    <row r="137" spans="1:11" ht="12" customHeight="1" x14ac:dyDescent="0.25">
      <c r="A137" s="1133" t="s">
        <v>790</v>
      </c>
      <c r="B137" s="1214" t="s">
        <v>914</v>
      </c>
      <c r="C137" s="1196">
        <f>'7.1 Önkormányzat'!C137</f>
        <v>6713595</v>
      </c>
      <c r="D137" s="1148">
        <f>'7.1 Önkormányzat'!D137</f>
        <v>6713595</v>
      </c>
    </row>
    <row r="138" spans="1:11" s="1189" customFormat="1" ht="12" customHeight="1" x14ac:dyDescent="0.25">
      <c r="A138" s="1133" t="s">
        <v>792</v>
      </c>
      <c r="B138" s="1214" t="s">
        <v>915</v>
      </c>
      <c r="C138" s="1196">
        <f>'7.1 Önkormányzat'!C138</f>
        <v>0</v>
      </c>
      <c r="D138" s="1148">
        <f>'7.1 Önkormányzat'!D138</f>
        <v>0</v>
      </c>
    </row>
    <row r="139" spans="1:11" s="1189" customFormat="1" ht="12" customHeight="1" thickBot="1" x14ac:dyDescent="0.3">
      <c r="A139" s="1203" t="s">
        <v>794</v>
      </c>
      <c r="B139" s="1215" t="s">
        <v>916</v>
      </c>
      <c r="C139" s="1308">
        <f>'7.1 Önkormányzat'!C139</f>
        <v>0</v>
      </c>
      <c r="D139" s="1206">
        <f>'7.1 Önkormányzat'!D139</f>
        <v>0</v>
      </c>
    </row>
    <row r="140" spans="1:11" s="1189" customFormat="1" ht="12" customHeight="1" thickBot="1" x14ac:dyDescent="0.3">
      <c r="A140" s="1128" t="s">
        <v>796</v>
      </c>
      <c r="B140" s="1213" t="s">
        <v>917</v>
      </c>
      <c r="C140" s="1216">
        <f>+C141+C142+C143+C144</f>
        <v>0</v>
      </c>
      <c r="D140" s="1217">
        <f>+D141+D142+D143+D144</f>
        <v>0</v>
      </c>
    </row>
    <row r="141" spans="1:11" s="1189" customFormat="1" ht="12" customHeight="1" x14ac:dyDescent="0.25">
      <c r="A141" s="1133" t="s">
        <v>798</v>
      </c>
      <c r="B141" s="1214" t="s">
        <v>918</v>
      </c>
      <c r="C141" s="1192">
        <f>'7.1 Önkormányzat'!C141</f>
        <v>0</v>
      </c>
      <c r="D141" s="1193">
        <f>'7.1 Önkormányzat'!D141</f>
        <v>0</v>
      </c>
    </row>
    <row r="142" spans="1:11" s="1189" customFormat="1" ht="12" customHeight="1" x14ac:dyDescent="0.25">
      <c r="A142" s="1133" t="s">
        <v>800</v>
      </c>
      <c r="B142" s="1214" t="s">
        <v>919</v>
      </c>
      <c r="C142" s="1196">
        <f>'7.1 Önkormányzat'!C142</f>
        <v>0</v>
      </c>
      <c r="D142" s="1148">
        <f>'7.1 Önkormányzat'!D142</f>
        <v>0</v>
      </c>
    </row>
    <row r="143" spans="1:11" s="1189" customFormat="1" ht="12" customHeight="1" x14ac:dyDescent="0.25">
      <c r="A143" s="1133" t="s">
        <v>802</v>
      </c>
      <c r="B143" s="1214" t="s">
        <v>920</v>
      </c>
      <c r="C143" s="1196">
        <f>'7.1 Önkormányzat'!C143</f>
        <v>0</v>
      </c>
      <c r="D143" s="1148">
        <f>'7.1 Önkormányzat'!D143</f>
        <v>0</v>
      </c>
    </row>
    <row r="144" spans="1:11" ht="12.75" customHeight="1" thickBot="1" x14ac:dyDescent="0.3">
      <c r="A144" s="1133" t="s">
        <v>804</v>
      </c>
      <c r="B144" s="1214" t="s">
        <v>921</v>
      </c>
      <c r="C144" s="1308">
        <f>'7.1 Önkormányzat'!C144</f>
        <v>0</v>
      </c>
      <c r="D144" s="1206">
        <f>'7.1 Önkormányzat'!D144</f>
        <v>0</v>
      </c>
    </row>
    <row r="145" spans="1:5" ht="12" customHeight="1" thickBot="1" x14ac:dyDescent="0.3">
      <c r="A145" s="1128" t="s">
        <v>806</v>
      </c>
      <c r="B145" s="1213" t="s">
        <v>922</v>
      </c>
      <c r="C145" s="1218">
        <f>+C126+C130+C135+C140</f>
        <v>6713595</v>
      </c>
      <c r="D145" s="1219">
        <f>+D126+D130+D135+D140</f>
        <v>6713595</v>
      </c>
    </row>
    <row r="146" spans="1:5" ht="15" customHeight="1" thickBot="1" x14ac:dyDescent="0.3">
      <c r="A146" s="1220" t="s">
        <v>923</v>
      </c>
      <c r="B146" s="1221" t="s">
        <v>924</v>
      </c>
      <c r="C146" s="1218">
        <f>+C125+C145</f>
        <v>412641099</v>
      </c>
      <c r="D146" s="1219">
        <f>+D125+D145</f>
        <v>422545362</v>
      </c>
    </row>
    <row r="148" spans="1:5" s="1311" customFormat="1" ht="15.75" x14ac:dyDescent="0.25">
      <c r="A148" s="1804" t="s">
        <v>983</v>
      </c>
      <c r="B148" s="1804"/>
      <c r="C148" s="1804"/>
      <c r="D148" s="1310"/>
      <c r="E148" s="1310"/>
    </row>
    <row r="149" spans="1:5" s="1311" customFormat="1" ht="15" customHeight="1" thickBot="1" x14ac:dyDescent="0.3">
      <c r="A149" s="1805"/>
      <c r="B149" s="1805"/>
      <c r="C149" s="1806" t="s">
        <v>984</v>
      </c>
      <c r="D149" s="1806"/>
      <c r="E149" s="1310"/>
    </row>
    <row r="150" spans="1:5" s="1311" customFormat="1" ht="24.95" customHeight="1" thickBot="1" x14ac:dyDescent="0.3">
      <c r="A150" s="1312">
        <v>1</v>
      </c>
      <c r="B150" s="1313" t="s">
        <v>985</v>
      </c>
      <c r="C150" s="1314">
        <f>C64-C125</f>
        <v>-90640918</v>
      </c>
      <c r="D150" s="1162">
        <f>D64-D125</f>
        <v>-103249578</v>
      </c>
      <c r="E150" s="1315">
        <f>+E63-E125</f>
        <v>0</v>
      </c>
    </row>
    <row r="151" spans="1:5" s="1311" customFormat="1" ht="27.75" customHeight="1" thickBot="1" x14ac:dyDescent="0.3">
      <c r="A151" s="1312" t="s">
        <v>710</v>
      </c>
      <c r="B151" s="1313" t="s">
        <v>986</v>
      </c>
      <c r="C151" s="1314">
        <f>C87-C145</f>
        <v>90640918</v>
      </c>
      <c r="D151" s="1162">
        <f>D87-D145</f>
        <v>103249578</v>
      </c>
      <c r="E151" s="1315">
        <f>+E86-E145</f>
        <v>0</v>
      </c>
    </row>
  </sheetData>
  <sheetProtection selectLockedCells="1" selectUnlockedCells="1"/>
  <mergeCells count="9">
    <mergeCell ref="A148:C148"/>
    <mergeCell ref="A149:B149"/>
    <mergeCell ref="C149:D149"/>
    <mergeCell ref="A1:D1"/>
    <mergeCell ref="C2:D2"/>
    <mergeCell ref="C3:D3"/>
    <mergeCell ref="C4:D4"/>
    <mergeCell ref="A7:D7"/>
    <mergeCell ref="A91:D9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horizontalDpi="4294967295" r:id="rId1"/>
  <headerFooter alignWithMargins="0"/>
  <rowBreaks count="2" manualBreakCount="2">
    <brk id="69" max="3" man="1"/>
    <brk id="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499984740745262"/>
  </sheetPr>
  <dimension ref="A1:G31"/>
  <sheetViews>
    <sheetView view="pageBreakPreview" zoomScaleNormal="100" zoomScaleSheetLayoutView="100" workbookViewId="0">
      <selection activeCell="G33" sqref="G33"/>
    </sheetView>
  </sheetViews>
  <sheetFormatPr defaultRowHeight="12.75" x14ac:dyDescent="0.25"/>
  <cols>
    <col min="1" max="1" width="5.85546875" style="1317" customWidth="1"/>
    <col min="2" max="2" width="45.28515625" style="1320" customWidth="1"/>
    <col min="3" max="3" width="12.7109375" style="1317" customWidth="1"/>
    <col min="4" max="4" width="12.28515625" style="1317" customWidth="1"/>
    <col min="5" max="5" width="46.7109375" style="1317" customWidth="1"/>
    <col min="6" max="7" width="11.85546875" style="1317" customWidth="1"/>
    <col min="8" max="256" width="9.140625" style="1245"/>
    <col min="257" max="257" width="5.85546875" style="1245" customWidth="1"/>
    <col min="258" max="258" width="45.28515625" style="1245" customWidth="1"/>
    <col min="259" max="259" width="12.7109375" style="1245" customWidth="1"/>
    <col min="260" max="260" width="12.28515625" style="1245" customWidth="1"/>
    <col min="261" max="261" width="46.7109375" style="1245" customWidth="1"/>
    <col min="262" max="263" width="11.85546875" style="1245" customWidth="1"/>
    <col min="264" max="512" width="9.140625" style="1245"/>
    <col min="513" max="513" width="5.85546875" style="1245" customWidth="1"/>
    <col min="514" max="514" width="45.28515625" style="1245" customWidth="1"/>
    <col min="515" max="515" width="12.7109375" style="1245" customWidth="1"/>
    <col min="516" max="516" width="12.28515625" style="1245" customWidth="1"/>
    <col min="517" max="517" width="46.7109375" style="1245" customWidth="1"/>
    <col min="518" max="519" width="11.85546875" style="1245" customWidth="1"/>
    <col min="520" max="768" width="9.140625" style="1245"/>
    <col min="769" max="769" width="5.85546875" style="1245" customWidth="1"/>
    <col min="770" max="770" width="45.28515625" style="1245" customWidth="1"/>
    <col min="771" max="771" width="12.7109375" style="1245" customWidth="1"/>
    <col min="772" max="772" width="12.28515625" style="1245" customWidth="1"/>
    <col min="773" max="773" width="46.7109375" style="1245" customWidth="1"/>
    <col min="774" max="775" width="11.85546875" style="1245" customWidth="1"/>
    <col min="776" max="1024" width="9.140625" style="1245"/>
    <col min="1025" max="1025" width="5.85546875" style="1245" customWidth="1"/>
    <col min="1026" max="1026" width="45.28515625" style="1245" customWidth="1"/>
    <col min="1027" max="1027" width="12.7109375" style="1245" customWidth="1"/>
    <col min="1028" max="1028" width="12.28515625" style="1245" customWidth="1"/>
    <col min="1029" max="1029" width="46.7109375" style="1245" customWidth="1"/>
    <col min="1030" max="1031" width="11.85546875" style="1245" customWidth="1"/>
    <col min="1032" max="1280" width="9.140625" style="1245"/>
    <col min="1281" max="1281" width="5.85546875" style="1245" customWidth="1"/>
    <col min="1282" max="1282" width="45.28515625" style="1245" customWidth="1"/>
    <col min="1283" max="1283" width="12.7109375" style="1245" customWidth="1"/>
    <col min="1284" max="1284" width="12.28515625" style="1245" customWidth="1"/>
    <col min="1285" max="1285" width="46.7109375" style="1245" customWidth="1"/>
    <col min="1286" max="1287" width="11.85546875" style="1245" customWidth="1"/>
    <col min="1288" max="1536" width="9.140625" style="1245"/>
    <col min="1537" max="1537" width="5.85546875" style="1245" customWidth="1"/>
    <col min="1538" max="1538" width="45.28515625" style="1245" customWidth="1"/>
    <col min="1539" max="1539" width="12.7109375" style="1245" customWidth="1"/>
    <col min="1540" max="1540" width="12.28515625" style="1245" customWidth="1"/>
    <col min="1541" max="1541" width="46.7109375" style="1245" customWidth="1"/>
    <col min="1542" max="1543" width="11.85546875" style="1245" customWidth="1"/>
    <col min="1544" max="1792" width="9.140625" style="1245"/>
    <col min="1793" max="1793" width="5.85546875" style="1245" customWidth="1"/>
    <col min="1794" max="1794" width="45.28515625" style="1245" customWidth="1"/>
    <col min="1795" max="1795" width="12.7109375" style="1245" customWidth="1"/>
    <col min="1796" max="1796" width="12.28515625" style="1245" customWidth="1"/>
    <col min="1797" max="1797" width="46.7109375" style="1245" customWidth="1"/>
    <col min="1798" max="1799" width="11.85546875" style="1245" customWidth="1"/>
    <col min="1800" max="2048" width="9.140625" style="1245"/>
    <col min="2049" max="2049" width="5.85546875" style="1245" customWidth="1"/>
    <col min="2050" max="2050" width="45.28515625" style="1245" customWidth="1"/>
    <col min="2051" max="2051" width="12.7109375" style="1245" customWidth="1"/>
    <col min="2052" max="2052" width="12.28515625" style="1245" customWidth="1"/>
    <col min="2053" max="2053" width="46.7109375" style="1245" customWidth="1"/>
    <col min="2054" max="2055" width="11.85546875" style="1245" customWidth="1"/>
    <col min="2056" max="2304" width="9.140625" style="1245"/>
    <col min="2305" max="2305" width="5.85546875" style="1245" customWidth="1"/>
    <col min="2306" max="2306" width="45.28515625" style="1245" customWidth="1"/>
    <col min="2307" max="2307" width="12.7109375" style="1245" customWidth="1"/>
    <col min="2308" max="2308" width="12.28515625" style="1245" customWidth="1"/>
    <col min="2309" max="2309" width="46.7109375" style="1245" customWidth="1"/>
    <col min="2310" max="2311" width="11.85546875" style="1245" customWidth="1"/>
    <col min="2312" max="2560" width="9.140625" style="1245"/>
    <col min="2561" max="2561" width="5.85546875" style="1245" customWidth="1"/>
    <col min="2562" max="2562" width="45.28515625" style="1245" customWidth="1"/>
    <col min="2563" max="2563" width="12.7109375" style="1245" customWidth="1"/>
    <col min="2564" max="2564" width="12.28515625" style="1245" customWidth="1"/>
    <col min="2565" max="2565" width="46.7109375" style="1245" customWidth="1"/>
    <col min="2566" max="2567" width="11.85546875" style="1245" customWidth="1"/>
    <col min="2568" max="2816" width="9.140625" style="1245"/>
    <col min="2817" max="2817" width="5.85546875" style="1245" customWidth="1"/>
    <col min="2818" max="2818" width="45.28515625" style="1245" customWidth="1"/>
    <col min="2819" max="2819" width="12.7109375" style="1245" customWidth="1"/>
    <col min="2820" max="2820" width="12.28515625" style="1245" customWidth="1"/>
    <col min="2821" max="2821" width="46.7109375" style="1245" customWidth="1"/>
    <col min="2822" max="2823" width="11.85546875" style="1245" customWidth="1"/>
    <col min="2824" max="3072" width="9.140625" style="1245"/>
    <col min="3073" max="3073" width="5.85546875" style="1245" customWidth="1"/>
    <col min="3074" max="3074" width="45.28515625" style="1245" customWidth="1"/>
    <col min="3075" max="3075" width="12.7109375" style="1245" customWidth="1"/>
    <col min="3076" max="3076" width="12.28515625" style="1245" customWidth="1"/>
    <col min="3077" max="3077" width="46.7109375" style="1245" customWidth="1"/>
    <col min="3078" max="3079" width="11.85546875" style="1245" customWidth="1"/>
    <col min="3080" max="3328" width="9.140625" style="1245"/>
    <col min="3329" max="3329" width="5.85546875" style="1245" customWidth="1"/>
    <col min="3330" max="3330" width="45.28515625" style="1245" customWidth="1"/>
    <col min="3331" max="3331" width="12.7109375" style="1245" customWidth="1"/>
    <col min="3332" max="3332" width="12.28515625" style="1245" customWidth="1"/>
    <col min="3333" max="3333" width="46.7109375" style="1245" customWidth="1"/>
    <col min="3334" max="3335" width="11.85546875" style="1245" customWidth="1"/>
    <col min="3336" max="3584" width="9.140625" style="1245"/>
    <col min="3585" max="3585" width="5.85546875" style="1245" customWidth="1"/>
    <col min="3586" max="3586" width="45.28515625" style="1245" customWidth="1"/>
    <col min="3587" max="3587" width="12.7109375" style="1245" customWidth="1"/>
    <col min="3588" max="3588" width="12.28515625" style="1245" customWidth="1"/>
    <col min="3589" max="3589" width="46.7109375" style="1245" customWidth="1"/>
    <col min="3590" max="3591" width="11.85546875" style="1245" customWidth="1"/>
    <col min="3592" max="3840" width="9.140625" style="1245"/>
    <col min="3841" max="3841" width="5.85546875" style="1245" customWidth="1"/>
    <col min="3842" max="3842" width="45.28515625" style="1245" customWidth="1"/>
    <col min="3843" max="3843" width="12.7109375" style="1245" customWidth="1"/>
    <col min="3844" max="3844" width="12.28515625" style="1245" customWidth="1"/>
    <col min="3845" max="3845" width="46.7109375" style="1245" customWidth="1"/>
    <col min="3846" max="3847" width="11.85546875" style="1245" customWidth="1"/>
    <col min="3848" max="4096" width="9.140625" style="1245"/>
    <col min="4097" max="4097" width="5.85546875" style="1245" customWidth="1"/>
    <col min="4098" max="4098" width="45.28515625" style="1245" customWidth="1"/>
    <col min="4099" max="4099" width="12.7109375" style="1245" customWidth="1"/>
    <col min="4100" max="4100" width="12.28515625" style="1245" customWidth="1"/>
    <col min="4101" max="4101" width="46.7109375" style="1245" customWidth="1"/>
    <col min="4102" max="4103" width="11.85546875" style="1245" customWidth="1"/>
    <col min="4104" max="4352" width="9.140625" style="1245"/>
    <col min="4353" max="4353" width="5.85546875" style="1245" customWidth="1"/>
    <col min="4354" max="4354" width="45.28515625" style="1245" customWidth="1"/>
    <col min="4355" max="4355" width="12.7109375" style="1245" customWidth="1"/>
    <col min="4356" max="4356" width="12.28515625" style="1245" customWidth="1"/>
    <col min="4357" max="4357" width="46.7109375" style="1245" customWidth="1"/>
    <col min="4358" max="4359" width="11.85546875" style="1245" customWidth="1"/>
    <col min="4360" max="4608" width="9.140625" style="1245"/>
    <col min="4609" max="4609" width="5.85546875" style="1245" customWidth="1"/>
    <col min="4610" max="4610" width="45.28515625" style="1245" customWidth="1"/>
    <col min="4611" max="4611" width="12.7109375" style="1245" customWidth="1"/>
    <col min="4612" max="4612" width="12.28515625" style="1245" customWidth="1"/>
    <col min="4613" max="4613" width="46.7109375" style="1245" customWidth="1"/>
    <col min="4614" max="4615" width="11.85546875" style="1245" customWidth="1"/>
    <col min="4616" max="4864" width="9.140625" style="1245"/>
    <col min="4865" max="4865" width="5.85546875" style="1245" customWidth="1"/>
    <col min="4866" max="4866" width="45.28515625" style="1245" customWidth="1"/>
    <col min="4867" max="4867" width="12.7109375" style="1245" customWidth="1"/>
    <col min="4868" max="4868" width="12.28515625" style="1245" customWidth="1"/>
    <col min="4869" max="4869" width="46.7109375" style="1245" customWidth="1"/>
    <col min="4870" max="4871" width="11.85546875" style="1245" customWidth="1"/>
    <col min="4872" max="5120" width="9.140625" style="1245"/>
    <col min="5121" max="5121" width="5.85546875" style="1245" customWidth="1"/>
    <col min="5122" max="5122" width="45.28515625" style="1245" customWidth="1"/>
    <col min="5123" max="5123" width="12.7109375" style="1245" customWidth="1"/>
    <col min="5124" max="5124" width="12.28515625" style="1245" customWidth="1"/>
    <col min="5125" max="5125" width="46.7109375" style="1245" customWidth="1"/>
    <col min="5126" max="5127" width="11.85546875" style="1245" customWidth="1"/>
    <col min="5128" max="5376" width="9.140625" style="1245"/>
    <col min="5377" max="5377" width="5.85546875" style="1245" customWidth="1"/>
    <col min="5378" max="5378" width="45.28515625" style="1245" customWidth="1"/>
    <col min="5379" max="5379" width="12.7109375" style="1245" customWidth="1"/>
    <col min="5380" max="5380" width="12.28515625" style="1245" customWidth="1"/>
    <col min="5381" max="5381" width="46.7109375" style="1245" customWidth="1"/>
    <col min="5382" max="5383" width="11.85546875" style="1245" customWidth="1"/>
    <col min="5384" max="5632" width="9.140625" style="1245"/>
    <col min="5633" max="5633" width="5.85546875" style="1245" customWidth="1"/>
    <col min="5634" max="5634" width="45.28515625" style="1245" customWidth="1"/>
    <col min="5635" max="5635" width="12.7109375" style="1245" customWidth="1"/>
    <col min="5636" max="5636" width="12.28515625" style="1245" customWidth="1"/>
    <col min="5637" max="5637" width="46.7109375" style="1245" customWidth="1"/>
    <col min="5638" max="5639" width="11.85546875" style="1245" customWidth="1"/>
    <col min="5640" max="5888" width="9.140625" style="1245"/>
    <col min="5889" max="5889" width="5.85546875" style="1245" customWidth="1"/>
    <col min="5890" max="5890" width="45.28515625" style="1245" customWidth="1"/>
    <col min="5891" max="5891" width="12.7109375" style="1245" customWidth="1"/>
    <col min="5892" max="5892" width="12.28515625" style="1245" customWidth="1"/>
    <col min="5893" max="5893" width="46.7109375" style="1245" customWidth="1"/>
    <col min="5894" max="5895" width="11.85546875" style="1245" customWidth="1"/>
    <col min="5896" max="6144" width="9.140625" style="1245"/>
    <col min="6145" max="6145" width="5.85546875" style="1245" customWidth="1"/>
    <col min="6146" max="6146" width="45.28515625" style="1245" customWidth="1"/>
    <col min="6147" max="6147" width="12.7109375" style="1245" customWidth="1"/>
    <col min="6148" max="6148" width="12.28515625" style="1245" customWidth="1"/>
    <col min="6149" max="6149" width="46.7109375" style="1245" customWidth="1"/>
    <col min="6150" max="6151" width="11.85546875" style="1245" customWidth="1"/>
    <col min="6152" max="6400" width="9.140625" style="1245"/>
    <col min="6401" max="6401" width="5.85546875" style="1245" customWidth="1"/>
    <col min="6402" max="6402" width="45.28515625" style="1245" customWidth="1"/>
    <col min="6403" max="6403" width="12.7109375" style="1245" customWidth="1"/>
    <col min="6404" max="6404" width="12.28515625" style="1245" customWidth="1"/>
    <col min="6405" max="6405" width="46.7109375" style="1245" customWidth="1"/>
    <col min="6406" max="6407" width="11.85546875" style="1245" customWidth="1"/>
    <col min="6408" max="6656" width="9.140625" style="1245"/>
    <col min="6657" max="6657" width="5.85546875" style="1245" customWidth="1"/>
    <col min="6658" max="6658" width="45.28515625" style="1245" customWidth="1"/>
    <col min="6659" max="6659" width="12.7109375" style="1245" customWidth="1"/>
    <col min="6660" max="6660" width="12.28515625" style="1245" customWidth="1"/>
    <col min="6661" max="6661" width="46.7109375" style="1245" customWidth="1"/>
    <col min="6662" max="6663" width="11.85546875" style="1245" customWidth="1"/>
    <col min="6664" max="6912" width="9.140625" style="1245"/>
    <col min="6913" max="6913" width="5.85546875" style="1245" customWidth="1"/>
    <col min="6914" max="6914" width="45.28515625" style="1245" customWidth="1"/>
    <col min="6915" max="6915" width="12.7109375" style="1245" customWidth="1"/>
    <col min="6916" max="6916" width="12.28515625" style="1245" customWidth="1"/>
    <col min="6917" max="6917" width="46.7109375" style="1245" customWidth="1"/>
    <col min="6918" max="6919" width="11.85546875" style="1245" customWidth="1"/>
    <col min="6920" max="7168" width="9.140625" style="1245"/>
    <col min="7169" max="7169" width="5.85546875" style="1245" customWidth="1"/>
    <col min="7170" max="7170" width="45.28515625" style="1245" customWidth="1"/>
    <col min="7171" max="7171" width="12.7109375" style="1245" customWidth="1"/>
    <col min="7172" max="7172" width="12.28515625" style="1245" customWidth="1"/>
    <col min="7173" max="7173" width="46.7109375" style="1245" customWidth="1"/>
    <col min="7174" max="7175" width="11.85546875" style="1245" customWidth="1"/>
    <col min="7176" max="7424" width="9.140625" style="1245"/>
    <col min="7425" max="7425" width="5.85546875" style="1245" customWidth="1"/>
    <col min="7426" max="7426" width="45.28515625" style="1245" customWidth="1"/>
    <col min="7427" max="7427" width="12.7109375" style="1245" customWidth="1"/>
    <col min="7428" max="7428" width="12.28515625" style="1245" customWidth="1"/>
    <col min="7429" max="7429" width="46.7109375" style="1245" customWidth="1"/>
    <col min="7430" max="7431" width="11.85546875" style="1245" customWidth="1"/>
    <col min="7432" max="7680" width="9.140625" style="1245"/>
    <col min="7681" max="7681" width="5.85546875" style="1245" customWidth="1"/>
    <col min="7682" max="7682" width="45.28515625" style="1245" customWidth="1"/>
    <col min="7683" max="7683" width="12.7109375" style="1245" customWidth="1"/>
    <col min="7684" max="7684" width="12.28515625" style="1245" customWidth="1"/>
    <col min="7685" max="7685" width="46.7109375" style="1245" customWidth="1"/>
    <col min="7686" max="7687" width="11.85546875" style="1245" customWidth="1"/>
    <col min="7688" max="7936" width="9.140625" style="1245"/>
    <col min="7937" max="7937" width="5.85546875" style="1245" customWidth="1"/>
    <col min="7938" max="7938" width="45.28515625" style="1245" customWidth="1"/>
    <col min="7939" max="7939" width="12.7109375" style="1245" customWidth="1"/>
    <col min="7940" max="7940" width="12.28515625" style="1245" customWidth="1"/>
    <col min="7941" max="7941" width="46.7109375" style="1245" customWidth="1"/>
    <col min="7942" max="7943" width="11.85546875" style="1245" customWidth="1"/>
    <col min="7944" max="8192" width="9.140625" style="1245"/>
    <col min="8193" max="8193" width="5.85546875" style="1245" customWidth="1"/>
    <col min="8194" max="8194" width="45.28515625" style="1245" customWidth="1"/>
    <col min="8195" max="8195" width="12.7109375" style="1245" customWidth="1"/>
    <col min="8196" max="8196" width="12.28515625" style="1245" customWidth="1"/>
    <col min="8197" max="8197" width="46.7109375" style="1245" customWidth="1"/>
    <col min="8198" max="8199" width="11.85546875" style="1245" customWidth="1"/>
    <col min="8200" max="8448" width="9.140625" style="1245"/>
    <col min="8449" max="8449" width="5.85546875" style="1245" customWidth="1"/>
    <col min="8450" max="8450" width="45.28515625" style="1245" customWidth="1"/>
    <col min="8451" max="8451" width="12.7109375" style="1245" customWidth="1"/>
    <col min="8452" max="8452" width="12.28515625" style="1245" customWidth="1"/>
    <col min="8453" max="8453" width="46.7109375" style="1245" customWidth="1"/>
    <col min="8454" max="8455" width="11.85546875" style="1245" customWidth="1"/>
    <col min="8456" max="8704" width="9.140625" style="1245"/>
    <col min="8705" max="8705" width="5.85546875" style="1245" customWidth="1"/>
    <col min="8706" max="8706" width="45.28515625" style="1245" customWidth="1"/>
    <col min="8707" max="8707" width="12.7109375" style="1245" customWidth="1"/>
    <col min="8708" max="8708" width="12.28515625" style="1245" customWidth="1"/>
    <col min="8709" max="8709" width="46.7109375" style="1245" customWidth="1"/>
    <col min="8710" max="8711" width="11.85546875" style="1245" customWidth="1"/>
    <col min="8712" max="8960" width="9.140625" style="1245"/>
    <col min="8961" max="8961" width="5.85546875" style="1245" customWidth="1"/>
    <col min="8962" max="8962" width="45.28515625" style="1245" customWidth="1"/>
    <col min="8963" max="8963" width="12.7109375" style="1245" customWidth="1"/>
    <col min="8964" max="8964" width="12.28515625" style="1245" customWidth="1"/>
    <col min="8965" max="8965" width="46.7109375" style="1245" customWidth="1"/>
    <col min="8966" max="8967" width="11.85546875" style="1245" customWidth="1"/>
    <col min="8968" max="9216" width="9.140625" style="1245"/>
    <col min="9217" max="9217" width="5.85546875" style="1245" customWidth="1"/>
    <col min="9218" max="9218" width="45.28515625" style="1245" customWidth="1"/>
    <col min="9219" max="9219" width="12.7109375" style="1245" customWidth="1"/>
    <col min="9220" max="9220" width="12.28515625" style="1245" customWidth="1"/>
    <col min="9221" max="9221" width="46.7109375" style="1245" customWidth="1"/>
    <col min="9222" max="9223" width="11.85546875" style="1245" customWidth="1"/>
    <col min="9224" max="9472" width="9.140625" style="1245"/>
    <col min="9473" max="9473" width="5.85546875" style="1245" customWidth="1"/>
    <col min="9474" max="9474" width="45.28515625" style="1245" customWidth="1"/>
    <col min="9475" max="9475" width="12.7109375" style="1245" customWidth="1"/>
    <col min="9476" max="9476" width="12.28515625" style="1245" customWidth="1"/>
    <col min="9477" max="9477" width="46.7109375" style="1245" customWidth="1"/>
    <col min="9478" max="9479" width="11.85546875" style="1245" customWidth="1"/>
    <col min="9480" max="9728" width="9.140625" style="1245"/>
    <col min="9729" max="9729" width="5.85546875" style="1245" customWidth="1"/>
    <col min="9730" max="9730" width="45.28515625" style="1245" customWidth="1"/>
    <col min="9731" max="9731" width="12.7109375" style="1245" customWidth="1"/>
    <col min="9732" max="9732" width="12.28515625" style="1245" customWidth="1"/>
    <col min="9733" max="9733" width="46.7109375" style="1245" customWidth="1"/>
    <col min="9734" max="9735" width="11.85546875" style="1245" customWidth="1"/>
    <col min="9736" max="9984" width="9.140625" style="1245"/>
    <col min="9985" max="9985" width="5.85546875" style="1245" customWidth="1"/>
    <col min="9986" max="9986" width="45.28515625" style="1245" customWidth="1"/>
    <col min="9987" max="9987" width="12.7109375" style="1245" customWidth="1"/>
    <col min="9988" max="9988" width="12.28515625" style="1245" customWidth="1"/>
    <col min="9989" max="9989" width="46.7109375" style="1245" customWidth="1"/>
    <col min="9990" max="9991" width="11.85546875" style="1245" customWidth="1"/>
    <col min="9992" max="10240" width="9.140625" style="1245"/>
    <col min="10241" max="10241" width="5.85546875" style="1245" customWidth="1"/>
    <col min="10242" max="10242" width="45.28515625" style="1245" customWidth="1"/>
    <col min="10243" max="10243" width="12.7109375" style="1245" customWidth="1"/>
    <col min="10244" max="10244" width="12.28515625" style="1245" customWidth="1"/>
    <col min="10245" max="10245" width="46.7109375" style="1245" customWidth="1"/>
    <col min="10246" max="10247" width="11.85546875" style="1245" customWidth="1"/>
    <col min="10248" max="10496" width="9.140625" style="1245"/>
    <col min="10497" max="10497" width="5.85546875" style="1245" customWidth="1"/>
    <col min="10498" max="10498" width="45.28515625" style="1245" customWidth="1"/>
    <col min="10499" max="10499" width="12.7109375" style="1245" customWidth="1"/>
    <col min="10500" max="10500" width="12.28515625" style="1245" customWidth="1"/>
    <col min="10501" max="10501" width="46.7109375" style="1245" customWidth="1"/>
    <col min="10502" max="10503" width="11.85546875" style="1245" customWidth="1"/>
    <col min="10504" max="10752" width="9.140625" style="1245"/>
    <col min="10753" max="10753" width="5.85546875" style="1245" customWidth="1"/>
    <col min="10754" max="10754" width="45.28515625" style="1245" customWidth="1"/>
    <col min="10755" max="10755" width="12.7109375" style="1245" customWidth="1"/>
    <col min="10756" max="10756" width="12.28515625" style="1245" customWidth="1"/>
    <col min="10757" max="10757" width="46.7109375" style="1245" customWidth="1"/>
    <col min="10758" max="10759" width="11.85546875" style="1245" customWidth="1"/>
    <col min="10760" max="11008" width="9.140625" style="1245"/>
    <col min="11009" max="11009" width="5.85546875" style="1245" customWidth="1"/>
    <col min="11010" max="11010" width="45.28515625" style="1245" customWidth="1"/>
    <col min="11011" max="11011" width="12.7109375" style="1245" customWidth="1"/>
    <col min="11012" max="11012" width="12.28515625" style="1245" customWidth="1"/>
    <col min="11013" max="11013" width="46.7109375" style="1245" customWidth="1"/>
    <col min="11014" max="11015" width="11.85546875" style="1245" customWidth="1"/>
    <col min="11016" max="11264" width="9.140625" style="1245"/>
    <col min="11265" max="11265" width="5.85546875" style="1245" customWidth="1"/>
    <col min="11266" max="11266" width="45.28515625" style="1245" customWidth="1"/>
    <col min="11267" max="11267" width="12.7109375" style="1245" customWidth="1"/>
    <col min="11268" max="11268" width="12.28515625" style="1245" customWidth="1"/>
    <col min="11269" max="11269" width="46.7109375" style="1245" customWidth="1"/>
    <col min="11270" max="11271" width="11.85546875" style="1245" customWidth="1"/>
    <col min="11272" max="11520" width="9.140625" style="1245"/>
    <col min="11521" max="11521" width="5.85546875" style="1245" customWidth="1"/>
    <col min="11522" max="11522" width="45.28515625" style="1245" customWidth="1"/>
    <col min="11523" max="11523" width="12.7109375" style="1245" customWidth="1"/>
    <col min="11524" max="11524" width="12.28515625" style="1245" customWidth="1"/>
    <col min="11525" max="11525" width="46.7109375" style="1245" customWidth="1"/>
    <col min="11526" max="11527" width="11.85546875" style="1245" customWidth="1"/>
    <col min="11528" max="11776" width="9.140625" style="1245"/>
    <col min="11777" max="11777" width="5.85546875" style="1245" customWidth="1"/>
    <col min="11778" max="11778" width="45.28515625" style="1245" customWidth="1"/>
    <col min="11779" max="11779" width="12.7109375" style="1245" customWidth="1"/>
    <col min="11780" max="11780" width="12.28515625" style="1245" customWidth="1"/>
    <col min="11781" max="11781" width="46.7109375" style="1245" customWidth="1"/>
    <col min="11782" max="11783" width="11.85546875" style="1245" customWidth="1"/>
    <col min="11784" max="12032" width="9.140625" style="1245"/>
    <col min="12033" max="12033" width="5.85546875" style="1245" customWidth="1"/>
    <col min="12034" max="12034" width="45.28515625" style="1245" customWidth="1"/>
    <col min="12035" max="12035" width="12.7109375" style="1245" customWidth="1"/>
    <col min="12036" max="12036" width="12.28515625" style="1245" customWidth="1"/>
    <col min="12037" max="12037" width="46.7109375" style="1245" customWidth="1"/>
    <col min="12038" max="12039" width="11.85546875" style="1245" customWidth="1"/>
    <col min="12040" max="12288" width="9.140625" style="1245"/>
    <col min="12289" max="12289" width="5.85546875" style="1245" customWidth="1"/>
    <col min="12290" max="12290" width="45.28515625" style="1245" customWidth="1"/>
    <col min="12291" max="12291" width="12.7109375" style="1245" customWidth="1"/>
    <col min="12292" max="12292" width="12.28515625" style="1245" customWidth="1"/>
    <col min="12293" max="12293" width="46.7109375" style="1245" customWidth="1"/>
    <col min="12294" max="12295" width="11.85546875" style="1245" customWidth="1"/>
    <col min="12296" max="12544" width="9.140625" style="1245"/>
    <col min="12545" max="12545" width="5.85546875" style="1245" customWidth="1"/>
    <col min="12546" max="12546" width="45.28515625" style="1245" customWidth="1"/>
    <col min="12547" max="12547" width="12.7109375" style="1245" customWidth="1"/>
    <col min="12548" max="12548" width="12.28515625" style="1245" customWidth="1"/>
    <col min="12549" max="12549" width="46.7109375" style="1245" customWidth="1"/>
    <col min="12550" max="12551" width="11.85546875" style="1245" customWidth="1"/>
    <col min="12552" max="12800" width="9.140625" style="1245"/>
    <col min="12801" max="12801" width="5.85546875" style="1245" customWidth="1"/>
    <col min="12802" max="12802" width="45.28515625" style="1245" customWidth="1"/>
    <col min="12803" max="12803" width="12.7109375" style="1245" customWidth="1"/>
    <col min="12804" max="12804" width="12.28515625" style="1245" customWidth="1"/>
    <col min="12805" max="12805" width="46.7109375" style="1245" customWidth="1"/>
    <col min="12806" max="12807" width="11.85546875" style="1245" customWidth="1"/>
    <col min="12808" max="13056" width="9.140625" style="1245"/>
    <col min="13057" max="13057" width="5.85546875" style="1245" customWidth="1"/>
    <col min="13058" max="13058" width="45.28515625" style="1245" customWidth="1"/>
    <col min="13059" max="13059" width="12.7109375" style="1245" customWidth="1"/>
    <col min="13060" max="13060" width="12.28515625" style="1245" customWidth="1"/>
    <col min="13061" max="13061" width="46.7109375" style="1245" customWidth="1"/>
    <col min="13062" max="13063" width="11.85546875" style="1245" customWidth="1"/>
    <col min="13064" max="13312" width="9.140625" style="1245"/>
    <col min="13313" max="13313" width="5.85546875" style="1245" customWidth="1"/>
    <col min="13314" max="13314" width="45.28515625" style="1245" customWidth="1"/>
    <col min="13315" max="13315" width="12.7109375" style="1245" customWidth="1"/>
    <col min="13316" max="13316" width="12.28515625" style="1245" customWidth="1"/>
    <col min="13317" max="13317" width="46.7109375" style="1245" customWidth="1"/>
    <col min="13318" max="13319" width="11.85546875" style="1245" customWidth="1"/>
    <col min="13320" max="13568" width="9.140625" style="1245"/>
    <col min="13569" max="13569" width="5.85546875" style="1245" customWidth="1"/>
    <col min="13570" max="13570" width="45.28515625" style="1245" customWidth="1"/>
    <col min="13571" max="13571" width="12.7109375" style="1245" customWidth="1"/>
    <col min="13572" max="13572" width="12.28515625" style="1245" customWidth="1"/>
    <col min="13573" max="13573" width="46.7109375" style="1245" customWidth="1"/>
    <col min="13574" max="13575" width="11.85546875" style="1245" customWidth="1"/>
    <col min="13576" max="13824" width="9.140625" style="1245"/>
    <col min="13825" max="13825" width="5.85546875" style="1245" customWidth="1"/>
    <col min="13826" max="13826" width="45.28515625" style="1245" customWidth="1"/>
    <col min="13827" max="13827" width="12.7109375" style="1245" customWidth="1"/>
    <col min="13828" max="13828" width="12.28515625" style="1245" customWidth="1"/>
    <col min="13829" max="13829" width="46.7109375" style="1245" customWidth="1"/>
    <col min="13830" max="13831" width="11.85546875" style="1245" customWidth="1"/>
    <col min="13832" max="14080" width="9.140625" style="1245"/>
    <col min="14081" max="14081" width="5.85546875" style="1245" customWidth="1"/>
    <col min="14082" max="14082" width="45.28515625" style="1245" customWidth="1"/>
    <col min="14083" max="14083" width="12.7109375" style="1245" customWidth="1"/>
    <col min="14084" max="14084" width="12.28515625" style="1245" customWidth="1"/>
    <col min="14085" max="14085" width="46.7109375" style="1245" customWidth="1"/>
    <col min="14086" max="14087" width="11.85546875" style="1245" customWidth="1"/>
    <col min="14088" max="14336" width="9.140625" style="1245"/>
    <col min="14337" max="14337" width="5.85546875" style="1245" customWidth="1"/>
    <col min="14338" max="14338" width="45.28515625" style="1245" customWidth="1"/>
    <col min="14339" max="14339" width="12.7109375" style="1245" customWidth="1"/>
    <col min="14340" max="14340" width="12.28515625" style="1245" customWidth="1"/>
    <col min="14341" max="14341" width="46.7109375" style="1245" customWidth="1"/>
    <col min="14342" max="14343" width="11.85546875" style="1245" customWidth="1"/>
    <col min="14344" max="14592" width="9.140625" style="1245"/>
    <col min="14593" max="14593" width="5.85546875" style="1245" customWidth="1"/>
    <col min="14594" max="14594" width="45.28515625" style="1245" customWidth="1"/>
    <col min="14595" max="14595" width="12.7109375" style="1245" customWidth="1"/>
    <col min="14596" max="14596" width="12.28515625" style="1245" customWidth="1"/>
    <col min="14597" max="14597" width="46.7109375" style="1245" customWidth="1"/>
    <col min="14598" max="14599" width="11.85546875" style="1245" customWidth="1"/>
    <col min="14600" max="14848" width="9.140625" style="1245"/>
    <col min="14849" max="14849" width="5.85546875" style="1245" customWidth="1"/>
    <col min="14850" max="14850" width="45.28515625" style="1245" customWidth="1"/>
    <col min="14851" max="14851" width="12.7109375" style="1245" customWidth="1"/>
    <col min="14852" max="14852" width="12.28515625" style="1245" customWidth="1"/>
    <col min="14853" max="14853" width="46.7109375" style="1245" customWidth="1"/>
    <col min="14854" max="14855" width="11.85546875" style="1245" customWidth="1"/>
    <col min="14856" max="15104" width="9.140625" style="1245"/>
    <col min="15105" max="15105" width="5.85546875" style="1245" customWidth="1"/>
    <col min="15106" max="15106" width="45.28515625" style="1245" customWidth="1"/>
    <col min="15107" max="15107" width="12.7109375" style="1245" customWidth="1"/>
    <col min="15108" max="15108" width="12.28515625" style="1245" customWidth="1"/>
    <col min="15109" max="15109" width="46.7109375" style="1245" customWidth="1"/>
    <col min="15110" max="15111" width="11.85546875" style="1245" customWidth="1"/>
    <col min="15112" max="15360" width="9.140625" style="1245"/>
    <col min="15361" max="15361" width="5.85546875" style="1245" customWidth="1"/>
    <col min="15362" max="15362" width="45.28515625" style="1245" customWidth="1"/>
    <col min="15363" max="15363" width="12.7109375" style="1245" customWidth="1"/>
    <col min="15364" max="15364" width="12.28515625" style="1245" customWidth="1"/>
    <col min="15365" max="15365" width="46.7109375" style="1245" customWidth="1"/>
    <col min="15366" max="15367" width="11.85546875" style="1245" customWidth="1"/>
    <col min="15368" max="15616" width="9.140625" style="1245"/>
    <col min="15617" max="15617" width="5.85546875" style="1245" customWidth="1"/>
    <col min="15618" max="15618" width="45.28515625" style="1245" customWidth="1"/>
    <col min="15619" max="15619" width="12.7109375" style="1245" customWidth="1"/>
    <col min="15620" max="15620" width="12.28515625" style="1245" customWidth="1"/>
    <col min="15621" max="15621" width="46.7109375" style="1245" customWidth="1"/>
    <col min="15622" max="15623" width="11.85546875" style="1245" customWidth="1"/>
    <col min="15624" max="15872" width="9.140625" style="1245"/>
    <col min="15873" max="15873" width="5.85546875" style="1245" customWidth="1"/>
    <col min="15874" max="15874" width="45.28515625" style="1245" customWidth="1"/>
    <col min="15875" max="15875" width="12.7109375" style="1245" customWidth="1"/>
    <col min="15876" max="15876" width="12.28515625" style="1245" customWidth="1"/>
    <col min="15877" max="15877" width="46.7109375" style="1245" customWidth="1"/>
    <col min="15878" max="15879" width="11.85546875" style="1245" customWidth="1"/>
    <col min="15880" max="16128" width="9.140625" style="1245"/>
    <col min="16129" max="16129" width="5.85546875" style="1245" customWidth="1"/>
    <col min="16130" max="16130" width="45.28515625" style="1245" customWidth="1"/>
    <col min="16131" max="16131" width="12.7109375" style="1245" customWidth="1"/>
    <col min="16132" max="16132" width="12.28515625" style="1245" customWidth="1"/>
    <col min="16133" max="16133" width="46.7109375" style="1245" customWidth="1"/>
    <col min="16134" max="16135" width="11.85546875" style="1245" customWidth="1"/>
    <col min="16136" max="16384" width="9.140625" style="1245"/>
  </cols>
  <sheetData>
    <row r="1" spans="1:7" ht="39.75" customHeight="1" x14ac:dyDescent="0.25">
      <c r="B1" s="1318" t="s">
        <v>987</v>
      </c>
      <c r="C1" s="1319"/>
      <c r="D1" s="1319"/>
      <c r="E1" s="1319"/>
      <c r="F1" s="1319"/>
      <c r="G1" s="1319"/>
    </row>
    <row r="2" spans="1:7" ht="14.25" thickBot="1" x14ac:dyDescent="0.3">
      <c r="F2" s="1817" t="s">
        <v>988</v>
      </c>
      <c r="G2" s="1817"/>
    </row>
    <row r="3" spans="1:7" ht="18" customHeight="1" thickBot="1" x14ac:dyDescent="0.3">
      <c r="A3" s="1818" t="s">
        <v>989</v>
      </c>
      <c r="B3" s="1321" t="s">
        <v>657</v>
      </c>
      <c r="C3" s="1322"/>
      <c r="D3" s="1323"/>
      <c r="E3" s="1321" t="s">
        <v>856</v>
      </c>
      <c r="F3" s="1324"/>
      <c r="G3" s="1324"/>
    </row>
    <row r="4" spans="1:7" s="1327" customFormat="1" ht="35.25" customHeight="1" thickBot="1" x14ac:dyDescent="0.3">
      <c r="A4" s="1819"/>
      <c r="B4" s="1325" t="s">
        <v>649</v>
      </c>
      <c r="C4" s="1326" t="s">
        <v>1068</v>
      </c>
      <c r="D4" s="1326" t="s">
        <v>928</v>
      </c>
      <c r="E4" s="1325" t="s">
        <v>649</v>
      </c>
      <c r="F4" s="1326" t="s">
        <v>1068</v>
      </c>
      <c r="G4" s="1326" t="s">
        <v>928</v>
      </c>
    </row>
    <row r="5" spans="1:7" s="1333" customFormat="1" ht="12" customHeight="1" thickBot="1" x14ac:dyDescent="0.3">
      <c r="A5" s="1328">
        <v>1</v>
      </c>
      <c r="B5" s="1329">
        <v>2</v>
      </c>
      <c r="C5" s="1330" t="s">
        <v>724</v>
      </c>
      <c r="D5" s="1330" t="s">
        <v>900</v>
      </c>
      <c r="E5" s="1329" t="s">
        <v>753</v>
      </c>
      <c r="F5" s="1331" t="s">
        <v>775</v>
      </c>
      <c r="G5" s="1332" t="s">
        <v>911</v>
      </c>
    </row>
    <row r="6" spans="1:7" ht="12.95" customHeight="1" x14ac:dyDescent="0.25">
      <c r="A6" s="1334" t="s">
        <v>696</v>
      </c>
      <c r="B6" s="1335" t="s">
        <v>990</v>
      </c>
      <c r="C6" s="1336">
        <f>'1.1 Összesítő'!C8</f>
        <v>175037086</v>
      </c>
      <c r="D6" s="1336">
        <f>'1.1 Összesítő'!D8</f>
        <v>178347415</v>
      </c>
      <c r="E6" s="1335" t="s">
        <v>20</v>
      </c>
      <c r="F6" s="1337">
        <f>'1.1 Összesítő'!C93</f>
        <v>155209101</v>
      </c>
      <c r="G6" s="1257">
        <f>'1.1 Összesítő'!D93</f>
        <v>161705721</v>
      </c>
    </row>
    <row r="7" spans="1:7" ht="12.95" customHeight="1" x14ac:dyDescent="0.25">
      <c r="A7" s="1338" t="s">
        <v>710</v>
      </c>
      <c r="B7" s="1339" t="s">
        <v>991</v>
      </c>
      <c r="C7" s="1340">
        <f>'1.1 Összesítő'!C15</f>
        <v>7657800</v>
      </c>
      <c r="D7" s="1340">
        <f>'1.1 Összesítő'!D15</f>
        <v>12643074</v>
      </c>
      <c r="E7" s="1339" t="s">
        <v>25</v>
      </c>
      <c r="F7" s="1340">
        <f>'1.1 Összesítő'!C94</f>
        <v>29398248</v>
      </c>
      <c r="G7" s="1260">
        <f>'1.1 Összesítő'!D94</f>
        <v>30258467</v>
      </c>
    </row>
    <row r="8" spans="1:7" ht="12.95" customHeight="1" x14ac:dyDescent="0.25">
      <c r="A8" s="1338" t="s">
        <v>724</v>
      </c>
      <c r="B8" s="1339" t="s">
        <v>992</v>
      </c>
      <c r="C8" s="1340"/>
      <c r="D8" s="1340"/>
      <c r="E8" s="1339" t="s">
        <v>993</v>
      </c>
      <c r="F8" s="1340">
        <f>'1.1 Összesítő'!C95</f>
        <v>93742527</v>
      </c>
      <c r="G8" s="1260">
        <f>'1.1 Összesítő'!D95</f>
        <v>93742527</v>
      </c>
    </row>
    <row r="9" spans="1:7" ht="12.95" customHeight="1" x14ac:dyDescent="0.25">
      <c r="A9" s="1338" t="s">
        <v>900</v>
      </c>
      <c r="B9" s="1339" t="s">
        <v>250</v>
      </c>
      <c r="C9" s="1340">
        <f>'1.1 Összesítő'!C29</f>
        <v>91440000</v>
      </c>
      <c r="D9" s="1340">
        <f>'1.1 Összesítő'!D29</f>
        <v>80440000</v>
      </c>
      <c r="E9" s="1339" t="s">
        <v>216</v>
      </c>
      <c r="F9" s="1340">
        <f>'1.1 Összesítő'!C96</f>
        <v>2758000</v>
      </c>
      <c r="G9" s="1260">
        <f>'1.1 Összesítő'!D96</f>
        <v>2758000</v>
      </c>
    </row>
    <row r="10" spans="1:7" ht="12.95" customHeight="1" x14ac:dyDescent="0.25">
      <c r="A10" s="1338" t="s">
        <v>753</v>
      </c>
      <c r="B10" s="1339" t="s">
        <v>79</v>
      </c>
      <c r="C10" s="1340">
        <f>'1.1 Összesítő'!C37</f>
        <v>40999338</v>
      </c>
      <c r="D10" s="1340">
        <f>'1.1 Összesítő'!D37</f>
        <v>40589338</v>
      </c>
      <c r="E10" s="1339" t="s">
        <v>55</v>
      </c>
      <c r="F10" s="1340">
        <f>'1.1 Összesítő'!C97</f>
        <v>18495000</v>
      </c>
      <c r="G10" s="1260">
        <f>'1.1 Összesítő'!D97</f>
        <v>14762500</v>
      </c>
    </row>
    <row r="11" spans="1:7" ht="12.95" customHeight="1" x14ac:dyDescent="0.25">
      <c r="A11" s="1338" t="s">
        <v>775</v>
      </c>
      <c r="B11" s="1341" t="s">
        <v>960</v>
      </c>
      <c r="C11" s="1342"/>
      <c r="D11" s="1342">
        <f>'1.1 Összesítő'!D54</f>
        <v>250000</v>
      </c>
      <c r="E11" s="1339" t="s">
        <v>994</v>
      </c>
      <c r="F11" s="1342">
        <f>'1.1 Összesítő'!C123</f>
        <v>5661481</v>
      </c>
      <c r="G11" s="1260">
        <f>'1.1 Összesítő'!D123</f>
        <v>144507</v>
      </c>
    </row>
    <row r="12" spans="1:7" ht="12.95" customHeight="1" x14ac:dyDescent="0.25">
      <c r="A12" s="1338" t="s">
        <v>911</v>
      </c>
      <c r="B12" s="1339" t="s">
        <v>995</v>
      </c>
      <c r="C12" s="1340"/>
      <c r="D12" s="1340"/>
      <c r="E12" s="1343"/>
      <c r="F12" s="1342"/>
      <c r="G12" s="1260"/>
    </row>
    <row r="13" spans="1:7" ht="12.95" customHeight="1" x14ac:dyDescent="0.25">
      <c r="A13" s="1338" t="s">
        <v>796</v>
      </c>
      <c r="B13" s="1339" t="s">
        <v>774</v>
      </c>
      <c r="C13" s="1340"/>
      <c r="D13" s="1340"/>
      <c r="E13" s="1343"/>
      <c r="F13" s="1342"/>
      <c r="G13" s="1260"/>
    </row>
    <row r="14" spans="1:7" ht="12.95" customHeight="1" x14ac:dyDescent="0.25">
      <c r="A14" s="1338" t="s">
        <v>806</v>
      </c>
      <c r="B14" s="1344"/>
      <c r="C14" s="1342"/>
      <c r="D14" s="1342"/>
      <c r="E14" s="1343"/>
      <c r="F14" s="1342"/>
      <c r="G14" s="1260"/>
    </row>
    <row r="15" spans="1:7" ht="12.95" customHeight="1" x14ac:dyDescent="0.25">
      <c r="A15" s="1338" t="s">
        <v>923</v>
      </c>
      <c r="B15" s="1343"/>
      <c r="C15" s="1340"/>
      <c r="D15" s="1340"/>
      <c r="E15" s="1343"/>
      <c r="F15" s="1342"/>
      <c r="G15" s="1260"/>
    </row>
    <row r="16" spans="1:7" ht="12.95" customHeight="1" x14ac:dyDescent="0.25">
      <c r="A16" s="1338" t="s">
        <v>996</v>
      </c>
      <c r="B16" s="1343"/>
      <c r="C16" s="1340"/>
      <c r="D16" s="1340"/>
      <c r="E16" s="1343"/>
      <c r="F16" s="1342"/>
      <c r="G16" s="1260"/>
    </row>
    <row r="17" spans="1:7" ht="12.95" customHeight="1" thickBot="1" x14ac:dyDescent="0.3">
      <c r="A17" s="1338" t="s">
        <v>997</v>
      </c>
      <c r="B17" s="1345"/>
      <c r="C17" s="1346"/>
      <c r="D17" s="1346"/>
      <c r="E17" s="1343"/>
      <c r="F17" s="1347"/>
      <c r="G17" s="1262"/>
    </row>
    <row r="18" spans="1:7" ht="15.95" customHeight="1" thickBot="1" x14ac:dyDescent="0.3">
      <c r="A18" s="1348" t="s">
        <v>998</v>
      </c>
      <c r="B18" s="1349" t="s">
        <v>999</v>
      </c>
      <c r="C18" s="1350">
        <f>+C6+C7+C9+C10+C12+C13+C14+C15+C16+C17</f>
        <v>315134224</v>
      </c>
      <c r="D18" s="1350">
        <f>+D6+D7+D9+D10+D12+D13+D14+D15+D16+D17+D11</f>
        <v>312269827</v>
      </c>
      <c r="E18" s="1349" t="s">
        <v>1000</v>
      </c>
      <c r="F18" s="1351">
        <f>SUM(F6:F17)</f>
        <v>305264357</v>
      </c>
      <c r="G18" s="1253">
        <f>SUM(G6:G17)</f>
        <v>303371722</v>
      </c>
    </row>
    <row r="19" spans="1:7" ht="12.95" customHeight="1" x14ac:dyDescent="0.25">
      <c r="A19" s="1352" t="s">
        <v>1001</v>
      </c>
      <c r="B19" s="1353" t="s">
        <v>1002</v>
      </c>
      <c r="C19" s="1354">
        <f>SUM(C20:C23)</f>
        <v>43275281</v>
      </c>
      <c r="D19" s="1354">
        <f>SUM(D20:D23)</f>
        <v>55883941</v>
      </c>
      <c r="E19" s="1355" t="s">
        <v>1003</v>
      </c>
      <c r="F19" s="1356"/>
      <c r="G19" s="1268"/>
    </row>
    <row r="20" spans="1:7" ht="12.95" customHeight="1" x14ac:dyDescent="0.25">
      <c r="A20" s="1338" t="s">
        <v>1004</v>
      </c>
      <c r="B20" s="1355" t="s">
        <v>1005</v>
      </c>
      <c r="C20" s="1357">
        <f>'1.1 Összesítő'!C75-'2.2 Felhalmozási mérleg'!C19</f>
        <v>43275281</v>
      </c>
      <c r="D20" s="1357">
        <f>'1.1 Összesítő'!D75-'2.2 Felhalmozási mérleg'!D19</f>
        <v>55883941</v>
      </c>
      <c r="E20" s="1355" t="s">
        <v>1006</v>
      </c>
      <c r="F20" s="1358"/>
      <c r="G20" s="1278"/>
    </row>
    <row r="21" spans="1:7" ht="12.95" customHeight="1" x14ac:dyDescent="0.25">
      <c r="A21" s="1338" t="s">
        <v>1007</v>
      </c>
      <c r="B21" s="1355" t="s">
        <v>1008</v>
      </c>
      <c r="C21" s="1357"/>
      <c r="D21" s="1357"/>
      <c r="E21" s="1355" t="s">
        <v>1009</v>
      </c>
      <c r="F21" s="1358"/>
      <c r="G21" s="1278"/>
    </row>
    <row r="22" spans="1:7" ht="12.95" customHeight="1" x14ac:dyDescent="0.25">
      <c r="A22" s="1338" t="s">
        <v>1010</v>
      </c>
      <c r="B22" s="1355" t="s">
        <v>1011</v>
      </c>
      <c r="C22" s="1357"/>
      <c r="D22" s="1357"/>
      <c r="E22" s="1355" t="s">
        <v>1012</v>
      </c>
      <c r="F22" s="1358"/>
      <c r="G22" s="1278"/>
    </row>
    <row r="23" spans="1:7" ht="12.95" customHeight="1" x14ac:dyDescent="0.25">
      <c r="A23" s="1338" t="s">
        <v>1013</v>
      </c>
      <c r="B23" s="1355" t="s">
        <v>1014</v>
      </c>
      <c r="C23" s="1357"/>
      <c r="D23" s="1357"/>
      <c r="E23" s="1353" t="s">
        <v>1015</v>
      </c>
      <c r="F23" s="1358"/>
      <c r="G23" s="1278"/>
    </row>
    <row r="24" spans="1:7" ht="12.95" customHeight="1" x14ac:dyDescent="0.25">
      <c r="A24" s="1338" t="s">
        <v>1016</v>
      </c>
      <c r="B24" s="1355" t="s">
        <v>1017</v>
      </c>
      <c r="C24" s="1359"/>
      <c r="D24" s="1359"/>
      <c r="E24" s="1355" t="s">
        <v>1018</v>
      </c>
      <c r="F24" s="1358"/>
      <c r="G24" s="1278"/>
    </row>
    <row r="25" spans="1:7" ht="12.95" customHeight="1" x14ac:dyDescent="0.25">
      <c r="A25" s="1352" t="s">
        <v>1019</v>
      </c>
      <c r="B25" s="1353" t="s">
        <v>1020</v>
      </c>
      <c r="C25" s="1360"/>
      <c r="D25" s="1360"/>
      <c r="E25" s="1335" t="s">
        <v>1021</v>
      </c>
      <c r="F25" s="1356"/>
      <c r="G25" s="1268"/>
    </row>
    <row r="26" spans="1:7" ht="12.95" customHeight="1" thickBot="1" x14ac:dyDescent="0.3">
      <c r="A26" s="1338" t="s">
        <v>1022</v>
      </c>
      <c r="B26" s="1355" t="s">
        <v>1023</v>
      </c>
      <c r="C26" s="1357"/>
      <c r="D26" s="1357"/>
      <c r="E26" s="1343" t="s">
        <v>1024</v>
      </c>
      <c r="F26" s="1358">
        <f>'1.1 Összesítő'!C137</f>
        <v>6713595</v>
      </c>
      <c r="G26" s="1278">
        <f>'1.1 Összesítő'!D137</f>
        <v>6713595</v>
      </c>
    </row>
    <row r="27" spans="1:7" ht="20.100000000000001" customHeight="1" thickBot="1" x14ac:dyDescent="0.3">
      <c r="A27" s="1348" t="s">
        <v>1025</v>
      </c>
      <c r="B27" s="1349" t="s">
        <v>1026</v>
      </c>
      <c r="C27" s="1350">
        <f>+C19+C24</f>
        <v>43275281</v>
      </c>
      <c r="D27" s="1350">
        <f>+D19+D24</f>
        <v>55883941</v>
      </c>
      <c r="E27" s="1349" t="s">
        <v>1027</v>
      </c>
      <c r="F27" s="1351">
        <f>SUM(F19:F26)</f>
        <v>6713595</v>
      </c>
      <c r="G27" s="1253">
        <f>SUM(G19:G26)</f>
        <v>6713595</v>
      </c>
    </row>
    <row r="28" spans="1:7" ht="13.5" thickBot="1" x14ac:dyDescent="0.3">
      <c r="A28" s="1348" t="s">
        <v>1028</v>
      </c>
      <c r="B28" s="1361" t="s">
        <v>1029</v>
      </c>
      <c r="C28" s="1362">
        <f>+C18+C27</f>
        <v>358409505</v>
      </c>
      <c r="D28" s="1363">
        <f>+D18+D27</f>
        <v>368153768</v>
      </c>
      <c r="E28" s="1361" t="s">
        <v>1030</v>
      </c>
      <c r="F28" s="1362">
        <f>+F18+F27</f>
        <v>311977952</v>
      </c>
      <c r="G28" s="1363">
        <f>+G18+G27</f>
        <v>310085317</v>
      </c>
    </row>
    <row r="29" spans="1:7" ht="13.5" thickBot="1" x14ac:dyDescent="0.3">
      <c r="A29" s="1348" t="s">
        <v>1031</v>
      </c>
      <c r="B29" s="1361" t="s">
        <v>1032</v>
      </c>
      <c r="C29" s="1362" t="str">
        <f>IF(C18-F18&lt;0,F18-C18,"-")</f>
        <v>-</v>
      </c>
      <c r="D29" s="1363" t="str">
        <f>IF(D18-G18&lt;0,G18-D18,"-")</f>
        <v>-</v>
      </c>
      <c r="E29" s="1361" t="s">
        <v>1033</v>
      </c>
      <c r="F29" s="1362">
        <f>IF(C18-F18&gt;0,C18-F18,"-")</f>
        <v>9869867</v>
      </c>
      <c r="G29" s="1363">
        <f>IF(D18-G18&gt;0,D18-G18,"-")</f>
        <v>8898105</v>
      </c>
    </row>
    <row r="30" spans="1:7" ht="13.5" thickBot="1" x14ac:dyDescent="0.3">
      <c r="A30" s="1348" t="s">
        <v>1034</v>
      </c>
      <c r="B30" s="1361" t="s">
        <v>1035</v>
      </c>
      <c r="C30" s="1362" t="str">
        <f>IF(C18+C19-F28&lt;0,F28-(C18+C19),"-")</f>
        <v>-</v>
      </c>
      <c r="D30" s="1363" t="str">
        <f>IF(D18+D19-G28&lt;0,G28-(D18+D19),"-")</f>
        <v>-</v>
      </c>
      <c r="E30" s="1361" t="s">
        <v>1036</v>
      </c>
      <c r="F30" s="1362">
        <f>IF(C18+C19-F28&gt;0,C18+C19-F28,"-")</f>
        <v>46431553</v>
      </c>
      <c r="G30" s="1363">
        <f>IF(D18+D19-G28&gt;0,D18+D19-G28,"-")</f>
        <v>58068451</v>
      </c>
    </row>
    <row r="31" spans="1:7" x14ac:dyDescent="0.2">
      <c r="A31" s="1820"/>
      <c r="B31" s="1820"/>
      <c r="C31" s="1820"/>
      <c r="D31" s="1820"/>
      <c r="E31" s="1820"/>
      <c r="F31" s="1820"/>
      <c r="G31" s="1820"/>
    </row>
  </sheetData>
  <sheetProtection selectLockedCells="1" selectUnlockedCells="1"/>
  <mergeCells count="3">
    <mergeCell ref="F2:G2"/>
    <mergeCell ref="A3:A4"/>
    <mergeCell ref="A31:G31"/>
  </mergeCells>
  <printOptions horizontalCentered="1" verticalCentered="1"/>
  <pageMargins left="0.31496062992125984" right="0.47244094488188981" top="0.9055118110236221" bottom="0.51181102362204722" header="0.6692913385826772" footer="0.27559055118110237"/>
  <pageSetup paperSize="9" scale="89" orientation="landscape" r:id="rId1"/>
  <headerFooter alignWithMargins="0">
    <oddHeader xml:space="preserve">&amp;R&amp;"Times New Roman CE,Félkövér dőlt" 2.1. melléklet a 7/2020 (VII.06.) önkormányzati rendelethez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499984740745262"/>
  </sheetPr>
  <dimension ref="A1:G34"/>
  <sheetViews>
    <sheetView tabSelected="1" view="pageBreakPreview" zoomScale="115" zoomScaleNormal="100" zoomScaleSheetLayoutView="115" workbookViewId="0">
      <selection activeCell="J21" sqref="J21"/>
    </sheetView>
  </sheetViews>
  <sheetFormatPr defaultRowHeight="12.75" x14ac:dyDescent="0.25"/>
  <cols>
    <col min="1" max="1" width="5.85546875" style="1317" customWidth="1"/>
    <col min="2" max="2" width="42.140625" style="1320" customWidth="1"/>
    <col min="3" max="3" width="12" style="1317" customWidth="1"/>
    <col min="4" max="4" width="13.28515625" style="1317" customWidth="1"/>
    <col min="5" max="5" width="39.140625" style="1317" customWidth="1"/>
    <col min="6" max="6" width="13.42578125" style="1317" customWidth="1"/>
    <col min="7" max="7" width="11.85546875" style="1317" customWidth="1"/>
    <col min="8" max="256" width="9.140625" style="1245"/>
    <col min="257" max="257" width="5.85546875" style="1245" customWidth="1"/>
    <col min="258" max="258" width="42.140625" style="1245" customWidth="1"/>
    <col min="259" max="259" width="12" style="1245" customWidth="1"/>
    <col min="260" max="260" width="10.85546875" style="1245" customWidth="1"/>
    <col min="261" max="261" width="39.140625" style="1245" customWidth="1"/>
    <col min="262" max="262" width="11" style="1245" customWidth="1"/>
    <col min="263" max="263" width="11.85546875" style="1245" customWidth="1"/>
    <col min="264" max="512" width="9.140625" style="1245"/>
    <col min="513" max="513" width="5.85546875" style="1245" customWidth="1"/>
    <col min="514" max="514" width="42.140625" style="1245" customWidth="1"/>
    <col min="515" max="515" width="12" style="1245" customWidth="1"/>
    <col min="516" max="516" width="10.85546875" style="1245" customWidth="1"/>
    <col min="517" max="517" width="39.140625" style="1245" customWidth="1"/>
    <col min="518" max="518" width="11" style="1245" customWidth="1"/>
    <col min="519" max="519" width="11.85546875" style="1245" customWidth="1"/>
    <col min="520" max="768" width="9.140625" style="1245"/>
    <col min="769" max="769" width="5.85546875" style="1245" customWidth="1"/>
    <col min="770" max="770" width="42.140625" style="1245" customWidth="1"/>
    <col min="771" max="771" width="12" style="1245" customWidth="1"/>
    <col min="772" max="772" width="10.85546875" style="1245" customWidth="1"/>
    <col min="773" max="773" width="39.140625" style="1245" customWidth="1"/>
    <col min="774" max="774" width="11" style="1245" customWidth="1"/>
    <col min="775" max="775" width="11.85546875" style="1245" customWidth="1"/>
    <col min="776" max="1024" width="9.140625" style="1245"/>
    <col min="1025" max="1025" width="5.85546875" style="1245" customWidth="1"/>
    <col min="1026" max="1026" width="42.140625" style="1245" customWidth="1"/>
    <col min="1027" max="1027" width="12" style="1245" customWidth="1"/>
    <col min="1028" max="1028" width="10.85546875" style="1245" customWidth="1"/>
    <col min="1029" max="1029" width="39.140625" style="1245" customWidth="1"/>
    <col min="1030" max="1030" width="11" style="1245" customWidth="1"/>
    <col min="1031" max="1031" width="11.85546875" style="1245" customWidth="1"/>
    <col min="1032" max="1280" width="9.140625" style="1245"/>
    <col min="1281" max="1281" width="5.85546875" style="1245" customWidth="1"/>
    <col min="1282" max="1282" width="42.140625" style="1245" customWidth="1"/>
    <col min="1283" max="1283" width="12" style="1245" customWidth="1"/>
    <col min="1284" max="1284" width="10.85546875" style="1245" customWidth="1"/>
    <col min="1285" max="1285" width="39.140625" style="1245" customWidth="1"/>
    <col min="1286" max="1286" width="11" style="1245" customWidth="1"/>
    <col min="1287" max="1287" width="11.85546875" style="1245" customWidth="1"/>
    <col min="1288" max="1536" width="9.140625" style="1245"/>
    <col min="1537" max="1537" width="5.85546875" style="1245" customWidth="1"/>
    <col min="1538" max="1538" width="42.140625" style="1245" customWidth="1"/>
    <col min="1539" max="1539" width="12" style="1245" customWidth="1"/>
    <col min="1540" max="1540" width="10.85546875" style="1245" customWidth="1"/>
    <col min="1541" max="1541" width="39.140625" style="1245" customWidth="1"/>
    <col min="1542" max="1542" width="11" style="1245" customWidth="1"/>
    <col min="1543" max="1543" width="11.85546875" style="1245" customWidth="1"/>
    <col min="1544" max="1792" width="9.140625" style="1245"/>
    <col min="1793" max="1793" width="5.85546875" style="1245" customWidth="1"/>
    <col min="1794" max="1794" width="42.140625" style="1245" customWidth="1"/>
    <col min="1795" max="1795" width="12" style="1245" customWidth="1"/>
    <col min="1796" max="1796" width="10.85546875" style="1245" customWidth="1"/>
    <col min="1797" max="1797" width="39.140625" style="1245" customWidth="1"/>
    <col min="1798" max="1798" width="11" style="1245" customWidth="1"/>
    <col min="1799" max="1799" width="11.85546875" style="1245" customWidth="1"/>
    <col min="1800" max="2048" width="9.140625" style="1245"/>
    <col min="2049" max="2049" width="5.85546875" style="1245" customWidth="1"/>
    <col min="2050" max="2050" width="42.140625" style="1245" customWidth="1"/>
    <col min="2051" max="2051" width="12" style="1245" customWidth="1"/>
    <col min="2052" max="2052" width="10.85546875" style="1245" customWidth="1"/>
    <col min="2053" max="2053" width="39.140625" style="1245" customWidth="1"/>
    <col min="2054" max="2054" width="11" style="1245" customWidth="1"/>
    <col min="2055" max="2055" width="11.85546875" style="1245" customWidth="1"/>
    <col min="2056" max="2304" width="9.140625" style="1245"/>
    <col min="2305" max="2305" width="5.85546875" style="1245" customWidth="1"/>
    <col min="2306" max="2306" width="42.140625" style="1245" customWidth="1"/>
    <col min="2307" max="2307" width="12" style="1245" customWidth="1"/>
    <col min="2308" max="2308" width="10.85546875" style="1245" customWidth="1"/>
    <col min="2309" max="2309" width="39.140625" style="1245" customWidth="1"/>
    <col min="2310" max="2310" width="11" style="1245" customWidth="1"/>
    <col min="2311" max="2311" width="11.85546875" style="1245" customWidth="1"/>
    <col min="2312" max="2560" width="9.140625" style="1245"/>
    <col min="2561" max="2561" width="5.85546875" style="1245" customWidth="1"/>
    <col min="2562" max="2562" width="42.140625" style="1245" customWidth="1"/>
    <col min="2563" max="2563" width="12" style="1245" customWidth="1"/>
    <col min="2564" max="2564" width="10.85546875" style="1245" customWidth="1"/>
    <col min="2565" max="2565" width="39.140625" style="1245" customWidth="1"/>
    <col min="2566" max="2566" width="11" style="1245" customWidth="1"/>
    <col min="2567" max="2567" width="11.85546875" style="1245" customWidth="1"/>
    <col min="2568" max="2816" width="9.140625" style="1245"/>
    <col min="2817" max="2817" width="5.85546875" style="1245" customWidth="1"/>
    <col min="2818" max="2818" width="42.140625" style="1245" customWidth="1"/>
    <col min="2819" max="2819" width="12" style="1245" customWidth="1"/>
    <col min="2820" max="2820" width="10.85546875" style="1245" customWidth="1"/>
    <col min="2821" max="2821" width="39.140625" style="1245" customWidth="1"/>
    <col min="2822" max="2822" width="11" style="1245" customWidth="1"/>
    <col min="2823" max="2823" width="11.85546875" style="1245" customWidth="1"/>
    <col min="2824" max="3072" width="9.140625" style="1245"/>
    <col min="3073" max="3073" width="5.85546875" style="1245" customWidth="1"/>
    <col min="3074" max="3074" width="42.140625" style="1245" customWidth="1"/>
    <col min="3075" max="3075" width="12" style="1245" customWidth="1"/>
    <col min="3076" max="3076" width="10.85546875" style="1245" customWidth="1"/>
    <col min="3077" max="3077" width="39.140625" style="1245" customWidth="1"/>
    <col min="3078" max="3078" width="11" style="1245" customWidth="1"/>
    <col min="3079" max="3079" width="11.85546875" style="1245" customWidth="1"/>
    <col min="3080" max="3328" width="9.140625" style="1245"/>
    <col min="3329" max="3329" width="5.85546875" style="1245" customWidth="1"/>
    <col min="3330" max="3330" width="42.140625" style="1245" customWidth="1"/>
    <col min="3331" max="3331" width="12" style="1245" customWidth="1"/>
    <col min="3332" max="3332" width="10.85546875" style="1245" customWidth="1"/>
    <col min="3333" max="3333" width="39.140625" style="1245" customWidth="1"/>
    <col min="3334" max="3334" width="11" style="1245" customWidth="1"/>
    <col min="3335" max="3335" width="11.85546875" style="1245" customWidth="1"/>
    <col min="3336" max="3584" width="9.140625" style="1245"/>
    <col min="3585" max="3585" width="5.85546875" style="1245" customWidth="1"/>
    <col min="3586" max="3586" width="42.140625" style="1245" customWidth="1"/>
    <col min="3587" max="3587" width="12" style="1245" customWidth="1"/>
    <col min="3588" max="3588" width="10.85546875" style="1245" customWidth="1"/>
    <col min="3589" max="3589" width="39.140625" style="1245" customWidth="1"/>
    <col min="3590" max="3590" width="11" style="1245" customWidth="1"/>
    <col min="3591" max="3591" width="11.85546875" style="1245" customWidth="1"/>
    <col min="3592" max="3840" width="9.140625" style="1245"/>
    <col min="3841" max="3841" width="5.85546875" style="1245" customWidth="1"/>
    <col min="3842" max="3842" width="42.140625" style="1245" customWidth="1"/>
    <col min="3843" max="3843" width="12" style="1245" customWidth="1"/>
    <col min="3844" max="3844" width="10.85546875" style="1245" customWidth="1"/>
    <col min="3845" max="3845" width="39.140625" style="1245" customWidth="1"/>
    <col min="3846" max="3846" width="11" style="1245" customWidth="1"/>
    <col min="3847" max="3847" width="11.85546875" style="1245" customWidth="1"/>
    <col min="3848" max="4096" width="9.140625" style="1245"/>
    <col min="4097" max="4097" width="5.85546875" style="1245" customWidth="1"/>
    <col min="4098" max="4098" width="42.140625" style="1245" customWidth="1"/>
    <col min="4099" max="4099" width="12" style="1245" customWidth="1"/>
    <col min="4100" max="4100" width="10.85546875" style="1245" customWidth="1"/>
    <col min="4101" max="4101" width="39.140625" style="1245" customWidth="1"/>
    <col min="4102" max="4102" width="11" style="1245" customWidth="1"/>
    <col min="4103" max="4103" width="11.85546875" style="1245" customWidth="1"/>
    <col min="4104" max="4352" width="9.140625" style="1245"/>
    <col min="4353" max="4353" width="5.85546875" style="1245" customWidth="1"/>
    <col min="4354" max="4354" width="42.140625" style="1245" customWidth="1"/>
    <col min="4355" max="4355" width="12" style="1245" customWidth="1"/>
    <col min="4356" max="4356" width="10.85546875" style="1245" customWidth="1"/>
    <col min="4357" max="4357" width="39.140625" style="1245" customWidth="1"/>
    <col min="4358" max="4358" width="11" style="1245" customWidth="1"/>
    <col min="4359" max="4359" width="11.85546875" style="1245" customWidth="1"/>
    <col min="4360" max="4608" width="9.140625" style="1245"/>
    <col min="4609" max="4609" width="5.85546875" style="1245" customWidth="1"/>
    <col min="4610" max="4610" width="42.140625" style="1245" customWidth="1"/>
    <col min="4611" max="4611" width="12" style="1245" customWidth="1"/>
    <col min="4612" max="4612" width="10.85546875" style="1245" customWidth="1"/>
    <col min="4613" max="4613" width="39.140625" style="1245" customWidth="1"/>
    <col min="4614" max="4614" width="11" style="1245" customWidth="1"/>
    <col min="4615" max="4615" width="11.85546875" style="1245" customWidth="1"/>
    <col min="4616" max="4864" width="9.140625" style="1245"/>
    <col min="4865" max="4865" width="5.85546875" style="1245" customWidth="1"/>
    <col min="4866" max="4866" width="42.140625" style="1245" customWidth="1"/>
    <col min="4867" max="4867" width="12" style="1245" customWidth="1"/>
    <col min="4868" max="4868" width="10.85546875" style="1245" customWidth="1"/>
    <col min="4869" max="4869" width="39.140625" style="1245" customWidth="1"/>
    <col min="4870" max="4870" width="11" style="1245" customWidth="1"/>
    <col min="4871" max="4871" width="11.85546875" style="1245" customWidth="1"/>
    <col min="4872" max="5120" width="9.140625" style="1245"/>
    <col min="5121" max="5121" width="5.85546875" style="1245" customWidth="1"/>
    <col min="5122" max="5122" width="42.140625" style="1245" customWidth="1"/>
    <col min="5123" max="5123" width="12" style="1245" customWidth="1"/>
    <col min="5124" max="5124" width="10.85546875" style="1245" customWidth="1"/>
    <col min="5125" max="5125" width="39.140625" style="1245" customWidth="1"/>
    <col min="5126" max="5126" width="11" style="1245" customWidth="1"/>
    <col min="5127" max="5127" width="11.85546875" style="1245" customWidth="1"/>
    <col min="5128" max="5376" width="9.140625" style="1245"/>
    <col min="5377" max="5377" width="5.85546875" style="1245" customWidth="1"/>
    <col min="5378" max="5378" width="42.140625" style="1245" customWidth="1"/>
    <col min="5379" max="5379" width="12" style="1245" customWidth="1"/>
    <col min="5380" max="5380" width="10.85546875" style="1245" customWidth="1"/>
    <col min="5381" max="5381" width="39.140625" style="1245" customWidth="1"/>
    <col min="5382" max="5382" width="11" style="1245" customWidth="1"/>
    <col min="5383" max="5383" width="11.85546875" style="1245" customWidth="1"/>
    <col min="5384" max="5632" width="9.140625" style="1245"/>
    <col min="5633" max="5633" width="5.85546875" style="1245" customWidth="1"/>
    <col min="5634" max="5634" width="42.140625" style="1245" customWidth="1"/>
    <col min="5635" max="5635" width="12" style="1245" customWidth="1"/>
    <col min="5636" max="5636" width="10.85546875" style="1245" customWidth="1"/>
    <col min="5637" max="5637" width="39.140625" style="1245" customWidth="1"/>
    <col min="5638" max="5638" width="11" style="1245" customWidth="1"/>
    <col min="5639" max="5639" width="11.85546875" style="1245" customWidth="1"/>
    <col min="5640" max="5888" width="9.140625" style="1245"/>
    <col min="5889" max="5889" width="5.85546875" style="1245" customWidth="1"/>
    <col min="5890" max="5890" width="42.140625" style="1245" customWidth="1"/>
    <col min="5891" max="5891" width="12" style="1245" customWidth="1"/>
    <col min="5892" max="5892" width="10.85546875" style="1245" customWidth="1"/>
    <col min="5893" max="5893" width="39.140625" style="1245" customWidth="1"/>
    <col min="5894" max="5894" width="11" style="1245" customWidth="1"/>
    <col min="5895" max="5895" width="11.85546875" style="1245" customWidth="1"/>
    <col min="5896" max="6144" width="9.140625" style="1245"/>
    <col min="6145" max="6145" width="5.85546875" style="1245" customWidth="1"/>
    <col min="6146" max="6146" width="42.140625" style="1245" customWidth="1"/>
    <col min="6147" max="6147" width="12" style="1245" customWidth="1"/>
    <col min="6148" max="6148" width="10.85546875" style="1245" customWidth="1"/>
    <col min="6149" max="6149" width="39.140625" style="1245" customWidth="1"/>
    <col min="6150" max="6150" width="11" style="1245" customWidth="1"/>
    <col min="6151" max="6151" width="11.85546875" style="1245" customWidth="1"/>
    <col min="6152" max="6400" width="9.140625" style="1245"/>
    <col min="6401" max="6401" width="5.85546875" style="1245" customWidth="1"/>
    <col min="6402" max="6402" width="42.140625" style="1245" customWidth="1"/>
    <col min="6403" max="6403" width="12" style="1245" customWidth="1"/>
    <col min="6404" max="6404" width="10.85546875" style="1245" customWidth="1"/>
    <col min="6405" max="6405" width="39.140625" style="1245" customWidth="1"/>
    <col min="6406" max="6406" width="11" style="1245" customWidth="1"/>
    <col min="6407" max="6407" width="11.85546875" style="1245" customWidth="1"/>
    <col min="6408" max="6656" width="9.140625" style="1245"/>
    <col min="6657" max="6657" width="5.85546875" style="1245" customWidth="1"/>
    <col min="6658" max="6658" width="42.140625" style="1245" customWidth="1"/>
    <col min="6659" max="6659" width="12" style="1245" customWidth="1"/>
    <col min="6660" max="6660" width="10.85546875" style="1245" customWidth="1"/>
    <col min="6661" max="6661" width="39.140625" style="1245" customWidth="1"/>
    <col min="6662" max="6662" width="11" style="1245" customWidth="1"/>
    <col min="6663" max="6663" width="11.85546875" style="1245" customWidth="1"/>
    <col min="6664" max="6912" width="9.140625" style="1245"/>
    <col min="6913" max="6913" width="5.85546875" style="1245" customWidth="1"/>
    <col min="6914" max="6914" width="42.140625" style="1245" customWidth="1"/>
    <col min="6915" max="6915" width="12" style="1245" customWidth="1"/>
    <col min="6916" max="6916" width="10.85546875" style="1245" customWidth="1"/>
    <col min="6917" max="6917" width="39.140625" style="1245" customWidth="1"/>
    <col min="6918" max="6918" width="11" style="1245" customWidth="1"/>
    <col min="6919" max="6919" width="11.85546875" style="1245" customWidth="1"/>
    <col min="6920" max="7168" width="9.140625" style="1245"/>
    <col min="7169" max="7169" width="5.85546875" style="1245" customWidth="1"/>
    <col min="7170" max="7170" width="42.140625" style="1245" customWidth="1"/>
    <col min="7171" max="7171" width="12" style="1245" customWidth="1"/>
    <col min="7172" max="7172" width="10.85546875" style="1245" customWidth="1"/>
    <col min="7173" max="7173" width="39.140625" style="1245" customWidth="1"/>
    <col min="7174" max="7174" width="11" style="1245" customWidth="1"/>
    <col min="7175" max="7175" width="11.85546875" style="1245" customWidth="1"/>
    <col min="7176" max="7424" width="9.140625" style="1245"/>
    <col min="7425" max="7425" width="5.85546875" style="1245" customWidth="1"/>
    <col min="7426" max="7426" width="42.140625" style="1245" customWidth="1"/>
    <col min="7427" max="7427" width="12" style="1245" customWidth="1"/>
    <col min="7428" max="7428" width="10.85546875" style="1245" customWidth="1"/>
    <col min="7429" max="7429" width="39.140625" style="1245" customWidth="1"/>
    <col min="7430" max="7430" width="11" style="1245" customWidth="1"/>
    <col min="7431" max="7431" width="11.85546875" style="1245" customWidth="1"/>
    <col min="7432" max="7680" width="9.140625" style="1245"/>
    <col min="7681" max="7681" width="5.85546875" style="1245" customWidth="1"/>
    <col min="7682" max="7682" width="42.140625" style="1245" customWidth="1"/>
    <col min="7683" max="7683" width="12" style="1245" customWidth="1"/>
    <col min="7684" max="7684" width="10.85546875" style="1245" customWidth="1"/>
    <col min="7685" max="7685" width="39.140625" style="1245" customWidth="1"/>
    <col min="7686" max="7686" width="11" style="1245" customWidth="1"/>
    <col min="7687" max="7687" width="11.85546875" style="1245" customWidth="1"/>
    <col min="7688" max="7936" width="9.140625" style="1245"/>
    <col min="7937" max="7937" width="5.85546875" style="1245" customWidth="1"/>
    <col min="7938" max="7938" width="42.140625" style="1245" customWidth="1"/>
    <col min="7939" max="7939" width="12" style="1245" customWidth="1"/>
    <col min="7940" max="7940" width="10.85546875" style="1245" customWidth="1"/>
    <col min="7941" max="7941" width="39.140625" style="1245" customWidth="1"/>
    <col min="7942" max="7942" width="11" style="1245" customWidth="1"/>
    <col min="7943" max="7943" width="11.85546875" style="1245" customWidth="1"/>
    <col min="7944" max="8192" width="9.140625" style="1245"/>
    <col min="8193" max="8193" width="5.85546875" style="1245" customWidth="1"/>
    <col min="8194" max="8194" width="42.140625" style="1245" customWidth="1"/>
    <col min="8195" max="8195" width="12" style="1245" customWidth="1"/>
    <col min="8196" max="8196" width="10.85546875" style="1245" customWidth="1"/>
    <col min="8197" max="8197" width="39.140625" style="1245" customWidth="1"/>
    <col min="8198" max="8198" width="11" style="1245" customWidth="1"/>
    <col min="8199" max="8199" width="11.85546875" style="1245" customWidth="1"/>
    <col min="8200" max="8448" width="9.140625" style="1245"/>
    <col min="8449" max="8449" width="5.85546875" style="1245" customWidth="1"/>
    <col min="8450" max="8450" width="42.140625" style="1245" customWidth="1"/>
    <col min="8451" max="8451" width="12" style="1245" customWidth="1"/>
    <col min="8452" max="8452" width="10.85546875" style="1245" customWidth="1"/>
    <col min="8453" max="8453" width="39.140625" style="1245" customWidth="1"/>
    <col min="8454" max="8454" width="11" style="1245" customWidth="1"/>
    <col min="8455" max="8455" width="11.85546875" style="1245" customWidth="1"/>
    <col min="8456" max="8704" width="9.140625" style="1245"/>
    <col min="8705" max="8705" width="5.85546875" style="1245" customWidth="1"/>
    <col min="8706" max="8706" width="42.140625" style="1245" customWidth="1"/>
    <col min="8707" max="8707" width="12" style="1245" customWidth="1"/>
    <col min="8708" max="8708" width="10.85546875" style="1245" customWidth="1"/>
    <col min="8709" max="8709" width="39.140625" style="1245" customWidth="1"/>
    <col min="8710" max="8710" width="11" style="1245" customWidth="1"/>
    <col min="8711" max="8711" width="11.85546875" style="1245" customWidth="1"/>
    <col min="8712" max="8960" width="9.140625" style="1245"/>
    <col min="8961" max="8961" width="5.85546875" style="1245" customWidth="1"/>
    <col min="8962" max="8962" width="42.140625" style="1245" customWidth="1"/>
    <col min="8963" max="8963" width="12" style="1245" customWidth="1"/>
    <col min="8964" max="8964" width="10.85546875" style="1245" customWidth="1"/>
    <col min="8965" max="8965" width="39.140625" style="1245" customWidth="1"/>
    <col min="8966" max="8966" width="11" style="1245" customWidth="1"/>
    <col min="8967" max="8967" width="11.85546875" style="1245" customWidth="1"/>
    <col min="8968" max="9216" width="9.140625" style="1245"/>
    <col min="9217" max="9217" width="5.85546875" style="1245" customWidth="1"/>
    <col min="9218" max="9218" width="42.140625" style="1245" customWidth="1"/>
    <col min="9219" max="9219" width="12" style="1245" customWidth="1"/>
    <col min="9220" max="9220" width="10.85546875" style="1245" customWidth="1"/>
    <col min="9221" max="9221" width="39.140625" style="1245" customWidth="1"/>
    <col min="9222" max="9222" width="11" style="1245" customWidth="1"/>
    <col min="9223" max="9223" width="11.85546875" style="1245" customWidth="1"/>
    <col min="9224" max="9472" width="9.140625" style="1245"/>
    <col min="9473" max="9473" width="5.85546875" style="1245" customWidth="1"/>
    <col min="9474" max="9474" width="42.140625" style="1245" customWidth="1"/>
    <col min="9475" max="9475" width="12" style="1245" customWidth="1"/>
    <col min="9476" max="9476" width="10.85546875" style="1245" customWidth="1"/>
    <col min="9477" max="9477" width="39.140625" style="1245" customWidth="1"/>
    <col min="9478" max="9478" width="11" style="1245" customWidth="1"/>
    <col min="9479" max="9479" width="11.85546875" style="1245" customWidth="1"/>
    <col min="9480" max="9728" width="9.140625" style="1245"/>
    <col min="9729" max="9729" width="5.85546875" style="1245" customWidth="1"/>
    <col min="9730" max="9730" width="42.140625" style="1245" customWidth="1"/>
    <col min="9731" max="9731" width="12" style="1245" customWidth="1"/>
    <col min="9732" max="9732" width="10.85546875" style="1245" customWidth="1"/>
    <col min="9733" max="9733" width="39.140625" style="1245" customWidth="1"/>
    <col min="9734" max="9734" width="11" style="1245" customWidth="1"/>
    <col min="9735" max="9735" width="11.85546875" style="1245" customWidth="1"/>
    <col min="9736" max="9984" width="9.140625" style="1245"/>
    <col min="9985" max="9985" width="5.85546875" style="1245" customWidth="1"/>
    <col min="9986" max="9986" width="42.140625" style="1245" customWidth="1"/>
    <col min="9987" max="9987" width="12" style="1245" customWidth="1"/>
    <col min="9988" max="9988" width="10.85546875" style="1245" customWidth="1"/>
    <col min="9989" max="9989" width="39.140625" style="1245" customWidth="1"/>
    <col min="9990" max="9990" width="11" style="1245" customWidth="1"/>
    <col min="9991" max="9991" width="11.85546875" style="1245" customWidth="1"/>
    <col min="9992" max="10240" width="9.140625" style="1245"/>
    <col min="10241" max="10241" width="5.85546875" style="1245" customWidth="1"/>
    <col min="10242" max="10242" width="42.140625" style="1245" customWidth="1"/>
    <col min="10243" max="10243" width="12" style="1245" customWidth="1"/>
    <col min="10244" max="10244" width="10.85546875" style="1245" customWidth="1"/>
    <col min="10245" max="10245" width="39.140625" style="1245" customWidth="1"/>
    <col min="10246" max="10246" width="11" style="1245" customWidth="1"/>
    <col min="10247" max="10247" width="11.85546875" style="1245" customWidth="1"/>
    <col min="10248" max="10496" width="9.140625" style="1245"/>
    <col min="10497" max="10497" width="5.85546875" style="1245" customWidth="1"/>
    <col min="10498" max="10498" width="42.140625" style="1245" customWidth="1"/>
    <col min="10499" max="10499" width="12" style="1245" customWidth="1"/>
    <col min="10500" max="10500" width="10.85546875" style="1245" customWidth="1"/>
    <col min="10501" max="10501" width="39.140625" style="1245" customWidth="1"/>
    <col min="10502" max="10502" width="11" style="1245" customWidth="1"/>
    <col min="10503" max="10503" width="11.85546875" style="1245" customWidth="1"/>
    <col min="10504" max="10752" width="9.140625" style="1245"/>
    <col min="10753" max="10753" width="5.85546875" style="1245" customWidth="1"/>
    <col min="10754" max="10754" width="42.140625" style="1245" customWidth="1"/>
    <col min="10755" max="10755" width="12" style="1245" customWidth="1"/>
    <col min="10756" max="10756" width="10.85546875" style="1245" customWidth="1"/>
    <col min="10757" max="10757" width="39.140625" style="1245" customWidth="1"/>
    <col min="10758" max="10758" width="11" style="1245" customWidth="1"/>
    <col min="10759" max="10759" width="11.85546875" style="1245" customWidth="1"/>
    <col min="10760" max="11008" width="9.140625" style="1245"/>
    <col min="11009" max="11009" width="5.85546875" style="1245" customWidth="1"/>
    <col min="11010" max="11010" width="42.140625" style="1245" customWidth="1"/>
    <col min="11011" max="11011" width="12" style="1245" customWidth="1"/>
    <col min="11012" max="11012" width="10.85546875" style="1245" customWidth="1"/>
    <col min="11013" max="11013" width="39.140625" style="1245" customWidth="1"/>
    <col min="11014" max="11014" width="11" style="1245" customWidth="1"/>
    <col min="11015" max="11015" width="11.85546875" style="1245" customWidth="1"/>
    <col min="11016" max="11264" width="9.140625" style="1245"/>
    <col min="11265" max="11265" width="5.85546875" style="1245" customWidth="1"/>
    <col min="11266" max="11266" width="42.140625" style="1245" customWidth="1"/>
    <col min="11267" max="11267" width="12" style="1245" customWidth="1"/>
    <col min="11268" max="11268" width="10.85546875" style="1245" customWidth="1"/>
    <col min="11269" max="11269" width="39.140625" style="1245" customWidth="1"/>
    <col min="11270" max="11270" width="11" style="1245" customWidth="1"/>
    <col min="11271" max="11271" width="11.85546875" style="1245" customWidth="1"/>
    <col min="11272" max="11520" width="9.140625" style="1245"/>
    <col min="11521" max="11521" width="5.85546875" style="1245" customWidth="1"/>
    <col min="11522" max="11522" width="42.140625" style="1245" customWidth="1"/>
    <col min="11523" max="11523" width="12" style="1245" customWidth="1"/>
    <col min="11524" max="11524" width="10.85546875" style="1245" customWidth="1"/>
    <col min="11525" max="11525" width="39.140625" style="1245" customWidth="1"/>
    <col min="11526" max="11526" width="11" style="1245" customWidth="1"/>
    <col min="11527" max="11527" width="11.85546875" style="1245" customWidth="1"/>
    <col min="11528" max="11776" width="9.140625" style="1245"/>
    <col min="11777" max="11777" width="5.85546875" style="1245" customWidth="1"/>
    <col min="11778" max="11778" width="42.140625" style="1245" customWidth="1"/>
    <col min="11779" max="11779" width="12" style="1245" customWidth="1"/>
    <col min="11780" max="11780" width="10.85546875" style="1245" customWidth="1"/>
    <col min="11781" max="11781" width="39.140625" style="1245" customWidth="1"/>
    <col min="11782" max="11782" width="11" style="1245" customWidth="1"/>
    <col min="11783" max="11783" width="11.85546875" style="1245" customWidth="1"/>
    <col min="11784" max="12032" width="9.140625" style="1245"/>
    <col min="12033" max="12033" width="5.85546875" style="1245" customWidth="1"/>
    <col min="12034" max="12034" width="42.140625" style="1245" customWidth="1"/>
    <col min="12035" max="12035" width="12" style="1245" customWidth="1"/>
    <col min="12036" max="12036" width="10.85546875" style="1245" customWidth="1"/>
    <col min="12037" max="12037" width="39.140625" style="1245" customWidth="1"/>
    <col min="12038" max="12038" width="11" style="1245" customWidth="1"/>
    <col min="12039" max="12039" width="11.85546875" style="1245" customWidth="1"/>
    <col min="12040" max="12288" width="9.140625" style="1245"/>
    <col min="12289" max="12289" width="5.85546875" style="1245" customWidth="1"/>
    <col min="12290" max="12290" width="42.140625" style="1245" customWidth="1"/>
    <col min="12291" max="12291" width="12" style="1245" customWidth="1"/>
    <col min="12292" max="12292" width="10.85546875" style="1245" customWidth="1"/>
    <col min="12293" max="12293" width="39.140625" style="1245" customWidth="1"/>
    <col min="12294" max="12294" width="11" style="1245" customWidth="1"/>
    <col min="12295" max="12295" width="11.85546875" style="1245" customWidth="1"/>
    <col min="12296" max="12544" width="9.140625" style="1245"/>
    <col min="12545" max="12545" width="5.85546875" style="1245" customWidth="1"/>
    <col min="12546" max="12546" width="42.140625" style="1245" customWidth="1"/>
    <col min="12547" max="12547" width="12" style="1245" customWidth="1"/>
    <col min="12548" max="12548" width="10.85546875" style="1245" customWidth="1"/>
    <col min="12549" max="12549" width="39.140625" style="1245" customWidth="1"/>
    <col min="12550" max="12550" width="11" style="1245" customWidth="1"/>
    <col min="12551" max="12551" width="11.85546875" style="1245" customWidth="1"/>
    <col min="12552" max="12800" width="9.140625" style="1245"/>
    <col min="12801" max="12801" width="5.85546875" style="1245" customWidth="1"/>
    <col min="12802" max="12802" width="42.140625" style="1245" customWidth="1"/>
    <col min="12803" max="12803" width="12" style="1245" customWidth="1"/>
    <col min="12804" max="12804" width="10.85546875" style="1245" customWidth="1"/>
    <col min="12805" max="12805" width="39.140625" style="1245" customWidth="1"/>
    <col min="12806" max="12806" width="11" style="1245" customWidth="1"/>
    <col min="12807" max="12807" width="11.85546875" style="1245" customWidth="1"/>
    <col min="12808" max="13056" width="9.140625" style="1245"/>
    <col min="13057" max="13057" width="5.85546875" style="1245" customWidth="1"/>
    <col min="13058" max="13058" width="42.140625" style="1245" customWidth="1"/>
    <col min="13059" max="13059" width="12" style="1245" customWidth="1"/>
    <col min="13060" max="13060" width="10.85546875" style="1245" customWidth="1"/>
    <col min="13061" max="13061" width="39.140625" style="1245" customWidth="1"/>
    <col min="13062" max="13062" width="11" style="1245" customWidth="1"/>
    <col min="13063" max="13063" width="11.85546875" style="1245" customWidth="1"/>
    <col min="13064" max="13312" width="9.140625" style="1245"/>
    <col min="13313" max="13313" width="5.85546875" style="1245" customWidth="1"/>
    <col min="13314" max="13314" width="42.140625" style="1245" customWidth="1"/>
    <col min="13315" max="13315" width="12" style="1245" customWidth="1"/>
    <col min="13316" max="13316" width="10.85546875" style="1245" customWidth="1"/>
    <col min="13317" max="13317" width="39.140625" style="1245" customWidth="1"/>
    <col min="13318" max="13318" width="11" style="1245" customWidth="1"/>
    <col min="13319" max="13319" width="11.85546875" style="1245" customWidth="1"/>
    <col min="13320" max="13568" width="9.140625" style="1245"/>
    <col min="13569" max="13569" width="5.85546875" style="1245" customWidth="1"/>
    <col min="13570" max="13570" width="42.140625" style="1245" customWidth="1"/>
    <col min="13571" max="13571" width="12" style="1245" customWidth="1"/>
    <col min="13572" max="13572" width="10.85546875" style="1245" customWidth="1"/>
    <col min="13573" max="13573" width="39.140625" style="1245" customWidth="1"/>
    <col min="13574" max="13574" width="11" style="1245" customWidth="1"/>
    <col min="13575" max="13575" width="11.85546875" style="1245" customWidth="1"/>
    <col min="13576" max="13824" width="9.140625" style="1245"/>
    <col min="13825" max="13825" width="5.85546875" style="1245" customWidth="1"/>
    <col min="13826" max="13826" width="42.140625" style="1245" customWidth="1"/>
    <col min="13827" max="13827" width="12" style="1245" customWidth="1"/>
    <col min="13828" max="13828" width="10.85546875" style="1245" customWidth="1"/>
    <col min="13829" max="13829" width="39.140625" style="1245" customWidth="1"/>
    <col min="13830" max="13830" width="11" style="1245" customWidth="1"/>
    <col min="13831" max="13831" width="11.85546875" style="1245" customWidth="1"/>
    <col min="13832" max="14080" width="9.140625" style="1245"/>
    <col min="14081" max="14081" width="5.85546875" style="1245" customWidth="1"/>
    <col min="14082" max="14082" width="42.140625" style="1245" customWidth="1"/>
    <col min="14083" max="14083" width="12" style="1245" customWidth="1"/>
    <col min="14084" max="14084" width="10.85546875" style="1245" customWidth="1"/>
    <col min="14085" max="14085" width="39.140625" style="1245" customWidth="1"/>
    <col min="14086" max="14086" width="11" style="1245" customWidth="1"/>
    <col min="14087" max="14087" width="11.85546875" style="1245" customWidth="1"/>
    <col min="14088" max="14336" width="9.140625" style="1245"/>
    <col min="14337" max="14337" width="5.85546875" style="1245" customWidth="1"/>
    <col min="14338" max="14338" width="42.140625" style="1245" customWidth="1"/>
    <col min="14339" max="14339" width="12" style="1245" customWidth="1"/>
    <col min="14340" max="14340" width="10.85546875" style="1245" customWidth="1"/>
    <col min="14341" max="14341" width="39.140625" style="1245" customWidth="1"/>
    <col min="14342" max="14342" width="11" style="1245" customWidth="1"/>
    <col min="14343" max="14343" width="11.85546875" style="1245" customWidth="1"/>
    <col min="14344" max="14592" width="9.140625" style="1245"/>
    <col min="14593" max="14593" width="5.85546875" style="1245" customWidth="1"/>
    <col min="14594" max="14594" width="42.140625" style="1245" customWidth="1"/>
    <col min="14595" max="14595" width="12" style="1245" customWidth="1"/>
    <col min="14596" max="14596" width="10.85546875" style="1245" customWidth="1"/>
    <col min="14597" max="14597" width="39.140625" style="1245" customWidth="1"/>
    <col min="14598" max="14598" width="11" style="1245" customWidth="1"/>
    <col min="14599" max="14599" width="11.85546875" style="1245" customWidth="1"/>
    <col min="14600" max="14848" width="9.140625" style="1245"/>
    <col min="14849" max="14849" width="5.85546875" style="1245" customWidth="1"/>
    <col min="14850" max="14850" width="42.140625" style="1245" customWidth="1"/>
    <col min="14851" max="14851" width="12" style="1245" customWidth="1"/>
    <col min="14852" max="14852" width="10.85546875" style="1245" customWidth="1"/>
    <col min="14853" max="14853" width="39.140625" style="1245" customWidth="1"/>
    <col min="14854" max="14854" width="11" style="1245" customWidth="1"/>
    <col min="14855" max="14855" width="11.85546875" style="1245" customWidth="1"/>
    <col min="14856" max="15104" width="9.140625" style="1245"/>
    <col min="15105" max="15105" width="5.85546875" style="1245" customWidth="1"/>
    <col min="15106" max="15106" width="42.140625" style="1245" customWidth="1"/>
    <col min="15107" max="15107" width="12" style="1245" customWidth="1"/>
    <col min="15108" max="15108" width="10.85546875" style="1245" customWidth="1"/>
    <col min="15109" max="15109" width="39.140625" style="1245" customWidth="1"/>
    <col min="15110" max="15110" width="11" style="1245" customWidth="1"/>
    <col min="15111" max="15111" width="11.85546875" style="1245" customWidth="1"/>
    <col min="15112" max="15360" width="9.140625" style="1245"/>
    <col min="15361" max="15361" width="5.85546875" style="1245" customWidth="1"/>
    <col min="15362" max="15362" width="42.140625" style="1245" customWidth="1"/>
    <col min="15363" max="15363" width="12" style="1245" customWidth="1"/>
    <col min="15364" max="15364" width="10.85546875" style="1245" customWidth="1"/>
    <col min="15365" max="15365" width="39.140625" style="1245" customWidth="1"/>
    <col min="15366" max="15366" width="11" style="1245" customWidth="1"/>
    <col min="15367" max="15367" width="11.85546875" style="1245" customWidth="1"/>
    <col min="15368" max="15616" width="9.140625" style="1245"/>
    <col min="15617" max="15617" width="5.85546875" style="1245" customWidth="1"/>
    <col min="15618" max="15618" width="42.140625" style="1245" customWidth="1"/>
    <col min="15619" max="15619" width="12" style="1245" customWidth="1"/>
    <col min="15620" max="15620" width="10.85546875" style="1245" customWidth="1"/>
    <col min="15621" max="15621" width="39.140625" style="1245" customWidth="1"/>
    <col min="15622" max="15622" width="11" style="1245" customWidth="1"/>
    <col min="15623" max="15623" width="11.85546875" style="1245" customWidth="1"/>
    <col min="15624" max="15872" width="9.140625" style="1245"/>
    <col min="15873" max="15873" width="5.85546875" style="1245" customWidth="1"/>
    <col min="15874" max="15874" width="42.140625" style="1245" customWidth="1"/>
    <col min="15875" max="15875" width="12" style="1245" customWidth="1"/>
    <col min="15876" max="15876" width="10.85546875" style="1245" customWidth="1"/>
    <col min="15877" max="15877" width="39.140625" style="1245" customWidth="1"/>
    <col min="15878" max="15878" width="11" style="1245" customWidth="1"/>
    <col min="15879" max="15879" width="11.85546875" style="1245" customWidth="1"/>
    <col min="15880" max="16128" width="9.140625" style="1245"/>
    <col min="16129" max="16129" width="5.85546875" style="1245" customWidth="1"/>
    <col min="16130" max="16130" width="42.140625" style="1245" customWidth="1"/>
    <col min="16131" max="16131" width="12" style="1245" customWidth="1"/>
    <col min="16132" max="16132" width="10.85546875" style="1245" customWidth="1"/>
    <col min="16133" max="16133" width="39.140625" style="1245" customWidth="1"/>
    <col min="16134" max="16134" width="11" style="1245" customWidth="1"/>
    <col min="16135" max="16135" width="11.85546875" style="1245" customWidth="1"/>
    <col min="16136" max="16384" width="9.140625" style="1245"/>
  </cols>
  <sheetData>
    <row r="1" spans="1:7" ht="31.5" x14ac:dyDescent="0.25">
      <c r="B1" s="1318" t="s">
        <v>1067</v>
      </c>
      <c r="C1" s="1319"/>
      <c r="D1" s="1319"/>
      <c r="E1" s="1319"/>
      <c r="F1" s="1319"/>
      <c r="G1" s="1319"/>
    </row>
    <row r="2" spans="1:7" ht="14.25" thickBot="1" x14ac:dyDescent="0.3">
      <c r="F2" s="1817" t="s">
        <v>1069</v>
      </c>
      <c r="G2" s="1817"/>
    </row>
    <row r="3" spans="1:7" ht="13.5" thickBot="1" x14ac:dyDescent="0.3">
      <c r="A3" s="1821" t="s">
        <v>989</v>
      </c>
      <c r="B3" s="1321" t="s">
        <v>657</v>
      </c>
      <c r="C3" s="1322"/>
      <c r="D3" s="1323"/>
      <c r="E3" s="1321" t="s">
        <v>856</v>
      </c>
      <c r="F3" s="1324"/>
      <c r="G3" s="1324"/>
    </row>
    <row r="4" spans="1:7" s="1327" customFormat="1" ht="36.75" thickBot="1" x14ac:dyDescent="0.3">
      <c r="A4" s="1822"/>
      <c r="B4" s="1325" t="s">
        <v>649</v>
      </c>
      <c r="C4" s="1326" t="s">
        <v>1068</v>
      </c>
      <c r="D4" s="1326" t="s">
        <v>928</v>
      </c>
      <c r="E4" s="1325" t="s">
        <v>649</v>
      </c>
      <c r="F4" s="1326" t="s">
        <v>1068</v>
      </c>
      <c r="G4" s="1326" t="s">
        <v>928</v>
      </c>
    </row>
    <row r="5" spans="1:7" s="1327" customFormat="1" ht="13.5" thickBot="1" x14ac:dyDescent="0.3">
      <c r="A5" s="1328" t="s">
        <v>696</v>
      </c>
      <c r="B5" s="1329" t="s">
        <v>710</v>
      </c>
      <c r="C5" s="1330" t="s">
        <v>724</v>
      </c>
      <c r="D5" s="1386" t="s">
        <v>900</v>
      </c>
      <c r="E5" s="1329" t="s">
        <v>753</v>
      </c>
      <c r="F5" s="1385" t="s">
        <v>775</v>
      </c>
      <c r="G5" s="1332" t="s">
        <v>911</v>
      </c>
    </row>
    <row r="6" spans="1:7" ht="12.95" customHeight="1" x14ac:dyDescent="0.25">
      <c r="A6" s="1334" t="s">
        <v>696</v>
      </c>
      <c r="B6" s="1335" t="s">
        <v>1066</v>
      </c>
      <c r="C6" s="1384"/>
      <c r="D6" s="1384"/>
      <c r="E6" s="1335" t="s">
        <v>63</v>
      </c>
      <c r="F6" s="1383">
        <f>'1.1 Összesítő'!C109</f>
        <v>5308292</v>
      </c>
      <c r="G6" s="1257">
        <f>'1.1 Összesítő'!D109</f>
        <v>8191680</v>
      </c>
    </row>
    <row r="7" spans="1:7" x14ac:dyDescent="0.25">
      <c r="A7" s="1338" t="s">
        <v>710</v>
      </c>
      <c r="B7" s="1339" t="s">
        <v>1065</v>
      </c>
      <c r="C7" s="1382"/>
      <c r="D7" s="1382"/>
      <c r="E7" s="1339" t="s">
        <v>1064</v>
      </c>
      <c r="F7" s="1342"/>
      <c r="G7" s="1260"/>
    </row>
    <row r="8" spans="1:7" ht="12.95" customHeight="1" x14ac:dyDescent="0.25">
      <c r="A8" s="1338" t="s">
        <v>724</v>
      </c>
      <c r="B8" s="1339" t="s">
        <v>149</v>
      </c>
      <c r="C8" s="1382"/>
      <c r="D8" s="1382"/>
      <c r="E8" s="1339" t="s">
        <v>153</v>
      </c>
      <c r="F8" s="1342">
        <f>'1.1 Összesítő'!C111</f>
        <v>53205356</v>
      </c>
      <c r="G8" s="1260">
        <f>'1.1 Összesítő'!D111</f>
        <v>53459356</v>
      </c>
    </row>
    <row r="9" spans="1:7" ht="12.95" customHeight="1" x14ac:dyDescent="0.25">
      <c r="A9" s="1338" t="s">
        <v>900</v>
      </c>
      <c r="B9" s="1339" t="s">
        <v>1063</v>
      </c>
      <c r="C9" s="1382"/>
      <c r="D9" s="1382"/>
      <c r="E9" s="1339" t="s">
        <v>1062</v>
      </c>
      <c r="F9" s="1342"/>
      <c r="G9" s="1260"/>
    </row>
    <row r="10" spans="1:7" ht="12.75" customHeight="1" x14ac:dyDescent="0.25">
      <c r="A10" s="1338" t="s">
        <v>753</v>
      </c>
      <c r="B10" s="1339" t="s">
        <v>1061</v>
      </c>
      <c r="C10" s="1382"/>
      <c r="D10" s="1382"/>
      <c r="E10" s="1339" t="s">
        <v>883</v>
      </c>
      <c r="F10" s="1342"/>
      <c r="G10" s="1260">
        <f>'1.1 Összesítő'!D113</f>
        <v>2675000</v>
      </c>
    </row>
    <row r="11" spans="1:7" ht="12.95" customHeight="1" x14ac:dyDescent="0.25">
      <c r="A11" s="1338" t="s">
        <v>775</v>
      </c>
      <c r="B11" s="1339" t="s">
        <v>1060</v>
      </c>
      <c r="C11" s="1342">
        <f>'1.1 Összesítő'!C48</f>
        <v>152362</v>
      </c>
      <c r="D11" s="1260">
        <f>'1.1 Összesítő'!D48</f>
        <v>312362</v>
      </c>
      <c r="E11" s="1343"/>
      <c r="F11" s="1342"/>
      <c r="G11" s="1260"/>
    </row>
    <row r="12" spans="1:7" ht="12.95" customHeight="1" x14ac:dyDescent="0.25">
      <c r="A12" s="1338" t="s">
        <v>911</v>
      </c>
      <c r="B12" s="1343"/>
      <c r="C12" s="1342"/>
      <c r="D12" s="1260"/>
      <c r="E12" s="1343"/>
      <c r="F12" s="1342"/>
      <c r="G12" s="1260"/>
    </row>
    <row r="13" spans="1:7" ht="12.95" customHeight="1" x14ac:dyDescent="0.25">
      <c r="A13" s="1338" t="s">
        <v>796</v>
      </c>
      <c r="B13" s="1343"/>
      <c r="C13" s="1342"/>
      <c r="D13" s="1260"/>
      <c r="E13" s="1343"/>
      <c r="F13" s="1342"/>
      <c r="G13" s="1260"/>
    </row>
    <row r="14" spans="1:7" ht="12.95" customHeight="1" x14ac:dyDescent="0.25">
      <c r="A14" s="1338" t="s">
        <v>806</v>
      </c>
      <c r="B14" s="1343"/>
      <c r="C14" s="1342"/>
      <c r="D14" s="1260"/>
      <c r="E14" s="1343"/>
      <c r="F14" s="1342"/>
      <c r="G14" s="1260"/>
    </row>
    <row r="15" spans="1:7" x14ac:dyDescent="0.25">
      <c r="A15" s="1338" t="s">
        <v>923</v>
      </c>
      <c r="B15" s="1343"/>
      <c r="C15" s="1342"/>
      <c r="D15" s="1260"/>
      <c r="E15" s="1343"/>
      <c r="F15" s="1342"/>
      <c r="G15" s="1260"/>
    </row>
    <row r="16" spans="1:7" ht="12.95" customHeight="1" thickBot="1" x14ac:dyDescent="0.3">
      <c r="A16" s="1352" t="s">
        <v>996</v>
      </c>
      <c r="B16" s="1381"/>
      <c r="C16" s="1378"/>
      <c r="D16" s="1380"/>
      <c r="E16" s="1379" t="s">
        <v>994</v>
      </c>
      <c r="F16" s="1378">
        <f>'1.1 Összesítő'!C124</f>
        <v>42149499</v>
      </c>
      <c r="G16" s="1261">
        <f>'1.1 Összesítő'!D124</f>
        <v>48134009</v>
      </c>
    </row>
    <row r="17" spans="1:7" ht="15.95" customHeight="1" thickBot="1" x14ac:dyDescent="0.3">
      <c r="A17" s="1348" t="s">
        <v>997</v>
      </c>
      <c r="B17" s="1349" t="s">
        <v>1059</v>
      </c>
      <c r="C17" s="1350">
        <f>+C6+C8+C9+C11+C12+C13+C14+C15+C16</f>
        <v>152362</v>
      </c>
      <c r="D17" s="1350">
        <f>+D6+D8+D9+D11+D12+D13+D14+D15+D16</f>
        <v>312362</v>
      </c>
      <c r="E17" s="1349" t="s">
        <v>1058</v>
      </c>
      <c r="F17" s="1351">
        <f>+F6+F8+F10+F11+F12+F13+F14+F15+F16</f>
        <v>100663147</v>
      </c>
      <c r="G17" s="1253">
        <f>+G6+G8+G10+G11+G12+G13+G14+G15+G16</f>
        <v>112460045</v>
      </c>
    </row>
    <row r="18" spans="1:7" ht="12.95" customHeight="1" x14ac:dyDescent="0.25">
      <c r="A18" s="1334" t="s">
        <v>998</v>
      </c>
      <c r="B18" s="1377" t="s">
        <v>1057</v>
      </c>
      <c r="C18" s="1376">
        <f>+C19+C20+C21+C22+C23</f>
        <v>54079232</v>
      </c>
      <c r="D18" s="1376">
        <f>+D19+D20+D21+D22+D23</f>
        <v>54079232</v>
      </c>
      <c r="E18" s="1355" t="s">
        <v>1003</v>
      </c>
      <c r="F18" s="1375"/>
      <c r="G18" s="1256"/>
    </row>
    <row r="19" spans="1:7" ht="12.95" customHeight="1" x14ac:dyDescent="0.25">
      <c r="A19" s="1338" t="s">
        <v>1001</v>
      </c>
      <c r="B19" s="1369" t="s">
        <v>965</v>
      </c>
      <c r="C19" s="1357">
        <v>54079232</v>
      </c>
      <c r="D19" s="1367">
        <v>54079232</v>
      </c>
      <c r="E19" s="1355" t="s">
        <v>1056</v>
      </c>
      <c r="F19" s="1358"/>
      <c r="G19" s="1278"/>
    </row>
    <row r="20" spans="1:7" ht="12.95" customHeight="1" x14ac:dyDescent="0.25">
      <c r="A20" s="1334" t="s">
        <v>1004</v>
      </c>
      <c r="B20" s="1369" t="s">
        <v>1055</v>
      </c>
      <c r="C20" s="1357"/>
      <c r="D20" s="1367"/>
      <c r="E20" s="1355" t="s">
        <v>1009</v>
      </c>
      <c r="F20" s="1358"/>
      <c r="G20" s="1278"/>
    </row>
    <row r="21" spans="1:7" ht="12.95" customHeight="1" x14ac:dyDescent="0.25">
      <c r="A21" s="1338" t="s">
        <v>1007</v>
      </c>
      <c r="B21" s="1369" t="s">
        <v>1054</v>
      </c>
      <c r="C21" s="1357"/>
      <c r="D21" s="1367"/>
      <c r="E21" s="1355" t="s">
        <v>1012</v>
      </c>
      <c r="F21" s="1358"/>
      <c r="G21" s="1278"/>
    </row>
    <row r="22" spans="1:7" ht="12.95" customHeight="1" x14ac:dyDescent="0.25">
      <c r="A22" s="1334" t="s">
        <v>1010</v>
      </c>
      <c r="B22" s="1369" t="s">
        <v>1053</v>
      </c>
      <c r="C22" s="1357"/>
      <c r="D22" s="1374"/>
      <c r="E22" s="1353" t="s">
        <v>1015</v>
      </c>
      <c r="F22" s="1358"/>
      <c r="G22" s="1278"/>
    </row>
    <row r="23" spans="1:7" ht="12.95" customHeight="1" x14ac:dyDescent="0.25">
      <c r="A23" s="1338" t="s">
        <v>1013</v>
      </c>
      <c r="B23" s="1371" t="s">
        <v>1052</v>
      </c>
      <c r="C23" s="1357"/>
      <c r="D23" s="1367"/>
      <c r="E23" s="1355" t="s">
        <v>1051</v>
      </c>
      <c r="F23" s="1358"/>
      <c r="G23" s="1278"/>
    </row>
    <row r="24" spans="1:7" ht="12.95" customHeight="1" x14ac:dyDescent="0.25">
      <c r="A24" s="1334" t="s">
        <v>1016</v>
      </c>
      <c r="B24" s="1373" t="s">
        <v>1050</v>
      </c>
      <c r="C24" s="1359">
        <f>+C25+C26+C27+C28+C29</f>
        <v>0</v>
      </c>
      <c r="D24" s="1359">
        <f>+D25+D26+D27+D28+D29</f>
        <v>0</v>
      </c>
      <c r="E24" s="1372" t="s">
        <v>1021</v>
      </c>
      <c r="F24" s="1358"/>
      <c r="G24" s="1278"/>
    </row>
    <row r="25" spans="1:7" ht="12.95" customHeight="1" x14ac:dyDescent="0.25">
      <c r="A25" s="1338" t="s">
        <v>1019</v>
      </c>
      <c r="B25" s="1371" t="s">
        <v>1049</v>
      </c>
      <c r="C25" s="1357"/>
      <c r="D25" s="1365"/>
      <c r="E25" s="1372" t="s">
        <v>1048</v>
      </c>
      <c r="F25" s="1358"/>
      <c r="G25" s="1278"/>
    </row>
    <row r="26" spans="1:7" ht="12.95" customHeight="1" x14ac:dyDescent="0.25">
      <c r="A26" s="1334" t="s">
        <v>1022</v>
      </c>
      <c r="B26" s="1371" t="s">
        <v>1047</v>
      </c>
      <c r="C26" s="1357"/>
      <c r="D26" s="1365"/>
      <c r="E26" s="1370"/>
      <c r="F26" s="1358"/>
      <c r="G26" s="1278"/>
    </row>
    <row r="27" spans="1:7" ht="12.95" customHeight="1" x14ac:dyDescent="0.25">
      <c r="A27" s="1338" t="s">
        <v>1025</v>
      </c>
      <c r="B27" s="1369" t="s">
        <v>1046</v>
      </c>
      <c r="C27" s="1357"/>
      <c r="D27" s="1365"/>
      <c r="E27" s="1364"/>
      <c r="F27" s="1358"/>
      <c r="G27" s="1278"/>
    </row>
    <row r="28" spans="1:7" ht="12.95" customHeight="1" x14ac:dyDescent="0.25">
      <c r="A28" s="1334" t="s">
        <v>1028</v>
      </c>
      <c r="B28" s="1368" t="s">
        <v>1045</v>
      </c>
      <c r="C28" s="1357"/>
      <c r="D28" s="1367"/>
      <c r="E28" s="1343"/>
      <c r="F28" s="1358"/>
      <c r="G28" s="1278"/>
    </row>
    <row r="29" spans="1:7" ht="12.95" customHeight="1" thickBot="1" x14ac:dyDescent="0.3">
      <c r="A29" s="1338" t="s">
        <v>1031</v>
      </c>
      <c r="B29" s="1366" t="s">
        <v>1044</v>
      </c>
      <c r="C29" s="1357"/>
      <c r="D29" s="1365"/>
      <c r="E29" s="1364"/>
      <c r="F29" s="1358"/>
      <c r="G29" s="1278"/>
    </row>
    <row r="30" spans="1:7" ht="21.75" customHeight="1" thickBot="1" x14ac:dyDescent="0.3">
      <c r="A30" s="1348" t="s">
        <v>1034</v>
      </c>
      <c r="B30" s="1349" t="s">
        <v>1043</v>
      </c>
      <c r="C30" s="1350">
        <f>+C18+C24</f>
        <v>54079232</v>
      </c>
      <c r="D30" s="1350">
        <f>+D18+D24</f>
        <v>54079232</v>
      </c>
      <c r="E30" s="1349" t="s">
        <v>1042</v>
      </c>
      <c r="F30" s="1351">
        <f>SUM(F18:F29)</f>
        <v>0</v>
      </c>
      <c r="G30" s="1253">
        <f>SUM(G18:G29)</f>
        <v>0</v>
      </c>
    </row>
    <row r="31" spans="1:7" ht="13.5" thickBot="1" x14ac:dyDescent="0.3">
      <c r="A31" s="1348" t="s">
        <v>1041</v>
      </c>
      <c r="B31" s="1361" t="s">
        <v>1040</v>
      </c>
      <c r="C31" s="1362">
        <f>+C17+C30</f>
        <v>54231594</v>
      </c>
      <c r="D31" s="1363">
        <f>+D17+D30</f>
        <v>54391594</v>
      </c>
      <c r="E31" s="1361" t="s">
        <v>1039</v>
      </c>
      <c r="F31" s="1362">
        <f>+F17+F30</f>
        <v>100663147</v>
      </c>
      <c r="G31" s="1363">
        <f>+G17+G30</f>
        <v>112460045</v>
      </c>
    </row>
    <row r="32" spans="1:7" ht="13.5" thickBot="1" x14ac:dyDescent="0.3">
      <c r="A32" s="1348" t="s">
        <v>1038</v>
      </c>
      <c r="B32" s="1361" t="s">
        <v>1032</v>
      </c>
      <c r="C32" s="1362">
        <f>IF(C17-F17&lt;0,F17-C17,"-")-F11</f>
        <v>100510785</v>
      </c>
      <c r="D32" s="1363">
        <f>IF(D17-G17&lt;0,G17-D17,"-")</f>
        <v>112147683</v>
      </c>
      <c r="E32" s="1361" t="s">
        <v>1033</v>
      </c>
      <c r="F32" s="1362" t="str">
        <f>IF(C17-F17&gt;0,C17-F17,"-")</f>
        <v>-</v>
      </c>
      <c r="G32" s="1363" t="str">
        <f>IF(D17-G17&gt;0,D17-G17,"-")</f>
        <v>-</v>
      </c>
    </row>
    <row r="33" spans="1:7" ht="13.5" thickBot="1" x14ac:dyDescent="0.3">
      <c r="A33" s="1348" t="s">
        <v>1037</v>
      </c>
      <c r="B33" s="1361" t="s">
        <v>1035</v>
      </c>
      <c r="C33" s="1362">
        <f>IF(C17+C18-F31&lt;0,F31-(C17+C18),"-")</f>
        <v>46431553</v>
      </c>
      <c r="D33" s="1363">
        <f>IF(D17+D18-G31&lt;0,G31-(D17+D18),"-")</f>
        <v>58068451</v>
      </c>
      <c r="E33" s="1361" t="s">
        <v>1036</v>
      </c>
      <c r="F33" s="1362" t="str">
        <f>IF(C17+C18-F31&gt;0,C17+C18-F31,"-")</f>
        <v>-</v>
      </c>
      <c r="G33" s="1363" t="str">
        <f>IF(D17+D18-G31&gt;0,D17+D18-G31,"-")</f>
        <v>-</v>
      </c>
    </row>
    <row r="34" spans="1:7" x14ac:dyDescent="0.2">
      <c r="A34" s="1231"/>
    </row>
  </sheetData>
  <sheetProtection selectLockedCells="1" selectUnlockedCells="1"/>
  <mergeCells count="2">
    <mergeCell ref="F2:G2"/>
    <mergeCell ref="A3:A4"/>
  </mergeCells>
  <printOptions horizontalCentered="1"/>
  <pageMargins left="0.78740157480314965" right="0.78740157480314965" top="0.68" bottom="0.78740157480314965" header="0.47244094488188981" footer="0.78740157480314965"/>
  <pageSetup paperSize="9" scale="93" orientation="landscape" r:id="rId1"/>
  <headerFooter alignWithMargins="0">
    <oddHeader>&amp;R&amp;"Times New Roman,Normál"2.2. melléklet a 7/2020 (VII.06.)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G12"/>
  <sheetViews>
    <sheetView view="pageBreakPreview" zoomScale="125" zoomScaleNormal="100" zoomScaleSheetLayoutView="125" workbookViewId="0">
      <selection activeCell="G33" sqref="G33"/>
    </sheetView>
  </sheetViews>
  <sheetFormatPr defaultRowHeight="15" x14ac:dyDescent="0.25"/>
  <cols>
    <col min="1" max="1" width="4.85546875" style="1407" customWidth="1"/>
    <col min="2" max="2" width="36" style="1407" customWidth="1"/>
    <col min="3" max="3" width="12.7109375" style="1407" customWidth="1"/>
    <col min="4" max="4" width="14.5703125" style="1407" customWidth="1"/>
    <col min="5" max="5" width="16.42578125" style="1407" customWidth="1"/>
    <col min="6" max="6" width="16" style="1407" customWidth="1"/>
    <col min="7" max="256" width="9.140625" style="1387"/>
    <col min="257" max="257" width="4.85546875" style="1387" customWidth="1"/>
    <col min="258" max="258" width="36" style="1387" customWidth="1"/>
    <col min="259" max="262" width="12" style="1387" customWidth="1"/>
    <col min="263" max="512" width="9.140625" style="1387"/>
    <col min="513" max="513" width="4.85546875" style="1387" customWidth="1"/>
    <col min="514" max="514" width="36" style="1387" customWidth="1"/>
    <col min="515" max="518" width="12" style="1387" customWidth="1"/>
    <col min="519" max="768" width="9.140625" style="1387"/>
    <col min="769" max="769" width="4.85546875" style="1387" customWidth="1"/>
    <col min="770" max="770" width="36" style="1387" customWidth="1"/>
    <col min="771" max="774" width="12" style="1387" customWidth="1"/>
    <col min="775" max="1024" width="9.140625" style="1387"/>
    <col min="1025" max="1025" width="4.85546875" style="1387" customWidth="1"/>
    <col min="1026" max="1026" width="36" style="1387" customWidth="1"/>
    <col min="1027" max="1030" width="12" style="1387" customWidth="1"/>
    <col min="1031" max="1280" width="9.140625" style="1387"/>
    <col min="1281" max="1281" width="4.85546875" style="1387" customWidth="1"/>
    <col min="1282" max="1282" width="36" style="1387" customWidth="1"/>
    <col min="1283" max="1286" width="12" style="1387" customWidth="1"/>
    <col min="1287" max="1536" width="9.140625" style="1387"/>
    <col min="1537" max="1537" width="4.85546875" style="1387" customWidth="1"/>
    <col min="1538" max="1538" width="36" style="1387" customWidth="1"/>
    <col min="1539" max="1542" width="12" style="1387" customWidth="1"/>
    <col min="1543" max="1792" width="9.140625" style="1387"/>
    <col min="1793" max="1793" width="4.85546875" style="1387" customWidth="1"/>
    <col min="1794" max="1794" width="36" style="1387" customWidth="1"/>
    <col min="1795" max="1798" width="12" style="1387" customWidth="1"/>
    <col min="1799" max="2048" width="9.140625" style="1387"/>
    <col min="2049" max="2049" width="4.85546875" style="1387" customWidth="1"/>
    <col min="2050" max="2050" width="36" style="1387" customWidth="1"/>
    <col min="2051" max="2054" width="12" style="1387" customWidth="1"/>
    <col min="2055" max="2304" width="9.140625" style="1387"/>
    <col min="2305" max="2305" width="4.85546875" style="1387" customWidth="1"/>
    <col min="2306" max="2306" width="36" style="1387" customWidth="1"/>
    <col min="2307" max="2310" width="12" style="1387" customWidth="1"/>
    <col min="2311" max="2560" width="9.140625" style="1387"/>
    <col min="2561" max="2561" width="4.85546875" style="1387" customWidth="1"/>
    <col min="2562" max="2562" width="36" style="1387" customWidth="1"/>
    <col min="2563" max="2566" width="12" style="1387" customWidth="1"/>
    <col min="2567" max="2816" width="9.140625" style="1387"/>
    <col min="2817" max="2817" width="4.85546875" style="1387" customWidth="1"/>
    <col min="2818" max="2818" width="36" style="1387" customWidth="1"/>
    <col min="2819" max="2822" width="12" style="1387" customWidth="1"/>
    <col min="2823" max="3072" width="9.140625" style="1387"/>
    <col min="3073" max="3073" width="4.85546875" style="1387" customWidth="1"/>
    <col min="3074" max="3074" width="36" style="1387" customWidth="1"/>
    <col min="3075" max="3078" width="12" style="1387" customWidth="1"/>
    <col min="3079" max="3328" width="9.140625" style="1387"/>
    <col min="3329" max="3329" width="4.85546875" style="1387" customWidth="1"/>
    <col min="3330" max="3330" width="36" style="1387" customWidth="1"/>
    <col min="3331" max="3334" width="12" style="1387" customWidth="1"/>
    <col min="3335" max="3584" width="9.140625" style="1387"/>
    <col min="3585" max="3585" width="4.85546875" style="1387" customWidth="1"/>
    <col min="3586" max="3586" width="36" style="1387" customWidth="1"/>
    <col min="3587" max="3590" width="12" style="1387" customWidth="1"/>
    <col min="3591" max="3840" width="9.140625" style="1387"/>
    <col min="3841" max="3841" width="4.85546875" style="1387" customWidth="1"/>
    <col min="3842" max="3842" width="36" style="1387" customWidth="1"/>
    <col min="3843" max="3846" width="12" style="1387" customWidth="1"/>
    <col min="3847" max="4096" width="9.140625" style="1387"/>
    <col min="4097" max="4097" width="4.85546875" style="1387" customWidth="1"/>
    <col min="4098" max="4098" width="36" style="1387" customWidth="1"/>
    <col min="4099" max="4102" width="12" style="1387" customWidth="1"/>
    <col min="4103" max="4352" width="9.140625" style="1387"/>
    <col min="4353" max="4353" width="4.85546875" style="1387" customWidth="1"/>
    <col min="4354" max="4354" width="36" style="1387" customWidth="1"/>
    <col min="4355" max="4358" width="12" style="1387" customWidth="1"/>
    <col min="4359" max="4608" width="9.140625" style="1387"/>
    <col min="4609" max="4609" width="4.85546875" style="1387" customWidth="1"/>
    <col min="4610" max="4610" width="36" style="1387" customWidth="1"/>
    <col min="4611" max="4614" width="12" style="1387" customWidth="1"/>
    <col min="4615" max="4864" width="9.140625" style="1387"/>
    <col min="4865" max="4865" width="4.85546875" style="1387" customWidth="1"/>
    <col min="4866" max="4866" width="36" style="1387" customWidth="1"/>
    <col min="4867" max="4870" width="12" style="1387" customWidth="1"/>
    <col min="4871" max="5120" width="9.140625" style="1387"/>
    <col min="5121" max="5121" width="4.85546875" style="1387" customWidth="1"/>
    <col min="5122" max="5122" width="36" style="1387" customWidth="1"/>
    <col min="5123" max="5126" width="12" style="1387" customWidth="1"/>
    <col min="5127" max="5376" width="9.140625" style="1387"/>
    <col min="5377" max="5377" width="4.85546875" style="1387" customWidth="1"/>
    <col min="5378" max="5378" width="36" style="1387" customWidth="1"/>
    <col min="5379" max="5382" width="12" style="1387" customWidth="1"/>
    <col min="5383" max="5632" width="9.140625" style="1387"/>
    <col min="5633" max="5633" width="4.85546875" style="1387" customWidth="1"/>
    <col min="5634" max="5634" width="36" style="1387" customWidth="1"/>
    <col min="5635" max="5638" width="12" style="1387" customWidth="1"/>
    <col min="5639" max="5888" width="9.140625" style="1387"/>
    <col min="5889" max="5889" width="4.85546875" style="1387" customWidth="1"/>
    <col min="5890" max="5890" width="36" style="1387" customWidth="1"/>
    <col min="5891" max="5894" width="12" style="1387" customWidth="1"/>
    <col min="5895" max="6144" width="9.140625" style="1387"/>
    <col min="6145" max="6145" width="4.85546875" style="1387" customWidth="1"/>
    <col min="6146" max="6146" width="36" style="1387" customWidth="1"/>
    <col min="6147" max="6150" width="12" style="1387" customWidth="1"/>
    <col min="6151" max="6400" width="9.140625" style="1387"/>
    <col min="6401" max="6401" width="4.85546875" style="1387" customWidth="1"/>
    <col min="6402" max="6402" width="36" style="1387" customWidth="1"/>
    <col min="6403" max="6406" width="12" style="1387" customWidth="1"/>
    <col min="6407" max="6656" width="9.140625" style="1387"/>
    <col min="6657" max="6657" width="4.85546875" style="1387" customWidth="1"/>
    <col min="6658" max="6658" width="36" style="1387" customWidth="1"/>
    <col min="6659" max="6662" width="12" style="1387" customWidth="1"/>
    <col min="6663" max="6912" width="9.140625" style="1387"/>
    <col min="6913" max="6913" width="4.85546875" style="1387" customWidth="1"/>
    <col min="6914" max="6914" width="36" style="1387" customWidth="1"/>
    <col min="6915" max="6918" width="12" style="1387" customWidth="1"/>
    <col min="6919" max="7168" width="9.140625" style="1387"/>
    <col min="7169" max="7169" width="4.85546875" style="1387" customWidth="1"/>
    <col min="7170" max="7170" width="36" style="1387" customWidth="1"/>
    <col min="7171" max="7174" width="12" style="1387" customWidth="1"/>
    <col min="7175" max="7424" width="9.140625" style="1387"/>
    <col min="7425" max="7425" width="4.85546875" style="1387" customWidth="1"/>
    <col min="7426" max="7426" width="36" style="1387" customWidth="1"/>
    <col min="7427" max="7430" width="12" style="1387" customWidth="1"/>
    <col min="7431" max="7680" width="9.140625" style="1387"/>
    <col min="7681" max="7681" width="4.85546875" style="1387" customWidth="1"/>
    <col min="7682" max="7682" width="36" style="1387" customWidth="1"/>
    <col min="7683" max="7686" width="12" style="1387" customWidth="1"/>
    <col min="7687" max="7936" width="9.140625" style="1387"/>
    <col min="7937" max="7937" width="4.85546875" style="1387" customWidth="1"/>
    <col min="7938" max="7938" width="36" style="1387" customWidth="1"/>
    <col min="7939" max="7942" width="12" style="1387" customWidth="1"/>
    <col min="7943" max="8192" width="9.140625" style="1387"/>
    <col min="8193" max="8193" width="4.85546875" style="1387" customWidth="1"/>
    <col min="8194" max="8194" width="36" style="1387" customWidth="1"/>
    <col min="8195" max="8198" width="12" style="1387" customWidth="1"/>
    <col min="8199" max="8448" width="9.140625" style="1387"/>
    <col min="8449" max="8449" width="4.85546875" style="1387" customWidth="1"/>
    <col min="8450" max="8450" width="36" style="1387" customWidth="1"/>
    <col min="8451" max="8454" width="12" style="1387" customWidth="1"/>
    <col min="8455" max="8704" width="9.140625" style="1387"/>
    <col min="8705" max="8705" width="4.85546875" style="1387" customWidth="1"/>
    <col min="8706" max="8706" width="36" style="1387" customWidth="1"/>
    <col min="8707" max="8710" width="12" style="1387" customWidth="1"/>
    <col min="8711" max="8960" width="9.140625" style="1387"/>
    <col min="8961" max="8961" width="4.85546875" style="1387" customWidth="1"/>
    <col min="8962" max="8962" width="36" style="1387" customWidth="1"/>
    <col min="8963" max="8966" width="12" style="1387" customWidth="1"/>
    <col min="8967" max="9216" width="9.140625" style="1387"/>
    <col min="9217" max="9217" width="4.85546875" style="1387" customWidth="1"/>
    <col min="9218" max="9218" width="36" style="1387" customWidth="1"/>
    <col min="9219" max="9222" width="12" style="1387" customWidth="1"/>
    <col min="9223" max="9472" width="9.140625" style="1387"/>
    <col min="9473" max="9473" width="4.85546875" style="1387" customWidth="1"/>
    <col min="9474" max="9474" width="36" style="1387" customWidth="1"/>
    <col min="9475" max="9478" width="12" style="1387" customWidth="1"/>
    <col min="9479" max="9728" width="9.140625" style="1387"/>
    <col min="9729" max="9729" width="4.85546875" style="1387" customWidth="1"/>
    <col min="9730" max="9730" width="36" style="1387" customWidth="1"/>
    <col min="9731" max="9734" width="12" style="1387" customWidth="1"/>
    <col min="9735" max="9984" width="9.140625" style="1387"/>
    <col min="9985" max="9985" width="4.85546875" style="1387" customWidth="1"/>
    <col min="9986" max="9986" width="36" style="1387" customWidth="1"/>
    <col min="9987" max="9990" width="12" style="1387" customWidth="1"/>
    <col min="9991" max="10240" width="9.140625" style="1387"/>
    <col min="10241" max="10241" width="4.85546875" style="1387" customWidth="1"/>
    <col min="10242" max="10242" width="36" style="1387" customWidth="1"/>
    <col min="10243" max="10246" width="12" style="1387" customWidth="1"/>
    <col min="10247" max="10496" width="9.140625" style="1387"/>
    <col min="10497" max="10497" width="4.85546875" style="1387" customWidth="1"/>
    <col min="10498" max="10498" width="36" style="1387" customWidth="1"/>
    <col min="10499" max="10502" width="12" style="1387" customWidth="1"/>
    <col min="10503" max="10752" width="9.140625" style="1387"/>
    <col min="10753" max="10753" width="4.85546875" style="1387" customWidth="1"/>
    <col min="10754" max="10754" width="36" style="1387" customWidth="1"/>
    <col min="10755" max="10758" width="12" style="1387" customWidth="1"/>
    <col min="10759" max="11008" width="9.140625" style="1387"/>
    <col min="11009" max="11009" width="4.85546875" style="1387" customWidth="1"/>
    <col min="11010" max="11010" width="36" style="1387" customWidth="1"/>
    <col min="11011" max="11014" width="12" style="1387" customWidth="1"/>
    <col min="11015" max="11264" width="9.140625" style="1387"/>
    <col min="11265" max="11265" width="4.85546875" style="1387" customWidth="1"/>
    <col min="11266" max="11266" width="36" style="1387" customWidth="1"/>
    <col min="11267" max="11270" width="12" style="1387" customWidth="1"/>
    <col min="11271" max="11520" width="9.140625" style="1387"/>
    <col min="11521" max="11521" width="4.85546875" style="1387" customWidth="1"/>
    <col min="11522" max="11522" width="36" style="1387" customWidth="1"/>
    <col min="11523" max="11526" width="12" style="1387" customWidth="1"/>
    <col min="11527" max="11776" width="9.140625" style="1387"/>
    <col min="11777" max="11777" width="4.85546875" style="1387" customWidth="1"/>
    <col min="11778" max="11778" width="36" style="1387" customWidth="1"/>
    <col min="11779" max="11782" width="12" style="1387" customWidth="1"/>
    <col min="11783" max="12032" width="9.140625" style="1387"/>
    <col min="12033" max="12033" width="4.85546875" style="1387" customWidth="1"/>
    <col min="12034" max="12034" width="36" style="1387" customWidth="1"/>
    <col min="12035" max="12038" width="12" style="1387" customWidth="1"/>
    <col min="12039" max="12288" width="9.140625" style="1387"/>
    <col min="12289" max="12289" width="4.85546875" style="1387" customWidth="1"/>
    <col min="12290" max="12290" width="36" style="1387" customWidth="1"/>
    <col min="12291" max="12294" width="12" style="1387" customWidth="1"/>
    <col min="12295" max="12544" width="9.140625" style="1387"/>
    <col min="12545" max="12545" width="4.85546875" style="1387" customWidth="1"/>
    <col min="12546" max="12546" width="36" style="1387" customWidth="1"/>
    <col min="12547" max="12550" width="12" style="1387" customWidth="1"/>
    <col min="12551" max="12800" width="9.140625" style="1387"/>
    <col min="12801" max="12801" width="4.85546875" style="1387" customWidth="1"/>
    <col min="12802" max="12802" width="36" style="1387" customWidth="1"/>
    <col min="12803" max="12806" width="12" style="1387" customWidth="1"/>
    <col min="12807" max="13056" width="9.140625" style="1387"/>
    <col min="13057" max="13057" width="4.85546875" style="1387" customWidth="1"/>
    <col min="13058" max="13058" width="36" style="1387" customWidth="1"/>
    <col min="13059" max="13062" width="12" style="1387" customWidth="1"/>
    <col min="13063" max="13312" width="9.140625" style="1387"/>
    <col min="13313" max="13313" width="4.85546875" style="1387" customWidth="1"/>
    <col min="13314" max="13314" width="36" style="1387" customWidth="1"/>
    <col min="13315" max="13318" width="12" style="1387" customWidth="1"/>
    <col min="13319" max="13568" width="9.140625" style="1387"/>
    <col min="13569" max="13569" width="4.85546875" style="1387" customWidth="1"/>
    <col min="13570" max="13570" width="36" style="1387" customWidth="1"/>
    <col min="13571" max="13574" width="12" style="1387" customWidth="1"/>
    <col min="13575" max="13824" width="9.140625" style="1387"/>
    <col min="13825" max="13825" width="4.85546875" style="1387" customWidth="1"/>
    <col min="13826" max="13826" width="36" style="1387" customWidth="1"/>
    <col min="13827" max="13830" width="12" style="1387" customWidth="1"/>
    <col min="13831" max="14080" width="9.140625" style="1387"/>
    <col min="14081" max="14081" width="4.85546875" style="1387" customWidth="1"/>
    <col min="14082" max="14082" width="36" style="1387" customWidth="1"/>
    <col min="14083" max="14086" width="12" style="1387" customWidth="1"/>
    <col min="14087" max="14336" width="9.140625" style="1387"/>
    <col min="14337" max="14337" width="4.85546875" style="1387" customWidth="1"/>
    <col min="14338" max="14338" width="36" style="1387" customWidth="1"/>
    <col min="14339" max="14342" width="12" style="1387" customWidth="1"/>
    <col min="14343" max="14592" width="9.140625" style="1387"/>
    <col min="14593" max="14593" width="4.85546875" style="1387" customWidth="1"/>
    <col min="14594" max="14594" width="36" style="1387" customWidth="1"/>
    <col min="14595" max="14598" width="12" style="1387" customWidth="1"/>
    <col min="14599" max="14848" width="9.140625" style="1387"/>
    <col min="14849" max="14849" width="4.85546875" style="1387" customWidth="1"/>
    <col min="14850" max="14850" width="36" style="1387" customWidth="1"/>
    <col min="14851" max="14854" width="12" style="1387" customWidth="1"/>
    <col min="14855" max="15104" width="9.140625" style="1387"/>
    <col min="15105" max="15105" width="4.85546875" style="1387" customWidth="1"/>
    <col min="15106" max="15106" width="36" style="1387" customWidth="1"/>
    <col min="15107" max="15110" width="12" style="1387" customWidth="1"/>
    <col min="15111" max="15360" width="9.140625" style="1387"/>
    <col min="15361" max="15361" width="4.85546875" style="1387" customWidth="1"/>
    <col min="15362" max="15362" width="36" style="1387" customWidth="1"/>
    <col min="15363" max="15366" width="12" style="1387" customWidth="1"/>
    <col min="15367" max="15616" width="9.140625" style="1387"/>
    <col min="15617" max="15617" width="4.85546875" style="1387" customWidth="1"/>
    <col min="15618" max="15618" width="36" style="1387" customWidth="1"/>
    <col min="15619" max="15622" width="12" style="1387" customWidth="1"/>
    <col min="15623" max="15872" width="9.140625" style="1387"/>
    <col min="15873" max="15873" width="4.85546875" style="1387" customWidth="1"/>
    <col min="15874" max="15874" width="36" style="1387" customWidth="1"/>
    <col min="15875" max="15878" width="12" style="1387" customWidth="1"/>
    <col min="15879" max="16128" width="9.140625" style="1387"/>
    <col min="16129" max="16129" width="4.85546875" style="1387" customWidth="1"/>
    <col min="16130" max="16130" width="36" style="1387" customWidth="1"/>
    <col min="16131" max="16134" width="12" style="1387" customWidth="1"/>
    <col min="16135" max="16384" width="9.140625" style="1387"/>
  </cols>
  <sheetData>
    <row r="1" spans="1:7" ht="33" customHeight="1" x14ac:dyDescent="0.25">
      <c r="A1" s="1824" t="s">
        <v>1070</v>
      </c>
      <c r="B1" s="1824"/>
      <c r="C1" s="1824"/>
      <c r="D1" s="1824"/>
      <c r="E1" s="1824"/>
      <c r="F1" s="1824"/>
    </row>
    <row r="2" spans="1:7" ht="15.95" customHeight="1" thickBot="1" x14ac:dyDescent="0.3">
      <c r="A2" s="1388"/>
      <c r="B2" s="1388"/>
      <c r="C2" s="1825"/>
      <c r="D2" s="1825"/>
      <c r="E2" s="1826" t="s">
        <v>654</v>
      </c>
      <c r="F2" s="1826"/>
      <c r="G2" s="1389"/>
    </row>
    <row r="3" spans="1:7" ht="63" customHeight="1" x14ac:dyDescent="0.25">
      <c r="A3" s="1827" t="s">
        <v>1071</v>
      </c>
      <c r="B3" s="1829" t="s">
        <v>1072</v>
      </c>
      <c r="C3" s="1829" t="s">
        <v>1073</v>
      </c>
      <c r="D3" s="1829"/>
      <c r="E3" s="1829"/>
      <c r="F3" s="1831" t="s">
        <v>1074</v>
      </c>
    </row>
    <row r="4" spans="1:7" ht="15.75" thickBot="1" x14ac:dyDescent="0.3">
      <c r="A4" s="1828"/>
      <c r="B4" s="1830"/>
      <c r="C4" s="1390"/>
      <c r="D4" s="1390" t="s">
        <v>1075</v>
      </c>
      <c r="E4" s="1390" t="s">
        <v>1078</v>
      </c>
      <c r="F4" s="1832"/>
    </row>
    <row r="5" spans="1:7" ht="15.75" thickBot="1" x14ac:dyDescent="0.3">
      <c r="A5" s="1391">
        <v>1</v>
      </c>
      <c r="B5" s="1392">
        <v>2</v>
      </c>
      <c r="C5" s="1392">
        <v>3</v>
      </c>
      <c r="D5" s="1392">
        <v>4</v>
      </c>
      <c r="E5" s="1392">
        <v>5</v>
      </c>
      <c r="F5" s="1393">
        <v>6</v>
      </c>
    </row>
    <row r="6" spans="1:7" x14ac:dyDescent="0.25">
      <c r="A6" s="1394" t="s">
        <v>696</v>
      </c>
      <c r="B6" s="1395" t="s">
        <v>1076</v>
      </c>
      <c r="C6" s="1396"/>
      <c r="D6" s="1396">
        <v>5539458</v>
      </c>
      <c r="E6" s="1396">
        <f>'1.1 Összesítő'!C137</f>
        <v>6713595</v>
      </c>
      <c r="F6" s="1397">
        <f>SUM(C6:E6)</f>
        <v>12253053</v>
      </c>
    </row>
    <row r="7" spans="1:7" x14ac:dyDescent="0.25">
      <c r="A7" s="1398" t="s">
        <v>710</v>
      </c>
      <c r="B7" s="1395" t="s">
        <v>1240</v>
      </c>
      <c r="C7" s="1396"/>
      <c r="D7" s="1396">
        <v>-5539458</v>
      </c>
      <c r="E7" s="1396">
        <v>-6713595</v>
      </c>
      <c r="F7" s="1397">
        <f>SUM(C7:E7)</f>
        <v>-12253053</v>
      </c>
    </row>
    <row r="8" spans="1:7" x14ac:dyDescent="0.25">
      <c r="A8" s="1398" t="s">
        <v>724</v>
      </c>
      <c r="B8" s="1395"/>
      <c r="C8" s="1396"/>
      <c r="D8" s="1396"/>
      <c r="E8" s="1396"/>
      <c r="F8" s="1397">
        <f>SUM(C8:E8)</f>
        <v>0</v>
      </c>
    </row>
    <row r="9" spans="1:7" x14ac:dyDescent="0.25">
      <c r="A9" s="1398" t="s">
        <v>900</v>
      </c>
      <c r="B9" s="1395"/>
      <c r="C9" s="1396"/>
      <c r="D9" s="1396"/>
      <c r="E9" s="1396"/>
      <c r="F9" s="1397">
        <f>SUM(C9:E9)</f>
        <v>0</v>
      </c>
    </row>
    <row r="10" spans="1:7" ht="15.75" thickBot="1" x14ac:dyDescent="0.3">
      <c r="A10" s="1399" t="s">
        <v>753</v>
      </c>
      <c r="B10" s="1400"/>
      <c r="C10" s="1401"/>
      <c r="D10" s="1401"/>
      <c r="E10" s="1401"/>
      <c r="F10" s="1397">
        <f>SUM(C10:E10)</f>
        <v>0</v>
      </c>
    </row>
    <row r="11" spans="1:7" s="1406" customFormat="1" thickBot="1" x14ac:dyDescent="0.25">
      <c r="A11" s="1402" t="s">
        <v>775</v>
      </c>
      <c r="B11" s="1403" t="s">
        <v>1077</v>
      </c>
      <c r="C11" s="1404">
        <f>SUM(C6:C10)</f>
        <v>0</v>
      </c>
      <c r="D11" s="1404">
        <f>SUM(D6:D10)</f>
        <v>0</v>
      </c>
      <c r="E11" s="1404">
        <f>SUM(E6:E10)</f>
        <v>0</v>
      </c>
      <c r="F11" s="1405">
        <f>SUM(F6:F10)</f>
        <v>0</v>
      </c>
    </row>
    <row r="12" spans="1:7" x14ac:dyDescent="0.25">
      <c r="A12" s="1823"/>
      <c r="B12" s="1823"/>
      <c r="C12" s="1823"/>
      <c r="D12" s="1823"/>
      <c r="E12" s="1823"/>
      <c r="F12" s="1823"/>
    </row>
  </sheetData>
  <sheetProtection selectLockedCells="1" selectUnlockedCells="1"/>
  <mergeCells count="8">
    <mergeCell ref="A12:F12"/>
    <mergeCell ref="A1:F1"/>
    <mergeCell ref="C2:D2"/>
    <mergeCell ref="E2:F2"/>
    <mergeCell ref="A3:A4"/>
    <mergeCell ref="B3:B4"/>
    <mergeCell ref="C3:E3"/>
    <mergeCell ref="F3:F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84" orientation="portrait" r:id="rId1"/>
  <headerFooter alignWithMargins="0">
    <oddHeader>&amp;R&amp;"Times New Roman CE,Félkövér dőlt" 3. melléklet a 7/2020 (VII.06.)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D12"/>
  <sheetViews>
    <sheetView view="pageBreakPreview" zoomScale="125" zoomScaleNormal="100" zoomScaleSheetLayoutView="125" workbookViewId="0">
      <selection activeCell="G33" sqref="G33"/>
    </sheetView>
  </sheetViews>
  <sheetFormatPr defaultRowHeight="15" x14ac:dyDescent="0.25"/>
  <cols>
    <col min="1" max="1" width="4.85546875" style="1407" customWidth="1"/>
    <col min="2" max="2" width="58.85546875" style="1407" customWidth="1"/>
    <col min="3" max="3" width="16.7109375" style="1407" customWidth="1"/>
    <col min="4" max="4" width="17.42578125" style="1387" customWidth="1"/>
    <col min="5" max="256" width="9.140625" style="1387"/>
    <col min="257" max="257" width="4.85546875" style="1387" customWidth="1"/>
    <col min="258" max="258" width="58.85546875" style="1387" customWidth="1"/>
    <col min="259" max="259" width="16.7109375" style="1387" customWidth="1"/>
    <col min="260" max="260" width="17.42578125" style="1387" customWidth="1"/>
    <col min="261" max="512" width="9.140625" style="1387"/>
    <col min="513" max="513" width="4.85546875" style="1387" customWidth="1"/>
    <col min="514" max="514" width="58.85546875" style="1387" customWidth="1"/>
    <col min="515" max="515" width="16.7109375" style="1387" customWidth="1"/>
    <col min="516" max="516" width="17.42578125" style="1387" customWidth="1"/>
    <col min="517" max="768" width="9.140625" style="1387"/>
    <col min="769" max="769" width="4.85546875" style="1387" customWidth="1"/>
    <col min="770" max="770" width="58.85546875" style="1387" customWidth="1"/>
    <col min="771" max="771" width="16.7109375" style="1387" customWidth="1"/>
    <col min="772" max="772" width="17.42578125" style="1387" customWidth="1"/>
    <col min="773" max="1024" width="9.140625" style="1387"/>
    <col min="1025" max="1025" width="4.85546875" style="1387" customWidth="1"/>
    <col min="1026" max="1026" width="58.85546875" style="1387" customWidth="1"/>
    <col min="1027" max="1027" width="16.7109375" style="1387" customWidth="1"/>
    <col min="1028" max="1028" width="17.42578125" style="1387" customWidth="1"/>
    <col min="1029" max="1280" width="9.140625" style="1387"/>
    <col min="1281" max="1281" width="4.85546875" style="1387" customWidth="1"/>
    <col min="1282" max="1282" width="58.85546875" style="1387" customWidth="1"/>
    <col min="1283" max="1283" width="16.7109375" style="1387" customWidth="1"/>
    <col min="1284" max="1284" width="17.42578125" style="1387" customWidth="1"/>
    <col min="1285" max="1536" width="9.140625" style="1387"/>
    <col min="1537" max="1537" width="4.85546875" style="1387" customWidth="1"/>
    <col min="1538" max="1538" width="58.85546875" style="1387" customWidth="1"/>
    <col min="1539" max="1539" width="16.7109375" style="1387" customWidth="1"/>
    <col min="1540" max="1540" width="17.42578125" style="1387" customWidth="1"/>
    <col min="1541" max="1792" width="9.140625" style="1387"/>
    <col min="1793" max="1793" width="4.85546875" style="1387" customWidth="1"/>
    <col min="1794" max="1794" width="58.85546875" style="1387" customWidth="1"/>
    <col min="1795" max="1795" width="16.7109375" style="1387" customWidth="1"/>
    <col min="1796" max="1796" width="17.42578125" style="1387" customWidth="1"/>
    <col min="1797" max="2048" width="9.140625" style="1387"/>
    <col min="2049" max="2049" width="4.85546875" style="1387" customWidth="1"/>
    <col min="2050" max="2050" width="58.85546875" style="1387" customWidth="1"/>
    <col min="2051" max="2051" width="16.7109375" style="1387" customWidth="1"/>
    <col min="2052" max="2052" width="17.42578125" style="1387" customWidth="1"/>
    <col min="2053" max="2304" width="9.140625" style="1387"/>
    <col min="2305" max="2305" width="4.85546875" style="1387" customWidth="1"/>
    <col min="2306" max="2306" width="58.85546875" style="1387" customWidth="1"/>
    <col min="2307" max="2307" width="16.7109375" style="1387" customWidth="1"/>
    <col min="2308" max="2308" width="17.42578125" style="1387" customWidth="1"/>
    <col min="2309" max="2560" width="9.140625" style="1387"/>
    <col min="2561" max="2561" width="4.85546875" style="1387" customWidth="1"/>
    <col min="2562" max="2562" width="58.85546875" style="1387" customWidth="1"/>
    <col min="2563" max="2563" width="16.7109375" style="1387" customWidth="1"/>
    <col min="2564" max="2564" width="17.42578125" style="1387" customWidth="1"/>
    <col min="2565" max="2816" width="9.140625" style="1387"/>
    <col min="2817" max="2817" width="4.85546875" style="1387" customWidth="1"/>
    <col min="2818" max="2818" width="58.85546875" style="1387" customWidth="1"/>
    <col min="2819" max="2819" width="16.7109375" style="1387" customWidth="1"/>
    <col min="2820" max="2820" width="17.42578125" style="1387" customWidth="1"/>
    <col min="2821" max="3072" width="9.140625" style="1387"/>
    <col min="3073" max="3073" width="4.85546875" style="1387" customWidth="1"/>
    <col min="3074" max="3074" width="58.85546875" style="1387" customWidth="1"/>
    <col min="3075" max="3075" width="16.7109375" style="1387" customWidth="1"/>
    <col min="3076" max="3076" width="17.42578125" style="1387" customWidth="1"/>
    <col min="3077" max="3328" width="9.140625" style="1387"/>
    <col min="3329" max="3329" width="4.85546875" style="1387" customWidth="1"/>
    <col min="3330" max="3330" width="58.85546875" style="1387" customWidth="1"/>
    <col min="3331" max="3331" width="16.7109375" style="1387" customWidth="1"/>
    <col min="3332" max="3332" width="17.42578125" style="1387" customWidth="1"/>
    <col min="3333" max="3584" width="9.140625" style="1387"/>
    <col min="3585" max="3585" width="4.85546875" style="1387" customWidth="1"/>
    <col min="3586" max="3586" width="58.85546875" style="1387" customWidth="1"/>
    <col min="3587" max="3587" width="16.7109375" style="1387" customWidth="1"/>
    <col min="3588" max="3588" width="17.42578125" style="1387" customWidth="1"/>
    <col min="3589" max="3840" width="9.140625" style="1387"/>
    <col min="3841" max="3841" width="4.85546875" style="1387" customWidth="1"/>
    <col min="3842" max="3842" width="58.85546875" style="1387" customWidth="1"/>
    <col min="3843" max="3843" width="16.7109375" style="1387" customWidth="1"/>
    <col min="3844" max="3844" width="17.42578125" style="1387" customWidth="1"/>
    <col min="3845" max="4096" width="9.140625" style="1387"/>
    <col min="4097" max="4097" width="4.85546875" style="1387" customWidth="1"/>
    <col min="4098" max="4098" width="58.85546875" style="1387" customWidth="1"/>
    <col min="4099" max="4099" width="16.7109375" style="1387" customWidth="1"/>
    <col min="4100" max="4100" width="17.42578125" style="1387" customWidth="1"/>
    <col min="4101" max="4352" width="9.140625" style="1387"/>
    <col min="4353" max="4353" width="4.85546875" style="1387" customWidth="1"/>
    <col min="4354" max="4354" width="58.85546875" style="1387" customWidth="1"/>
    <col min="4355" max="4355" width="16.7109375" style="1387" customWidth="1"/>
    <col min="4356" max="4356" width="17.42578125" style="1387" customWidth="1"/>
    <col min="4357" max="4608" width="9.140625" style="1387"/>
    <col min="4609" max="4609" width="4.85546875" style="1387" customWidth="1"/>
    <col min="4610" max="4610" width="58.85546875" style="1387" customWidth="1"/>
    <col min="4611" max="4611" width="16.7109375" style="1387" customWidth="1"/>
    <col min="4612" max="4612" width="17.42578125" style="1387" customWidth="1"/>
    <col min="4613" max="4864" width="9.140625" style="1387"/>
    <col min="4865" max="4865" width="4.85546875" style="1387" customWidth="1"/>
    <col min="4866" max="4866" width="58.85546875" style="1387" customWidth="1"/>
    <col min="4867" max="4867" width="16.7109375" style="1387" customWidth="1"/>
    <col min="4868" max="4868" width="17.42578125" style="1387" customWidth="1"/>
    <col min="4869" max="5120" width="9.140625" style="1387"/>
    <col min="5121" max="5121" width="4.85546875" style="1387" customWidth="1"/>
    <col min="5122" max="5122" width="58.85546875" style="1387" customWidth="1"/>
    <col min="5123" max="5123" width="16.7109375" style="1387" customWidth="1"/>
    <col min="5124" max="5124" width="17.42578125" style="1387" customWidth="1"/>
    <col min="5125" max="5376" width="9.140625" style="1387"/>
    <col min="5377" max="5377" width="4.85546875" style="1387" customWidth="1"/>
    <col min="5378" max="5378" width="58.85546875" style="1387" customWidth="1"/>
    <col min="5379" max="5379" width="16.7109375" style="1387" customWidth="1"/>
    <col min="5380" max="5380" width="17.42578125" style="1387" customWidth="1"/>
    <col min="5381" max="5632" width="9.140625" style="1387"/>
    <col min="5633" max="5633" width="4.85546875" style="1387" customWidth="1"/>
    <col min="5634" max="5634" width="58.85546875" style="1387" customWidth="1"/>
    <col min="5635" max="5635" width="16.7109375" style="1387" customWidth="1"/>
    <col min="5636" max="5636" width="17.42578125" style="1387" customWidth="1"/>
    <col min="5637" max="5888" width="9.140625" style="1387"/>
    <col min="5889" max="5889" width="4.85546875" style="1387" customWidth="1"/>
    <col min="5890" max="5890" width="58.85546875" style="1387" customWidth="1"/>
    <col min="5891" max="5891" width="16.7109375" style="1387" customWidth="1"/>
    <col min="5892" max="5892" width="17.42578125" style="1387" customWidth="1"/>
    <col min="5893" max="6144" width="9.140625" style="1387"/>
    <col min="6145" max="6145" width="4.85546875" style="1387" customWidth="1"/>
    <col min="6146" max="6146" width="58.85546875" style="1387" customWidth="1"/>
    <col min="6147" max="6147" width="16.7109375" style="1387" customWidth="1"/>
    <col min="6148" max="6148" width="17.42578125" style="1387" customWidth="1"/>
    <col min="6149" max="6400" width="9.140625" style="1387"/>
    <col min="6401" max="6401" width="4.85546875" style="1387" customWidth="1"/>
    <col min="6402" max="6402" width="58.85546875" style="1387" customWidth="1"/>
    <col min="6403" max="6403" width="16.7109375" style="1387" customWidth="1"/>
    <col min="6404" max="6404" width="17.42578125" style="1387" customWidth="1"/>
    <col min="6405" max="6656" width="9.140625" style="1387"/>
    <col min="6657" max="6657" width="4.85546875" style="1387" customWidth="1"/>
    <col min="6658" max="6658" width="58.85546875" style="1387" customWidth="1"/>
    <col min="6659" max="6659" width="16.7109375" style="1387" customWidth="1"/>
    <col min="6660" max="6660" width="17.42578125" style="1387" customWidth="1"/>
    <col min="6661" max="6912" width="9.140625" style="1387"/>
    <col min="6913" max="6913" width="4.85546875" style="1387" customWidth="1"/>
    <col min="6914" max="6914" width="58.85546875" style="1387" customWidth="1"/>
    <col min="6915" max="6915" width="16.7109375" style="1387" customWidth="1"/>
    <col min="6916" max="6916" width="17.42578125" style="1387" customWidth="1"/>
    <col min="6917" max="7168" width="9.140625" style="1387"/>
    <col min="7169" max="7169" width="4.85546875" style="1387" customWidth="1"/>
    <col min="7170" max="7170" width="58.85546875" style="1387" customWidth="1"/>
    <col min="7171" max="7171" width="16.7109375" style="1387" customWidth="1"/>
    <col min="7172" max="7172" width="17.42578125" style="1387" customWidth="1"/>
    <col min="7173" max="7424" width="9.140625" style="1387"/>
    <col min="7425" max="7425" width="4.85546875" style="1387" customWidth="1"/>
    <col min="7426" max="7426" width="58.85546875" style="1387" customWidth="1"/>
    <col min="7427" max="7427" width="16.7109375" style="1387" customWidth="1"/>
    <col min="7428" max="7428" width="17.42578125" style="1387" customWidth="1"/>
    <col min="7429" max="7680" width="9.140625" style="1387"/>
    <col min="7681" max="7681" width="4.85546875" style="1387" customWidth="1"/>
    <col min="7682" max="7682" width="58.85546875" style="1387" customWidth="1"/>
    <col min="7683" max="7683" width="16.7109375" style="1387" customWidth="1"/>
    <col min="7684" max="7684" width="17.42578125" style="1387" customWidth="1"/>
    <col min="7685" max="7936" width="9.140625" style="1387"/>
    <col min="7937" max="7937" width="4.85546875" style="1387" customWidth="1"/>
    <col min="7938" max="7938" width="58.85546875" style="1387" customWidth="1"/>
    <col min="7939" max="7939" width="16.7109375" style="1387" customWidth="1"/>
    <col min="7940" max="7940" width="17.42578125" style="1387" customWidth="1"/>
    <col min="7941" max="8192" width="9.140625" style="1387"/>
    <col min="8193" max="8193" width="4.85546875" style="1387" customWidth="1"/>
    <col min="8194" max="8194" width="58.85546875" style="1387" customWidth="1"/>
    <col min="8195" max="8195" width="16.7109375" style="1387" customWidth="1"/>
    <col min="8196" max="8196" width="17.42578125" style="1387" customWidth="1"/>
    <col min="8197" max="8448" width="9.140625" style="1387"/>
    <col min="8449" max="8449" width="4.85546875" style="1387" customWidth="1"/>
    <col min="8450" max="8450" width="58.85546875" style="1387" customWidth="1"/>
    <col min="8451" max="8451" width="16.7109375" style="1387" customWidth="1"/>
    <col min="8452" max="8452" width="17.42578125" style="1387" customWidth="1"/>
    <col min="8453" max="8704" width="9.140625" style="1387"/>
    <col min="8705" max="8705" width="4.85546875" style="1387" customWidth="1"/>
    <col min="8706" max="8706" width="58.85546875" style="1387" customWidth="1"/>
    <col min="8707" max="8707" width="16.7109375" style="1387" customWidth="1"/>
    <col min="8708" max="8708" width="17.42578125" style="1387" customWidth="1"/>
    <col min="8709" max="8960" width="9.140625" style="1387"/>
    <col min="8961" max="8961" width="4.85546875" style="1387" customWidth="1"/>
    <col min="8962" max="8962" width="58.85546875" style="1387" customWidth="1"/>
    <col min="8963" max="8963" width="16.7109375" style="1387" customWidth="1"/>
    <col min="8964" max="8964" width="17.42578125" style="1387" customWidth="1"/>
    <col min="8965" max="9216" width="9.140625" style="1387"/>
    <col min="9217" max="9217" width="4.85546875" style="1387" customWidth="1"/>
    <col min="9218" max="9218" width="58.85546875" style="1387" customWidth="1"/>
    <col min="9219" max="9219" width="16.7109375" style="1387" customWidth="1"/>
    <col min="9220" max="9220" width="17.42578125" style="1387" customWidth="1"/>
    <col min="9221" max="9472" width="9.140625" style="1387"/>
    <col min="9473" max="9473" width="4.85546875" style="1387" customWidth="1"/>
    <col min="9474" max="9474" width="58.85546875" style="1387" customWidth="1"/>
    <col min="9475" max="9475" width="16.7109375" style="1387" customWidth="1"/>
    <col min="9476" max="9476" width="17.42578125" style="1387" customWidth="1"/>
    <col min="9477" max="9728" width="9.140625" style="1387"/>
    <col min="9729" max="9729" width="4.85546875" style="1387" customWidth="1"/>
    <col min="9730" max="9730" width="58.85546875" style="1387" customWidth="1"/>
    <col min="9731" max="9731" width="16.7109375" style="1387" customWidth="1"/>
    <col min="9732" max="9732" width="17.42578125" style="1387" customWidth="1"/>
    <col min="9733" max="9984" width="9.140625" style="1387"/>
    <col min="9985" max="9985" width="4.85546875" style="1387" customWidth="1"/>
    <col min="9986" max="9986" width="58.85546875" style="1387" customWidth="1"/>
    <col min="9987" max="9987" width="16.7109375" style="1387" customWidth="1"/>
    <col min="9988" max="9988" width="17.42578125" style="1387" customWidth="1"/>
    <col min="9989" max="10240" width="9.140625" style="1387"/>
    <col min="10241" max="10241" width="4.85546875" style="1387" customWidth="1"/>
    <col min="10242" max="10242" width="58.85546875" style="1387" customWidth="1"/>
    <col min="10243" max="10243" width="16.7109375" style="1387" customWidth="1"/>
    <col min="10244" max="10244" width="17.42578125" style="1387" customWidth="1"/>
    <col min="10245" max="10496" width="9.140625" style="1387"/>
    <col min="10497" max="10497" width="4.85546875" style="1387" customWidth="1"/>
    <col min="10498" max="10498" width="58.85546875" style="1387" customWidth="1"/>
    <col min="10499" max="10499" width="16.7109375" style="1387" customWidth="1"/>
    <col min="10500" max="10500" width="17.42578125" style="1387" customWidth="1"/>
    <col min="10501" max="10752" width="9.140625" style="1387"/>
    <col min="10753" max="10753" width="4.85546875" style="1387" customWidth="1"/>
    <col min="10754" max="10754" width="58.85546875" style="1387" customWidth="1"/>
    <col min="10755" max="10755" width="16.7109375" style="1387" customWidth="1"/>
    <col min="10756" max="10756" width="17.42578125" style="1387" customWidth="1"/>
    <col min="10757" max="11008" width="9.140625" style="1387"/>
    <col min="11009" max="11009" width="4.85546875" style="1387" customWidth="1"/>
    <col min="11010" max="11010" width="58.85546875" style="1387" customWidth="1"/>
    <col min="11011" max="11011" width="16.7109375" style="1387" customWidth="1"/>
    <col min="11012" max="11012" width="17.42578125" style="1387" customWidth="1"/>
    <col min="11013" max="11264" width="9.140625" style="1387"/>
    <col min="11265" max="11265" width="4.85546875" style="1387" customWidth="1"/>
    <col min="11266" max="11266" width="58.85546875" style="1387" customWidth="1"/>
    <col min="11267" max="11267" width="16.7109375" style="1387" customWidth="1"/>
    <col min="11268" max="11268" width="17.42578125" style="1387" customWidth="1"/>
    <col min="11269" max="11520" width="9.140625" style="1387"/>
    <col min="11521" max="11521" width="4.85546875" style="1387" customWidth="1"/>
    <col min="11522" max="11522" width="58.85546875" style="1387" customWidth="1"/>
    <col min="11523" max="11523" width="16.7109375" style="1387" customWidth="1"/>
    <col min="11524" max="11524" width="17.42578125" style="1387" customWidth="1"/>
    <col min="11525" max="11776" width="9.140625" style="1387"/>
    <col min="11777" max="11777" width="4.85546875" style="1387" customWidth="1"/>
    <col min="11778" max="11778" width="58.85546875" style="1387" customWidth="1"/>
    <col min="11779" max="11779" width="16.7109375" style="1387" customWidth="1"/>
    <col min="11780" max="11780" width="17.42578125" style="1387" customWidth="1"/>
    <col min="11781" max="12032" width="9.140625" style="1387"/>
    <col min="12033" max="12033" width="4.85546875" style="1387" customWidth="1"/>
    <col min="12034" max="12034" width="58.85546875" style="1387" customWidth="1"/>
    <col min="12035" max="12035" width="16.7109375" style="1387" customWidth="1"/>
    <col min="12036" max="12036" width="17.42578125" style="1387" customWidth="1"/>
    <col min="12037" max="12288" width="9.140625" style="1387"/>
    <col min="12289" max="12289" width="4.85546875" style="1387" customWidth="1"/>
    <col min="12290" max="12290" width="58.85546875" style="1387" customWidth="1"/>
    <col min="12291" max="12291" width="16.7109375" style="1387" customWidth="1"/>
    <col min="12292" max="12292" width="17.42578125" style="1387" customWidth="1"/>
    <col min="12293" max="12544" width="9.140625" style="1387"/>
    <col min="12545" max="12545" width="4.85546875" style="1387" customWidth="1"/>
    <col min="12546" max="12546" width="58.85546875" style="1387" customWidth="1"/>
    <col min="12547" max="12547" width="16.7109375" style="1387" customWidth="1"/>
    <col min="12548" max="12548" width="17.42578125" style="1387" customWidth="1"/>
    <col min="12549" max="12800" width="9.140625" style="1387"/>
    <col min="12801" max="12801" width="4.85546875" style="1387" customWidth="1"/>
    <col min="12802" max="12802" width="58.85546875" style="1387" customWidth="1"/>
    <col min="12803" max="12803" width="16.7109375" style="1387" customWidth="1"/>
    <col min="12804" max="12804" width="17.42578125" style="1387" customWidth="1"/>
    <col min="12805" max="13056" width="9.140625" style="1387"/>
    <col min="13057" max="13057" width="4.85546875" style="1387" customWidth="1"/>
    <col min="13058" max="13058" width="58.85546875" style="1387" customWidth="1"/>
    <col min="13059" max="13059" width="16.7109375" style="1387" customWidth="1"/>
    <col min="13060" max="13060" width="17.42578125" style="1387" customWidth="1"/>
    <col min="13061" max="13312" width="9.140625" style="1387"/>
    <col min="13313" max="13313" width="4.85546875" style="1387" customWidth="1"/>
    <col min="13314" max="13314" width="58.85546875" style="1387" customWidth="1"/>
    <col min="13315" max="13315" width="16.7109375" style="1387" customWidth="1"/>
    <col min="13316" max="13316" width="17.42578125" style="1387" customWidth="1"/>
    <col min="13317" max="13568" width="9.140625" style="1387"/>
    <col min="13569" max="13569" width="4.85546875" style="1387" customWidth="1"/>
    <col min="13570" max="13570" width="58.85546875" style="1387" customWidth="1"/>
    <col min="13571" max="13571" width="16.7109375" style="1387" customWidth="1"/>
    <col min="13572" max="13572" width="17.42578125" style="1387" customWidth="1"/>
    <col min="13573" max="13824" width="9.140625" style="1387"/>
    <col min="13825" max="13825" width="4.85546875" style="1387" customWidth="1"/>
    <col min="13826" max="13826" width="58.85546875" style="1387" customWidth="1"/>
    <col min="13827" max="13827" width="16.7109375" style="1387" customWidth="1"/>
    <col min="13828" max="13828" width="17.42578125" style="1387" customWidth="1"/>
    <col min="13829" max="14080" width="9.140625" style="1387"/>
    <col min="14081" max="14081" width="4.85546875" style="1387" customWidth="1"/>
    <col min="14082" max="14082" width="58.85546875" style="1387" customWidth="1"/>
    <col min="14083" max="14083" width="16.7109375" style="1387" customWidth="1"/>
    <col min="14084" max="14084" width="17.42578125" style="1387" customWidth="1"/>
    <col min="14085" max="14336" width="9.140625" style="1387"/>
    <col min="14337" max="14337" width="4.85546875" style="1387" customWidth="1"/>
    <col min="14338" max="14338" width="58.85546875" style="1387" customWidth="1"/>
    <col min="14339" max="14339" width="16.7109375" style="1387" customWidth="1"/>
    <col min="14340" max="14340" width="17.42578125" style="1387" customWidth="1"/>
    <col min="14341" max="14592" width="9.140625" style="1387"/>
    <col min="14593" max="14593" width="4.85546875" style="1387" customWidth="1"/>
    <col min="14594" max="14594" width="58.85546875" style="1387" customWidth="1"/>
    <col min="14595" max="14595" width="16.7109375" style="1387" customWidth="1"/>
    <col min="14596" max="14596" width="17.42578125" style="1387" customWidth="1"/>
    <col min="14597" max="14848" width="9.140625" style="1387"/>
    <col min="14849" max="14849" width="4.85546875" style="1387" customWidth="1"/>
    <col min="14850" max="14850" width="58.85546875" style="1387" customWidth="1"/>
    <col min="14851" max="14851" width="16.7109375" style="1387" customWidth="1"/>
    <col min="14852" max="14852" width="17.42578125" style="1387" customWidth="1"/>
    <col min="14853" max="15104" width="9.140625" style="1387"/>
    <col min="15105" max="15105" width="4.85546875" style="1387" customWidth="1"/>
    <col min="15106" max="15106" width="58.85546875" style="1387" customWidth="1"/>
    <col min="15107" max="15107" width="16.7109375" style="1387" customWidth="1"/>
    <col min="15108" max="15108" width="17.42578125" style="1387" customWidth="1"/>
    <col min="15109" max="15360" width="9.140625" style="1387"/>
    <col min="15361" max="15361" width="4.85546875" style="1387" customWidth="1"/>
    <col min="15362" max="15362" width="58.85546875" style="1387" customWidth="1"/>
    <col min="15363" max="15363" width="16.7109375" style="1387" customWidth="1"/>
    <col min="15364" max="15364" width="17.42578125" style="1387" customWidth="1"/>
    <col min="15365" max="15616" width="9.140625" style="1387"/>
    <col min="15617" max="15617" width="4.85546875" style="1387" customWidth="1"/>
    <col min="15618" max="15618" width="58.85546875" style="1387" customWidth="1"/>
    <col min="15619" max="15619" width="16.7109375" style="1387" customWidth="1"/>
    <col min="15620" max="15620" width="17.42578125" style="1387" customWidth="1"/>
    <col min="15621" max="15872" width="9.140625" style="1387"/>
    <col min="15873" max="15873" width="4.85546875" style="1387" customWidth="1"/>
    <col min="15874" max="15874" width="58.85546875" style="1387" customWidth="1"/>
    <col min="15875" max="15875" width="16.7109375" style="1387" customWidth="1"/>
    <col min="15876" max="15876" width="17.42578125" style="1387" customWidth="1"/>
    <col min="15877" max="16128" width="9.140625" style="1387"/>
    <col min="16129" max="16129" width="4.85546875" style="1387" customWidth="1"/>
    <col min="16130" max="16130" width="58.85546875" style="1387" customWidth="1"/>
    <col min="16131" max="16131" width="16.7109375" style="1387" customWidth="1"/>
    <col min="16132" max="16132" width="17.42578125" style="1387" customWidth="1"/>
    <col min="16133" max="16384" width="9.140625" style="1387"/>
  </cols>
  <sheetData>
    <row r="1" spans="1:4" ht="33" customHeight="1" x14ac:dyDescent="0.25">
      <c r="A1" s="1824" t="s">
        <v>1079</v>
      </c>
      <c r="B1" s="1824"/>
      <c r="C1" s="1824"/>
      <c r="D1" s="1824"/>
    </row>
    <row r="2" spans="1:4" ht="15.95" customHeight="1" thickBot="1" x14ac:dyDescent="0.3">
      <c r="A2" s="1388"/>
      <c r="B2" s="1388"/>
      <c r="C2" s="1833" t="s">
        <v>654</v>
      </c>
      <c r="D2" s="1833"/>
    </row>
    <row r="3" spans="1:4" ht="26.25" customHeight="1" thickBot="1" x14ac:dyDescent="0.3">
      <c r="A3" s="1408" t="s">
        <v>1071</v>
      </c>
      <c r="B3" s="1409" t="s">
        <v>1080</v>
      </c>
      <c r="C3" s="1410" t="s">
        <v>927</v>
      </c>
      <c r="D3" s="1411" t="s">
        <v>928</v>
      </c>
    </row>
    <row r="4" spans="1:4" ht="15.75" thickBot="1" x14ac:dyDescent="0.3">
      <c r="A4" s="1412">
        <v>1</v>
      </c>
      <c r="B4" s="1413">
        <v>2</v>
      </c>
      <c r="C4" s="1414">
        <v>3</v>
      </c>
      <c r="D4" s="1415">
        <v>4</v>
      </c>
    </row>
    <row r="5" spans="1:4" x14ac:dyDescent="0.25">
      <c r="A5" s="1416" t="s">
        <v>696</v>
      </c>
      <c r="B5" s="1417" t="s">
        <v>1081</v>
      </c>
      <c r="C5" s="1418">
        <f>'1.1 Összesítő'!C30</f>
        <v>90740000</v>
      </c>
      <c r="D5" s="1419">
        <f>'1.1 Összesítő'!D30</f>
        <v>79740000</v>
      </c>
    </row>
    <row r="6" spans="1:4" ht="24.75" x14ac:dyDescent="0.25">
      <c r="A6" s="1420" t="s">
        <v>710</v>
      </c>
      <c r="B6" s="1421" t="s">
        <v>1082</v>
      </c>
      <c r="C6" s="1422"/>
      <c r="D6" s="1423"/>
    </row>
    <row r="7" spans="1:4" x14ac:dyDescent="0.25">
      <c r="A7" s="1420" t="s">
        <v>724</v>
      </c>
      <c r="B7" s="1424" t="s">
        <v>1083</v>
      </c>
      <c r="C7" s="1422"/>
      <c r="D7" s="1423"/>
    </row>
    <row r="8" spans="1:4" ht="24.75" x14ac:dyDescent="0.25">
      <c r="A8" s="1420" t="s">
        <v>900</v>
      </c>
      <c r="B8" s="1424" t="s">
        <v>1084</v>
      </c>
      <c r="C8" s="1422"/>
      <c r="D8" s="1423"/>
    </row>
    <row r="9" spans="1:4" x14ac:dyDescent="0.25">
      <c r="A9" s="1425" t="s">
        <v>753</v>
      </c>
      <c r="B9" s="1424" t="s">
        <v>1085</v>
      </c>
      <c r="C9" s="1426">
        <f>'1.1 Összesítő'!C36</f>
        <v>700000</v>
      </c>
      <c r="D9" s="1423">
        <f>'1.1 Összesítő'!D36</f>
        <v>700000</v>
      </c>
    </row>
    <row r="10" spans="1:4" ht="15.75" thickBot="1" x14ac:dyDescent="0.3">
      <c r="A10" s="1420" t="s">
        <v>775</v>
      </c>
      <c r="B10" s="1427" t="s">
        <v>1086</v>
      </c>
      <c r="C10" s="1422"/>
      <c r="D10" s="1428"/>
    </row>
    <row r="11" spans="1:4" ht="15.75" thickBot="1" x14ac:dyDescent="0.3">
      <c r="A11" s="1834" t="s">
        <v>1087</v>
      </c>
      <c r="B11" s="1835"/>
      <c r="C11" s="1429">
        <f>SUM(C5:C10)</f>
        <v>91440000</v>
      </c>
      <c r="D11" s="1430">
        <f>SUM(D5:D10)</f>
        <v>80440000</v>
      </c>
    </row>
    <row r="12" spans="1:4" ht="23.25" customHeight="1" x14ac:dyDescent="0.25">
      <c r="A12" s="1836"/>
      <c r="B12" s="1836"/>
      <c r="C12" s="1836"/>
    </row>
  </sheetData>
  <sheetProtection selectLockedCells="1" selectUnlockedCells="1"/>
  <mergeCells count="4">
    <mergeCell ref="A1:D1"/>
    <mergeCell ref="C2:D2"/>
    <mergeCell ref="A11:B11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>
    <oddHeader>&amp;R&amp;"Times New Roman CE,Félkövér dőlt"4. melléklet a 7/2020 (VII.06.)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F30"/>
  <sheetViews>
    <sheetView view="pageBreakPreview" zoomScaleNormal="100" zoomScaleSheetLayoutView="100" workbookViewId="0">
      <selection activeCell="G33" sqref="G33"/>
    </sheetView>
  </sheetViews>
  <sheetFormatPr defaultRowHeight="12.75" x14ac:dyDescent="0.25"/>
  <cols>
    <col min="1" max="1" width="30.7109375" style="1431" customWidth="1"/>
    <col min="2" max="2" width="13.42578125" style="1245" customWidth="1"/>
    <col min="3" max="3" width="14" style="1245" customWidth="1"/>
    <col min="4" max="4" width="15.42578125" style="1245" customWidth="1"/>
    <col min="5" max="5" width="14.28515625" style="1245" customWidth="1"/>
    <col min="6" max="6" width="16.140625" style="1245" customWidth="1"/>
    <col min="7" max="8" width="11" style="1245" customWidth="1"/>
    <col min="9" max="9" width="11.85546875" style="1245" customWidth="1"/>
    <col min="10" max="256" width="9.140625" style="1245"/>
    <col min="257" max="257" width="24.28515625" style="1245" customWidth="1"/>
    <col min="258" max="258" width="13.42578125" style="1245" customWidth="1"/>
    <col min="259" max="259" width="14" style="1245" customWidth="1"/>
    <col min="260" max="260" width="15.42578125" style="1245" customWidth="1"/>
    <col min="261" max="261" width="14.28515625" style="1245" customWidth="1"/>
    <col min="262" max="262" width="16.140625" style="1245" customWidth="1"/>
    <col min="263" max="264" width="11" style="1245" customWidth="1"/>
    <col min="265" max="265" width="11.85546875" style="1245" customWidth="1"/>
    <col min="266" max="512" width="9.140625" style="1245"/>
    <col min="513" max="513" width="24.28515625" style="1245" customWidth="1"/>
    <col min="514" max="514" width="13.42578125" style="1245" customWidth="1"/>
    <col min="515" max="515" width="14" style="1245" customWidth="1"/>
    <col min="516" max="516" width="15.42578125" style="1245" customWidth="1"/>
    <col min="517" max="517" width="14.28515625" style="1245" customWidth="1"/>
    <col min="518" max="518" width="16.140625" style="1245" customWidth="1"/>
    <col min="519" max="520" width="11" style="1245" customWidth="1"/>
    <col min="521" max="521" width="11.85546875" style="1245" customWidth="1"/>
    <col min="522" max="768" width="9.140625" style="1245"/>
    <col min="769" max="769" width="24.28515625" style="1245" customWidth="1"/>
    <col min="770" max="770" width="13.42578125" style="1245" customWidth="1"/>
    <col min="771" max="771" width="14" style="1245" customWidth="1"/>
    <col min="772" max="772" width="15.42578125" style="1245" customWidth="1"/>
    <col min="773" max="773" width="14.28515625" style="1245" customWidth="1"/>
    <col min="774" max="774" width="16.140625" style="1245" customWidth="1"/>
    <col min="775" max="776" width="11" style="1245" customWidth="1"/>
    <col min="777" max="777" width="11.85546875" style="1245" customWidth="1"/>
    <col min="778" max="1024" width="9.140625" style="1245"/>
    <col min="1025" max="1025" width="24.28515625" style="1245" customWidth="1"/>
    <col min="1026" max="1026" width="13.42578125" style="1245" customWidth="1"/>
    <col min="1027" max="1027" width="14" style="1245" customWidth="1"/>
    <col min="1028" max="1028" width="15.42578125" style="1245" customWidth="1"/>
    <col min="1029" max="1029" width="14.28515625" style="1245" customWidth="1"/>
    <col min="1030" max="1030" width="16.140625" style="1245" customWidth="1"/>
    <col min="1031" max="1032" width="11" style="1245" customWidth="1"/>
    <col min="1033" max="1033" width="11.85546875" style="1245" customWidth="1"/>
    <col min="1034" max="1280" width="9.140625" style="1245"/>
    <col min="1281" max="1281" width="24.28515625" style="1245" customWidth="1"/>
    <col min="1282" max="1282" width="13.42578125" style="1245" customWidth="1"/>
    <col min="1283" max="1283" width="14" style="1245" customWidth="1"/>
    <col min="1284" max="1284" width="15.42578125" style="1245" customWidth="1"/>
    <col min="1285" max="1285" width="14.28515625" style="1245" customWidth="1"/>
    <col min="1286" max="1286" width="16.140625" style="1245" customWidth="1"/>
    <col min="1287" max="1288" width="11" style="1245" customWidth="1"/>
    <col min="1289" max="1289" width="11.85546875" style="1245" customWidth="1"/>
    <col min="1290" max="1536" width="9.140625" style="1245"/>
    <col min="1537" max="1537" width="24.28515625" style="1245" customWidth="1"/>
    <col min="1538" max="1538" width="13.42578125" style="1245" customWidth="1"/>
    <col min="1539" max="1539" width="14" style="1245" customWidth="1"/>
    <col min="1540" max="1540" width="15.42578125" style="1245" customWidth="1"/>
    <col min="1541" max="1541" width="14.28515625" style="1245" customWidth="1"/>
    <col min="1542" max="1542" width="16.140625" style="1245" customWidth="1"/>
    <col min="1543" max="1544" width="11" style="1245" customWidth="1"/>
    <col min="1545" max="1545" width="11.85546875" style="1245" customWidth="1"/>
    <col min="1546" max="1792" width="9.140625" style="1245"/>
    <col min="1793" max="1793" width="24.28515625" style="1245" customWidth="1"/>
    <col min="1794" max="1794" width="13.42578125" style="1245" customWidth="1"/>
    <col min="1795" max="1795" width="14" style="1245" customWidth="1"/>
    <col min="1796" max="1796" width="15.42578125" style="1245" customWidth="1"/>
    <col min="1797" max="1797" width="14.28515625" style="1245" customWidth="1"/>
    <col min="1798" max="1798" width="16.140625" style="1245" customWidth="1"/>
    <col min="1799" max="1800" width="11" style="1245" customWidth="1"/>
    <col min="1801" max="1801" width="11.85546875" style="1245" customWidth="1"/>
    <col min="1802" max="2048" width="9.140625" style="1245"/>
    <col min="2049" max="2049" width="24.28515625" style="1245" customWidth="1"/>
    <col min="2050" max="2050" width="13.42578125" style="1245" customWidth="1"/>
    <col min="2051" max="2051" width="14" style="1245" customWidth="1"/>
    <col min="2052" max="2052" width="15.42578125" style="1245" customWidth="1"/>
    <col min="2053" max="2053" width="14.28515625" style="1245" customWidth="1"/>
    <col min="2054" max="2054" width="16.140625" style="1245" customWidth="1"/>
    <col min="2055" max="2056" width="11" style="1245" customWidth="1"/>
    <col min="2057" max="2057" width="11.85546875" style="1245" customWidth="1"/>
    <col min="2058" max="2304" width="9.140625" style="1245"/>
    <col min="2305" max="2305" width="24.28515625" style="1245" customWidth="1"/>
    <col min="2306" max="2306" width="13.42578125" style="1245" customWidth="1"/>
    <col min="2307" max="2307" width="14" style="1245" customWidth="1"/>
    <col min="2308" max="2308" width="15.42578125" style="1245" customWidth="1"/>
    <col min="2309" max="2309" width="14.28515625" style="1245" customWidth="1"/>
    <col min="2310" max="2310" width="16.140625" style="1245" customWidth="1"/>
    <col min="2311" max="2312" width="11" style="1245" customWidth="1"/>
    <col min="2313" max="2313" width="11.85546875" style="1245" customWidth="1"/>
    <col min="2314" max="2560" width="9.140625" style="1245"/>
    <col min="2561" max="2561" width="24.28515625" style="1245" customWidth="1"/>
    <col min="2562" max="2562" width="13.42578125" style="1245" customWidth="1"/>
    <col min="2563" max="2563" width="14" style="1245" customWidth="1"/>
    <col min="2564" max="2564" width="15.42578125" style="1245" customWidth="1"/>
    <col min="2565" max="2565" width="14.28515625" style="1245" customWidth="1"/>
    <col min="2566" max="2566" width="16.140625" style="1245" customWidth="1"/>
    <col min="2567" max="2568" width="11" style="1245" customWidth="1"/>
    <col min="2569" max="2569" width="11.85546875" style="1245" customWidth="1"/>
    <col min="2570" max="2816" width="9.140625" style="1245"/>
    <col min="2817" max="2817" width="24.28515625" style="1245" customWidth="1"/>
    <col min="2818" max="2818" width="13.42578125" style="1245" customWidth="1"/>
    <col min="2819" max="2819" width="14" style="1245" customWidth="1"/>
    <col min="2820" max="2820" width="15.42578125" style="1245" customWidth="1"/>
    <col min="2821" max="2821" width="14.28515625" style="1245" customWidth="1"/>
    <col min="2822" max="2822" width="16.140625" style="1245" customWidth="1"/>
    <col min="2823" max="2824" width="11" style="1245" customWidth="1"/>
    <col min="2825" max="2825" width="11.85546875" style="1245" customWidth="1"/>
    <col min="2826" max="3072" width="9.140625" style="1245"/>
    <col min="3073" max="3073" width="24.28515625" style="1245" customWidth="1"/>
    <col min="3074" max="3074" width="13.42578125" style="1245" customWidth="1"/>
    <col min="3075" max="3075" width="14" style="1245" customWidth="1"/>
    <col min="3076" max="3076" width="15.42578125" style="1245" customWidth="1"/>
    <col min="3077" max="3077" width="14.28515625" style="1245" customWidth="1"/>
    <col min="3078" max="3078" width="16.140625" style="1245" customWidth="1"/>
    <col min="3079" max="3080" width="11" style="1245" customWidth="1"/>
    <col min="3081" max="3081" width="11.85546875" style="1245" customWidth="1"/>
    <col min="3082" max="3328" width="9.140625" style="1245"/>
    <col min="3329" max="3329" width="24.28515625" style="1245" customWidth="1"/>
    <col min="3330" max="3330" width="13.42578125" style="1245" customWidth="1"/>
    <col min="3331" max="3331" width="14" style="1245" customWidth="1"/>
    <col min="3332" max="3332" width="15.42578125" style="1245" customWidth="1"/>
    <col min="3333" max="3333" width="14.28515625" style="1245" customWidth="1"/>
    <col min="3334" max="3334" width="16.140625" style="1245" customWidth="1"/>
    <col min="3335" max="3336" width="11" style="1245" customWidth="1"/>
    <col min="3337" max="3337" width="11.85546875" style="1245" customWidth="1"/>
    <col min="3338" max="3584" width="9.140625" style="1245"/>
    <col min="3585" max="3585" width="24.28515625" style="1245" customWidth="1"/>
    <col min="3586" max="3586" width="13.42578125" style="1245" customWidth="1"/>
    <col min="3587" max="3587" width="14" style="1245" customWidth="1"/>
    <col min="3588" max="3588" width="15.42578125" style="1245" customWidth="1"/>
    <col min="3589" max="3589" width="14.28515625" style="1245" customWidth="1"/>
    <col min="3590" max="3590" width="16.140625" style="1245" customWidth="1"/>
    <col min="3591" max="3592" width="11" style="1245" customWidth="1"/>
    <col min="3593" max="3593" width="11.85546875" style="1245" customWidth="1"/>
    <col min="3594" max="3840" width="9.140625" style="1245"/>
    <col min="3841" max="3841" width="24.28515625" style="1245" customWidth="1"/>
    <col min="3842" max="3842" width="13.42578125" style="1245" customWidth="1"/>
    <col min="3843" max="3843" width="14" style="1245" customWidth="1"/>
    <col min="3844" max="3844" width="15.42578125" style="1245" customWidth="1"/>
    <col min="3845" max="3845" width="14.28515625" style="1245" customWidth="1"/>
    <col min="3846" max="3846" width="16.140625" style="1245" customWidth="1"/>
    <col min="3847" max="3848" width="11" style="1245" customWidth="1"/>
    <col min="3849" max="3849" width="11.85546875" style="1245" customWidth="1"/>
    <col min="3850" max="4096" width="9.140625" style="1245"/>
    <col min="4097" max="4097" width="24.28515625" style="1245" customWidth="1"/>
    <col min="4098" max="4098" width="13.42578125" style="1245" customWidth="1"/>
    <col min="4099" max="4099" width="14" style="1245" customWidth="1"/>
    <col min="4100" max="4100" width="15.42578125" style="1245" customWidth="1"/>
    <col min="4101" max="4101" width="14.28515625" style="1245" customWidth="1"/>
    <col min="4102" max="4102" width="16.140625" style="1245" customWidth="1"/>
    <col min="4103" max="4104" width="11" style="1245" customWidth="1"/>
    <col min="4105" max="4105" width="11.85546875" style="1245" customWidth="1"/>
    <col min="4106" max="4352" width="9.140625" style="1245"/>
    <col min="4353" max="4353" width="24.28515625" style="1245" customWidth="1"/>
    <col min="4354" max="4354" width="13.42578125" style="1245" customWidth="1"/>
    <col min="4355" max="4355" width="14" style="1245" customWidth="1"/>
    <col min="4356" max="4356" width="15.42578125" style="1245" customWidth="1"/>
    <col min="4357" max="4357" width="14.28515625" style="1245" customWidth="1"/>
    <col min="4358" max="4358" width="16.140625" style="1245" customWidth="1"/>
    <col min="4359" max="4360" width="11" style="1245" customWidth="1"/>
    <col min="4361" max="4361" width="11.85546875" style="1245" customWidth="1"/>
    <col min="4362" max="4608" width="9.140625" style="1245"/>
    <col min="4609" max="4609" width="24.28515625" style="1245" customWidth="1"/>
    <col min="4610" max="4610" width="13.42578125" style="1245" customWidth="1"/>
    <col min="4611" max="4611" width="14" style="1245" customWidth="1"/>
    <col min="4612" max="4612" width="15.42578125" style="1245" customWidth="1"/>
    <col min="4613" max="4613" width="14.28515625" style="1245" customWidth="1"/>
    <col min="4614" max="4614" width="16.140625" style="1245" customWidth="1"/>
    <col min="4615" max="4616" width="11" style="1245" customWidth="1"/>
    <col min="4617" max="4617" width="11.85546875" style="1245" customWidth="1"/>
    <col min="4618" max="4864" width="9.140625" style="1245"/>
    <col min="4865" max="4865" width="24.28515625" style="1245" customWidth="1"/>
    <col min="4866" max="4866" width="13.42578125" style="1245" customWidth="1"/>
    <col min="4867" max="4867" width="14" style="1245" customWidth="1"/>
    <col min="4868" max="4868" width="15.42578125" style="1245" customWidth="1"/>
    <col min="4869" max="4869" width="14.28515625" style="1245" customWidth="1"/>
    <col min="4870" max="4870" width="16.140625" style="1245" customWidth="1"/>
    <col min="4871" max="4872" width="11" style="1245" customWidth="1"/>
    <col min="4873" max="4873" width="11.85546875" style="1245" customWidth="1"/>
    <col min="4874" max="5120" width="9.140625" style="1245"/>
    <col min="5121" max="5121" width="24.28515625" style="1245" customWidth="1"/>
    <col min="5122" max="5122" width="13.42578125" style="1245" customWidth="1"/>
    <col min="5123" max="5123" width="14" style="1245" customWidth="1"/>
    <col min="5124" max="5124" width="15.42578125" style="1245" customWidth="1"/>
    <col min="5125" max="5125" width="14.28515625" style="1245" customWidth="1"/>
    <col min="5126" max="5126" width="16.140625" style="1245" customWidth="1"/>
    <col min="5127" max="5128" width="11" style="1245" customWidth="1"/>
    <col min="5129" max="5129" width="11.85546875" style="1245" customWidth="1"/>
    <col min="5130" max="5376" width="9.140625" style="1245"/>
    <col min="5377" max="5377" width="24.28515625" style="1245" customWidth="1"/>
    <col min="5378" max="5378" width="13.42578125" style="1245" customWidth="1"/>
    <col min="5379" max="5379" width="14" style="1245" customWidth="1"/>
    <col min="5380" max="5380" width="15.42578125" style="1245" customWidth="1"/>
    <col min="5381" max="5381" width="14.28515625" style="1245" customWidth="1"/>
    <col min="5382" max="5382" width="16.140625" style="1245" customWidth="1"/>
    <col min="5383" max="5384" width="11" style="1245" customWidth="1"/>
    <col min="5385" max="5385" width="11.85546875" style="1245" customWidth="1"/>
    <col min="5386" max="5632" width="9.140625" style="1245"/>
    <col min="5633" max="5633" width="24.28515625" style="1245" customWidth="1"/>
    <col min="5634" max="5634" width="13.42578125" style="1245" customWidth="1"/>
    <col min="5635" max="5635" width="14" style="1245" customWidth="1"/>
    <col min="5636" max="5636" width="15.42578125" style="1245" customWidth="1"/>
    <col min="5637" max="5637" width="14.28515625" style="1245" customWidth="1"/>
    <col min="5638" max="5638" width="16.140625" style="1245" customWidth="1"/>
    <col min="5639" max="5640" width="11" style="1245" customWidth="1"/>
    <col min="5641" max="5641" width="11.85546875" style="1245" customWidth="1"/>
    <col min="5642" max="5888" width="9.140625" style="1245"/>
    <col min="5889" max="5889" width="24.28515625" style="1245" customWidth="1"/>
    <col min="5890" max="5890" width="13.42578125" style="1245" customWidth="1"/>
    <col min="5891" max="5891" width="14" style="1245" customWidth="1"/>
    <col min="5892" max="5892" width="15.42578125" style="1245" customWidth="1"/>
    <col min="5893" max="5893" width="14.28515625" style="1245" customWidth="1"/>
    <col min="5894" max="5894" width="16.140625" style="1245" customWidth="1"/>
    <col min="5895" max="5896" width="11" style="1245" customWidth="1"/>
    <col min="5897" max="5897" width="11.85546875" style="1245" customWidth="1"/>
    <col min="5898" max="6144" width="9.140625" style="1245"/>
    <col min="6145" max="6145" width="24.28515625" style="1245" customWidth="1"/>
    <col min="6146" max="6146" width="13.42578125" style="1245" customWidth="1"/>
    <col min="6147" max="6147" width="14" style="1245" customWidth="1"/>
    <col min="6148" max="6148" width="15.42578125" style="1245" customWidth="1"/>
    <col min="6149" max="6149" width="14.28515625" style="1245" customWidth="1"/>
    <col min="6150" max="6150" width="16.140625" style="1245" customWidth="1"/>
    <col min="6151" max="6152" width="11" style="1245" customWidth="1"/>
    <col min="6153" max="6153" width="11.85546875" style="1245" customWidth="1"/>
    <col min="6154" max="6400" width="9.140625" style="1245"/>
    <col min="6401" max="6401" width="24.28515625" style="1245" customWidth="1"/>
    <col min="6402" max="6402" width="13.42578125" style="1245" customWidth="1"/>
    <col min="6403" max="6403" width="14" style="1245" customWidth="1"/>
    <col min="6404" max="6404" width="15.42578125" style="1245" customWidth="1"/>
    <col min="6405" max="6405" width="14.28515625" style="1245" customWidth="1"/>
    <col min="6406" max="6406" width="16.140625" style="1245" customWidth="1"/>
    <col min="6407" max="6408" width="11" style="1245" customWidth="1"/>
    <col min="6409" max="6409" width="11.85546875" style="1245" customWidth="1"/>
    <col min="6410" max="6656" width="9.140625" style="1245"/>
    <col min="6657" max="6657" width="24.28515625" style="1245" customWidth="1"/>
    <col min="6658" max="6658" width="13.42578125" style="1245" customWidth="1"/>
    <col min="6659" max="6659" width="14" style="1245" customWidth="1"/>
    <col min="6660" max="6660" width="15.42578125" style="1245" customWidth="1"/>
    <col min="6661" max="6661" width="14.28515625" style="1245" customWidth="1"/>
    <col min="6662" max="6662" width="16.140625" style="1245" customWidth="1"/>
    <col min="6663" max="6664" width="11" style="1245" customWidth="1"/>
    <col min="6665" max="6665" width="11.85546875" style="1245" customWidth="1"/>
    <col min="6666" max="6912" width="9.140625" style="1245"/>
    <col min="6913" max="6913" width="24.28515625" style="1245" customWidth="1"/>
    <col min="6914" max="6914" width="13.42578125" style="1245" customWidth="1"/>
    <col min="6915" max="6915" width="14" style="1245" customWidth="1"/>
    <col min="6916" max="6916" width="15.42578125" style="1245" customWidth="1"/>
    <col min="6917" max="6917" width="14.28515625" style="1245" customWidth="1"/>
    <col min="6918" max="6918" width="16.140625" style="1245" customWidth="1"/>
    <col min="6919" max="6920" width="11" style="1245" customWidth="1"/>
    <col min="6921" max="6921" width="11.85546875" style="1245" customWidth="1"/>
    <col min="6922" max="7168" width="9.140625" style="1245"/>
    <col min="7169" max="7169" width="24.28515625" style="1245" customWidth="1"/>
    <col min="7170" max="7170" width="13.42578125" style="1245" customWidth="1"/>
    <col min="7171" max="7171" width="14" style="1245" customWidth="1"/>
    <col min="7172" max="7172" width="15.42578125" style="1245" customWidth="1"/>
    <col min="7173" max="7173" width="14.28515625" style="1245" customWidth="1"/>
    <col min="7174" max="7174" width="16.140625" style="1245" customWidth="1"/>
    <col min="7175" max="7176" width="11" style="1245" customWidth="1"/>
    <col min="7177" max="7177" width="11.85546875" style="1245" customWidth="1"/>
    <col min="7178" max="7424" width="9.140625" style="1245"/>
    <col min="7425" max="7425" width="24.28515625" style="1245" customWidth="1"/>
    <col min="7426" max="7426" width="13.42578125" style="1245" customWidth="1"/>
    <col min="7427" max="7427" width="14" style="1245" customWidth="1"/>
    <col min="7428" max="7428" width="15.42578125" style="1245" customWidth="1"/>
    <col min="7429" max="7429" width="14.28515625" style="1245" customWidth="1"/>
    <col min="7430" max="7430" width="16.140625" style="1245" customWidth="1"/>
    <col min="7431" max="7432" width="11" style="1245" customWidth="1"/>
    <col min="7433" max="7433" width="11.85546875" style="1245" customWidth="1"/>
    <col min="7434" max="7680" width="9.140625" style="1245"/>
    <col min="7681" max="7681" width="24.28515625" style="1245" customWidth="1"/>
    <col min="7682" max="7682" width="13.42578125" style="1245" customWidth="1"/>
    <col min="7683" max="7683" width="14" style="1245" customWidth="1"/>
    <col min="7684" max="7684" width="15.42578125" style="1245" customWidth="1"/>
    <col min="7685" max="7685" width="14.28515625" style="1245" customWidth="1"/>
    <col min="7686" max="7686" width="16.140625" style="1245" customWidth="1"/>
    <col min="7687" max="7688" width="11" style="1245" customWidth="1"/>
    <col min="7689" max="7689" width="11.85546875" style="1245" customWidth="1"/>
    <col min="7690" max="7936" width="9.140625" style="1245"/>
    <col min="7937" max="7937" width="24.28515625" style="1245" customWidth="1"/>
    <col min="7938" max="7938" width="13.42578125" style="1245" customWidth="1"/>
    <col min="7939" max="7939" width="14" style="1245" customWidth="1"/>
    <col min="7940" max="7940" width="15.42578125" style="1245" customWidth="1"/>
    <col min="7941" max="7941" width="14.28515625" style="1245" customWidth="1"/>
    <col min="7942" max="7942" width="16.140625" style="1245" customWidth="1"/>
    <col min="7943" max="7944" width="11" style="1245" customWidth="1"/>
    <col min="7945" max="7945" width="11.85546875" style="1245" customWidth="1"/>
    <col min="7946" max="8192" width="9.140625" style="1245"/>
    <col min="8193" max="8193" width="24.28515625" style="1245" customWidth="1"/>
    <col min="8194" max="8194" width="13.42578125" style="1245" customWidth="1"/>
    <col min="8195" max="8195" width="14" style="1245" customWidth="1"/>
    <col min="8196" max="8196" width="15.42578125" style="1245" customWidth="1"/>
    <col min="8197" max="8197" width="14.28515625" style="1245" customWidth="1"/>
    <col min="8198" max="8198" width="16.140625" style="1245" customWidth="1"/>
    <col min="8199" max="8200" width="11" style="1245" customWidth="1"/>
    <col min="8201" max="8201" width="11.85546875" style="1245" customWidth="1"/>
    <col min="8202" max="8448" width="9.140625" style="1245"/>
    <col min="8449" max="8449" width="24.28515625" style="1245" customWidth="1"/>
    <col min="8450" max="8450" width="13.42578125" style="1245" customWidth="1"/>
    <col min="8451" max="8451" width="14" style="1245" customWidth="1"/>
    <col min="8452" max="8452" width="15.42578125" style="1245" customWidth="1"/>
    <col min="8453" max="8453" width="14.28515625" style="1245" customWidth="1"/>
    <col min="8454" max="8454" width="16.140625" style="1245" customWidth="1"/>
    <col min="8455" max="8456" width="11" style="1245" customWidth="1"/>
    <col min="8457" max="8457" width="11.85546875" style="1245" customWidth="1"/>
    <col min="8458" max="8704" width="9.140625" style="1245"/>
    <col min="8705" max="8705" width="24.28515625" style="1245" customWidth="1"/>
    <col min="8706" max="8706" width="13.42578125" style="1245" customWidth="1"/>
    <col min="8707" max="8707" width="14" style="1245" customWidth="1"/>
    <col min="8708" max="8708" width="15.42578125" style="1245" customWidth="1"/>
    <col min="8709" max="8709" width="14.28515625" style="1245" customWidth="1"/>
    <col min="8710" max="8710" width="16.140625" style="1245" customWidth="1"/>
    <col min="8711" max="8712" width="11" style="1245" customWidth="1"/>
    <col min="8713" max="8713" width="11.85546875" style="1245" customWidth="1"/>
    <col min="8714" max="8960" width="9.140625" style="1245"/>
    <col min="8961" max="8961" width="24.28515625" style="1245" customWidth="1"/>
    <col min="8962" max="8962" width="13.42578125" style="1245" customWidth="1"/>
    <col min="8963" max="8963" width="14" style="1245" customWidth="1"/>
    <col min="8964" max="8964" width="15.42578125" style="1245" customWidth="1"/>
    <col min="8965" max="8965" width="14.28515625" style="1245" customWidth="1"/>
    <col min="8966" max="8966" width="16.140625" style="1245" customWidth="1"/>
    <col min="8967" max="8968" width="11" style="1245" customWidth="1"/>
    <col min="8969" max="8969" width="11.85546875" style="1245" customWidth="1"/>
    <col min="8970" max="9216" width="9.140625" style="1245"/>
    <col min="9217" max="9217" width="24.28515625" style="1245" customWidth="1"/>
    <col min="9218" max="9218" width="13.42578125" style="1245" customWidth="1"/>
    <col min="9219" max="9219" width="14" style="1245" customWidth="1"/>
    <col min="9220" max="9220" width="15.42578125" style="1245" customWidth="1"/>
    <col min="9221" max="9221" width="14.28515625" style="1245" customWidth="1"/>
    <col min="9222" max="9222" width="16.140625" style="1245" customWidth="1"/>
    <col min="9223" max="9224" width="11" style="1245" customWidth="1"/>
    <col min="9225" max="9225" width="11.85546875" style="1245" customWidth="1"/>
    <col min="9226" max="9472" width="9.140625" style="1245"/>
    <col min="9473" max="9473" width="24.28515625" style="1245" customWidth="1"/>
    <col min="9474" max="9474" width="13.42578125" style="1245" customWidth="1"/>
    <col min="9475" max="9475" width="14" style="1245" customWidth="1"/>
    <col min="9476" max="9476" width="15.42578125" style="1245" customWidth="1"/>
    <col min="9477" max="9477" width="14.28515625" style="1245" customWidth="1"/>
    <col min="9478" max="9478" width="16.140625" style="1245" customWidth="1"/>
    <col min="9479" max="9480" width="11" style="1245" customWidth="1"/>
    <col min="9481" max="9481" width="11.85546875" style="1245" customWidth="1"/>
    <col min="9482" max="9728" width="9.140625" style="1245"/>
    <col min="9729" max="9729" width="24.28515625" style="1245" customWidth="1"/>
    <col min="9730" max="9730" width="13.42578125" style="1245" customWidth="1"/>
    <col min="9731" max="9731" width="14" style="1245" customWidth="1"/>
    <col min="9732" max="9732" width="15.42578125" style="1245" customWidth="1"/>
    <col min="9733" max="9733" width="14.28515625" style="1245" customWidth="1"/>
    <col min="9734" max="9734" width="16.140625" style="1245" customWidth="1"/>
    <col min="9735" max="9736" width="11" style="1245" customWidth="1"/>
    <col min="9737" max="9737" width="11.85546875" style="1245" customWidth="1"/>
    <col min="9738" max="9984" width="9.140625" style="1245"/>
    <col min="9985" max="9985" width="24.28515625" style="1245" customWidth="1"/>
    <col min="9986" max="9986" width="13.42578125" style="1245" customWidth="1"/>
    <col min="9987" max="9987" width="14" style="1245" customWidth="1"/>
    <col min="9988" max="9988" width="15.42578125" style="1245" customWidth="1"/>
    <col min="9989" max="9989" width="14.28515625" style="1245" customWidth="1"/>
    <col min="9990" max="9990" width="16.140625" style="1245" customWidth="1"/>
    <col min="9991" max="9992" width="11" style="1245" customWidth="1"/>
    <col min="9993" max="9993" width="11.85546875" style="1245" customWidth="1"/>
    <col min="9994" max="10240" width="9.140625" style="1245"/>
    <col min="10241" max="10241" width="24.28515625" style="1245" customWidth="1"/>
    <col min="10242" max="10242" width="13.42578125" style="1245" customWidth="1"/>
    <col min="10243" max="10243" width="14" style="1245" customWidth="1"/>
    <col min="10244" max="10244" width="15.42578125" style="1245" customWidth="1"/>
    <col min="10245" max="10245" width="14.28515625" style="1245" customWidth="1"/>
    <col min="10246" max="10246" width="16.140625" style="1245" customWidth="1"/>
    <col min="10247" max="10248" width="11" style="1245" customWidth="1"/>
    <col min="10249" max="10249" width="11.85546875" style="1245" customWidth="1"/>
    <col min="10250" max="10496" width="9.140625" style="1245"/>
    <col min="10497" max="10497" width="24.28515625" style="1245" customWidth="1"/>
    <col min="10498" max="10498" width="13.42578125" style="1245" customWidth="1"/>
    <col min="10499" max="10499" width="14" style="1245" customWidth="1"/>
    <col min="10500" max="10500" width="15.42578125" style="1245" customWidth="1"/>
    <col min="10501" max="10501" width="14.28515625" style="1245" customWidth="1"/>
    <col min="10502" max="10502" width="16.140625" style="1245" customWidth="1"/>
    <col min="10503" max="10504" width="11" style="1245" customWidth="1"/>
    <col min="10505" max="10505" width="11.85546875" style="1245" customWidth="1"/>
    <col min="10506" max="10752" width="9.140625" style="1245"/>
    <col min="10753" max="10753" width="24.28515625" style="1245" customWidth="1"/>
    <col min="10754" max="10754" width="13.42578125" style="1245" customWidth="1"/>
    <col min="10755" max="10755" width="14" style="1245" customWidth="1"/>
    <col min="10756" max="10756" width="15.42578125" style="1245" customWidth="1"/>
    <col min="10757" max="10757" width="14.28515625" style="1245" customWidth="1"/>
    <col min="10758" max="10758" width="16.140625" style="1245" customWidth="1"/>
    <col min="10759" max="10760" width="11" style="1245" customWidth="1"/>
    <col min="10761" max="10761" width="11.85546875" style="1245" customWidth="1"/>
    <col min="10762" max="11008" width="9.140625" style="1245"/>
    <col min="11009" max="11009" width="24.28515625" style="1245" customWidth="1"/>
    <col min="11010" max="11010" width="13.42578125" style="1245" customWidth="1"/>
    <col min="11011" max="11011" width="14" style="1245" customWidth="1"/>
    <col min="11012" max="11012" width="15.42578125" style="1245" customWidth="1"/>
    <col min="11013" max="11013" width="14.28515625" style="1245" customWidth="1"/>
    <col min="11014" max="11014" width="16.140625" style="1245" customWidth="1"/>
    <col min="11015" max="11016" width="11" style="1245" customWidth="1"/>
    <col min="11017" max="11017" width="11.85546875" style="1245" customWidth="1"/>
    <col min="11018" max="11264" width="9.140625" style="1245"/>
    <col min="11265" max="11265" width="24.28515625" style="1245" customWidth="1"/>
    <col min="11266" max="11266" width="13.42578125" style="1245" customWidth="1"/>
    <col min="11267" max="11267" width="14" style="1245" customWidth="1"/>
    <col min="11268" max="11268" width="15.42578125" style="1245" customWidth="1"/>
    <col min="11269" max="11269" width="14.28515625" style="1245" customWidth="1"/>
    <col min="11270" max="11270" width="16.140625" style="1245" customWidth="1"/>
    <col min="11271" max="11272" width="11" style="1245" customWidth="1"/>
    <col min="11273" max="11273" width="11.85546875" style="1245" customWidth="1"/>
    <col min="11274" max="11520" width="9.140625" style="1245"/>
    <col min="11521" max="11521" width="24.28515625" style="1245" customWidth="1"/>
    <col min="11522" max="11522" width="13.42578125" style="1245" customWidth="1"/>
    <col min="11523" max="11523" width="14" style="1245" customWidth="1"/>
    <col min="11524" max="11524" width="15.42578125" style="1245" customWidth="1"/>
    <col min="11525" max="11525" width="14.28515625" style="1245" customWidth="1"/>
    <col min="11526" max="11526" width="16.140625" style="1245" customWidth="1"/>
    <col min="11527" max="11528" width="11" style="1245" customWidth="1"/>
    <col min="11529" max="11529" width="11.85546875" style="1245" customWidth="1"/>
    <col min="11530" max="11776" width="9.140625" style="1245"/>
    <col min="11777" max="11777" width="24.28515625" style="1245" customWidth="1"/>
    <col min="11778" max="11778" width="13.42578125" style="1245" customWidth="1"/>
    <col min="11779" max="11779" width="14" style="1245" customWidth="1"/>
    <col min="11780" max="11780" width="15.42578125" style="1245" customWidth="1"/>
    <col min="11781" max="11781" width="14.28515625" style="1245" customWidth="1"/>
    <col min="11782" max="11782" width="16.140625" style="1245" customWidth="1"/>
    <col min="11783" max="11784" width="11" style="1245" customWidth="1"/>
    <col min="11785" max="11785" width="11.85546875" style="1245" customWidth="1"/>
    <col min="11786" max="12032" width="9.140625" style="1245"/>
    <col min="12033" max="12033" width="24.28515625" style="1245" customWidth="1"/>
    <col min="12034" max="12034" width="13.42578125" style="1245" customWidth="1"/>
    <col min="12035" max="12035" width="14" style="1245" customWidth="1"/>
    <col min="12036" max="12036" width="15.42578125" style="1245" customWidth="1"/>
    <col min="12037" max="12037" width="14.28515625" style="1245" customWidth="1"/>
    <col min="12038" max="12038" width="16.140625" style="1245" customWidth="1"/>
    <col min="12039" max="12040" width="11" style="1245" customWidth="1"/>
    <col min="12041" max="12041" width="11.85546875" style="1245" customWidth="1"/>
    <col min="12042" max="12288" width="9.140625" style="1245"/>
    <col min="12289" max="12289" width="24.28515625" style="1245" customWidth="1"/>
    <col min="12290" max="12290" width="13.42578125" style="1245" customWidth="1"/>
    <col min="12291" max="12291" width="14" style="1245" customWidth="1"/>
    <col min="12292" max="12292" width="15.42578125" style="1245" customWidth="1"/>
    <col min="12293" max="12293" width="14.28515625" style="1245" customWidth="1"/>
    <col min="12294" max="12294" width="16.140625" style="1245" customWidth="1"/>
    <col min="12295" max="12296" width="11" style="1245" customWidth="1"/>
    <col min="12297" max="12297" width="11.85546875" style="1245" customWidth="1"/>
    <col min="12298" max="12544" width="9.140625" style="1245"/>
    <col min="12545" max="12545" width="24.28515625" style="1245" customWidth="1"/>
    <col min="12546" max="12546" width="13.42578125" style="1245" customWidth="1"/>
    <col min="12547" max="12547" width="14" style="1245" customWidth="1"/>
    <col min="12548" max="12548" width="15.42578125" style="1245" customWidth="1"/>
    <col min="12549" max="12549" width="14.28515625" style="1245" customWidth="1"/>
    <col min="12550" max="12550" width="16.140625" style="1245" customWidth="1"/>
    <col min="12551" max="12552" width="11" style="1245" customWidth="1"/>
    <col min="12553" max="12553" width="11.85546875" style="1245" customWidth="1"/>
    <col min="12554" max="12800" width="9.140625" style="1245"/>
    <col min="12801" max="12801" width="24.28515625" style="1245" customWidth="1"/>
    <col min="12802" max="12802" width="13.42578125" style="1245" customWidth="1"/>
    <col min="12803" max="12803" width="14" style="1245" customWidth="1"/>
    <col min="12804" max="12804" width="15.42578125" style="1245" customWidth="1"/>
    <col min="12805" max="12805" width="14.28515625" style="1245" customWidth="1"/>
    <col min="12806" max="12806" width="16.140625" style="1245" customWidth="1"/>
    <col min="12807" max="12808" width="11" style="1245" customWidth="1"/>
    <col min="12809" max="12809" width="11.85546875" style="1245" customWidth="1"/>
    <col min="12810" max="13056" width="9.140625" style="1245"/>
    <col min="13057" max="13057" width="24.28515625" style="1245" customWidth="1"/>
    <col min="13058" max="13058" width="13.42578125" style="1245" customWidth="1"/>
    <col min="13059" max="13059" width="14" style="1245" customWidth="1"/>
    <col min="13060" max="13060" width="15.42578125" style="1245" customWidth="1"/>
    <col min="13061" max="13061" width="14.28515625" style="1245" customWidth="1"/>
    <col min="13062" max="13062" width="16.140625" style="1245" customWidth="1"/>
    <col min="13063" max="13064" width="11" style="1245" customWidth="1"/>
    <col min="13065" max="13065" width="11.85546875" style="1245" customWidth="1"/>
    <col min="13066" max="13312" width="9.140625" style="1245"/>
    <col min="13313" max="13313" width="24.28515625" style="1245" customWidth="1"/>
    <col min="13314" max="13314" width="13.42578125" style="1245" customWidth="1"/>
    <col min="13315" max="13315" width="14" style="1245" customWidth="1"/>
    <col min="13316" max="13316" width="15.42578125" style="1245" customWidth="1"/>
    <col min="13317" max="13317" width="14.28515625" style="1245" customWidth="1"/>
    <col min="13318" max="13318" width="16.140625" style="1245" customWidth="1"/>
    <col min="13319" max="13320" width="11" style="1245" customWidth="1"/>
    <col min="13321" max="13321" width="11.85546875" style="1245" customWidth="1"/>
    <col min="13322" max="13568" width="9.140625" style="1245"/>
    <col min="13569" max="13569" width="24.28515625" style="1245" customWidth="1"/>
    <col min="13570" max="13570" width="13.42578125" style="1245" customWidth="1"/>
    <col min="13571" max="13571" width="14" style="1245" customWidth="1"/>
    <col min="13572" max="13572" width="15.42578125" style="1245" customWidth="1"/>
    <col min="13573" max="13573" width="14.28515625" style="1245" customWidth="1"/>
    <col min="13574" max="13574" width="16.140625" style="1245" customWidth="1"/>
    <col min="13575" max="13576" width="11" style="1245" customWidth="1"/>
    <col min="13577" max="13577" width="11.85546875" style="1245" customWidth="1"/>
    <col min="13578" max="13824" width="9.140625" style="1245"/>
    <col min="13825" max="13825" width="24.28515625" style="1245" customWidth="1"/>
    <col min="13826" max="13826" width="13.42578125" style="1245" customWidth="1"/>
    <col min="13827" max="13827" width="14" style="1245" customWidth="1"/>
    <col min="13828" max="13828" width="15.42578125" style="1245" customWidth="1"/>
    <col min="13829" max="13829" width="14.28515625" style="1245" customWidth="1"/>
    <col min="13830" max="13830" width="16.140625" style="1245" customWidth="1"/>
    <col min="13831" max="13832" width="11" style="1245" customWidth="1"/>
    <col min="13833" max="13833" width="11.85546875" style="1245" customWidth="1"/>
    <col min="13834" max="14080" width="9.140625" style="1245"/>
    <col min="14081" max="14081" width="24.28515625" style="1245" customWidth="1"/>
    <col min="14082" max="14082" width="13.42578125" style="1245" customWidth="1"/>
    <col min="14083" max="14083" width="14" style="1245" customWidth="1"/>
    <col min="14084" max="14084" width="15.42578125" style="1245" customWidth="1"/>
    <col min="14085" max="14085" width="14.28515625" style="1245" customWidth="1"/>
    <col min="14086" max="14086" width="16.140625" style="1245" customWidth="1"/>
    <col min="14087" max="14088" width="11" style="1245" customWidth="1"/>
    <col min="14089" max="14089" width="11.85546875" style="1245" customWidth="1"/>
    <col min="14090" max="14336" width="9.140625" style="1245"/>
    <col min="14337" max="14337" width="24.28515625" style="1245" customWidth="1"/>
    <col min="14338" max="14338" width="13.42578125" style="1245" customWidth="1"/>
    <col min="14339" max="14339" width="14" style="1245" customWidth="1"/>
    <col min="14340" max="14340" width="15.42578125" style="1245" customWidth="1"/>
    <col min="14341" max="14341" width="14.28515625" style="1245" customWidth="1"/>
    <col min="14342" max="14342" width="16.140625" style="1245" customWidth="1"/>
    <col min="14343" max="14344" width="11" style="1245" customWidth="1"/>
    <col min="14345" max="14345" width="11.85546875" style="1245" customWidth="1"/>
    <col min="14346" max="14592" width="9.140625" style="1245"/>
    <col min="14593" max="14593" width="24.28515625" style="1245" customWidth="1"/>
    <col min="14594" max="14594" width="13.42578125" style="1245" customWidth="1"/>
    <col min="14595" max="14595" width="14" style="1245" customWidth="1"/>
    <col min="14596" max="14596" width="15.42578125" style="1245" customWidth="1"/>
    <col min="14597" max="14597" width="14.28515625" style="1245" customWidth="1"/>
    <col min="14598" max="14598" width="16.140625" style="1245" customWidth="1"/>
    <col min="14599" max="14600" width="11" style="1245" customWidth="1"/>
    <col min="14601" max="14601" width="11.85546875" style="1245" customWidth="1"/>
    <col min="14602" max="14848" width="9.140625" style="1245"/>
    <col min="14849" max="14849" width="24.28515625" style="1245" customWidth="1"/>
    <col min="14850" max="14850" width="13.42578125" style="1245" customWidth="1"/>
    <col min="14851" max="14851" width="14" style="1245" customWidth="1"/>
    <col min="14852" max="14852" width="15.42578125" style="1245" customWidth="1"/>
    <col min="14853" max="14853" width="14.28515625" style="1245" customWidth="1"/>
    <col min="14854" max="14854" width="16.140625" style="1245" customWidth="1"/>
    <col min="14855" max="14856" width="11" style="1245" customWidth="1"/>
    <col min="14857" max="14857" width="11.85546875" style="1245" customWidth="1"/>
    <col min="14858" max="15104" width="9.140625" style="1245"/>
    <col min="15105" max="15105" width="24.28515625" style="1245" customWidth="1"/>
    <col min="15106" max="15106" width="13.42578125" style="1245" customWidth="1"/>
    <col min="15107" max="15107" width="14" style="1245" customWidth="1"/>
    <col min="15108" max="15108" width="15.42578125" style="1245" customWidth="1"/>
    <col min="15109" max="15109" width="14.28515625" style="1245" customWidth="1"/>
    <col min="15110" max="15110" width="16.140625" style="1245" customWidth="1"/>
    <col min="15111" max="15112" width="11" style="1245" customWidth="1"/>
    <col min="15113" max="15113" width="11.85546875" style="1245" customWidth="1"/>
    <col min="15114" max="15360" width="9.140625" style="1245"/>
    <col min="15361" max="15361" width="24.28515625" style="1245" customWidth="1"/>
    <col min="15362" max="15362" width="13.42578125" style="1245" customWidth="1"/>
    <col min="15363" max="15363" width="14" style="1245" customWidth="1"/>
    <col min="15364" max="15364" width="15.42578125" style="1245" customWidth="1"/>
    <col min="15365" max="15365" width="14.28515625" style="1245" customWidth="1"/>
    <col min="15366" max="15366" width="16.140625" style="1245" customWidth="1"/>
    <col min="15367" max="15368" width="11" style="1245" customWidth="1"/>
    <col min="15369" max="15369" width="11.85546875" style="1245" customWidth="1"/>
    <col min="15370" max="15616" width="9.140625" style="1245"/>
    <col min="15617" max="15617" width="24.28515625" style="1245" customWidth="1"/>
    <col min="15618" max="15618" width="13.42578125" style="1245" customWidth="1"/>
    <col min="15619" max="15619" width="14" style="1245" customWidth="1"/>
    <col min="15620" max="15620" width="15.42578125" style="1245" customWidth="1"/>
    <col min="15621" max="15621" width="14.28515625" style="1245" customWidth="1"/>
    <col min="15622" max="15622" width="16.140625" style="1245" customWidth="1"/>
    <col min="15623" max="15624" width="11" style="1245" customWidth="1"/>
    <col min="15625" max="15625" width="11.85546875" style="1245" customWidth="1"/>
    <col min="15626" max="15872" width="9.140625" style="1245"/>
    <col min="15873" max="15873" width="24.28515625" style="1245" customWidth="1"/>
    <col min="15874" max="15874" width="13.42578125" style="1245" customWidth="1"/>
    <col min="15875" max="15875" width="14" style="1245" customWidth="1"/>
    <col min="15876" max="15876" width="15.42578125" style="1245" customWidth="1"/>
    <col min="15877" max="15877" width="14.28515625" style="1245" customWidth="1"/>
    <col min="15878" max="15878" width="16.140625" style="1245" customWidth="1"/>
    <col min="15879" max="15880" width="11" style="1245" customWidth="1"/>
    <col min="15881" max="15881" width="11.85546875" style="1245" customWidth="1"/>
    <col min="15882" max="16128" width="9.140625" style="1245"/>
    <col min="16129" max="16129" width="24.28515625" style="1245" customWidth="1"/>
    <col min="16130" max="16130" width="13.42578125" style="1245" customWidth="1"/>
    <col min="16131" max="16131" width="14" style="1245" customWidth="1"/>
    <col min="16132" max="16132" width="15.42578125" style="1245" customWidth="1"/>
    <col min="16133" max="16133" width="14.28515625" style="1245" customWidth="1"/>
    <col min="16134" max="16134" width="16.140625" style="1245" customWidth="1"/>
    <col min="16135" max="16136" width="11" style="1245" customWidth="1"/>
    <col min="16137" max="16137" width="11.85546875" style="1245" customWidth="1"/>
    <col min="16138" max="16384" width="9.140625" style="1245"/>
  </cols>
  <sheetData>
    <row r="1" spans="1:6" ht="25.5" customHeight="1" x14ac:dyDescent="0.25">
      <c r="A1" s="1837" t="s">
        <v>1088</v>
      </c>
      <c r="B1" s="1837"/>
      <c r="C1" s="1837"/>
      <c r="D1" s="1837"/>
      <c r="E1" s="1837"/>
      <c r="F1" s="1837"/>
    </row>
    <row r="2" spans="1:6" ht="22.5" customHeight="1" thickBot="1" x14ac:dyDescent="0.3">
      <c r="F2" s="1432" t="s">
        <v>988</v>
      </c>
    </row>
    <row r="3" spans="1:6" s="1327" customFormat="1" ht="44.25" customHeight="1" thickBot="1" x14ac:dyDescent="0.3">
      <c r="A3" s="1433" t="s">
        <v>1089</v>
      </c>
      <c r="B3" s="1434" t="s">
        <v>1090</v>
      </c>
      <c r="C3" s="1434" t="s">
        <v>1091</v>
      </c>
      <c r="D3" s="1434" t="s">
        <v>1096</v>
      </c>
      <c r="E3" s="1434" t="s">
        <v>1097</v>
      </c>
      <c r="F3" s="1435" t="s">
        <v>1098</v>
      </c>
    </row>
    <row r="4" spans="1:6" ht="12" customHeight="1" thickBot="1" x14ac:dyDescent="0.3">
      <c r="A4" s="1436">
        <v>1</v>
      </c>
      <c r="B4" s="1437">
        <v>2</v>
      </c>
      <c r="C4" s="1437">
        <v>3</v>
      </c>
      <c r="D4" s="1437">
        <v>4</v>
      </c>
      <c r="E4" s="1437">
        <v>5</v>
      </c>
      <c r="F4" s="1438" t="s">
        <v>1092</v>
      </c>
    </row>
    <row r="5" spans="1:6" ht="20.100000000000001" customHeight="1" x14ac:dyDescent="0.25">
      <c r="A5" s="1838" t="s">
        <v>253</v>
      </c>
      <c r="B5" s="1839"/>
      <c r="C5" s="1839"/>
      <c r="D5" s="1839"/>
      <c r="E5" s="1839"/>
      <c r="F5" s="1840"/>
    </row>
    <row r="6" spans="1:6" ht="20.100000000000001" customHeight="1" thickBot="1" x14ac:dyDescent="0.3">
      <c r="A6" s="1439" t="s">
        <v>1093</v>
      </c>
      <c r="B6" s="1742">
        <v>3570439</v>
      </c>
      <c r="C6" s="1440" t="s">
        <v>1099</v>
      </c>
      <c r="D6" s="1441"/>
      <c r="E6" s="1742">
        <f>B6</f>
        <v>3570439</v>
      </c>
      <c r="F6" s="1442"/>
    </row>
    <row r="7" spans="1:6" ht="20.100000000000001" customHeight="1" x14ac:dyDescent="0.25">
      <c r="A7" s="1838" t="s">
        <v>1094</v>
      </c>
      <c r="B7" s="1839"/>
      <c r="C7" s="1839"/>
      <c r="D7" s="1839"/>
      <c r="E7" s="1839"/>
      <c r="F7" s="1840"/>
    </row>
    <row r="8" spans="1:6" ht="20.100000000000001" customHeight="1" thickBot="1" x14ac:dyDescent="0.3">
      <c r="A8" s="1443" t="s">
        <v>1093</v>
      </c>
      <c r="B8" s="1743">
        <v>173501</v>
      </c>
      <c r="C8" s="1445" t="s">
        <v>1099</v>
      </c>
      <c r="D8" s="1444"/>
      <c r="E8" s="1743">
        <f>B8</f>
        <v>173501</v>
      </c>
      <c r="F8" s="1446"/>
    </row>
    <row r="9" spans="1:6" ht="20.100000000000001" customHeight="1" x14ac:dyDescent="0.25">
      <c r="A9" s="1841" t="s">
        <v>0</v>
      </c>
      <c r="B9" s="1842"/>
      <c r="C9" s="1842"/>
      <c r="D9" s="1842"/>
      <c r="E9" s="1842"/>
      <c r="F9" s="1843"/>
    </row>
    <row r="10" spans="1:6" ht="20.100000000000001" customHeight="1" x14ac:dyDescent="0.25">
      <c r="A10" s="1439" t="s">
        <v>1100</v>
      </c>
      <c r="B10" s="1441">
        <v>1080490</v>
      </c>
      <c r="C10" s="1440" t="s">
        <v>1099</v>
      </c>
      <c r="D10" s="1441"/>
      <c r="E10" s="1441">
        <f t="shared" ref="E10:E28" si="0">B10-D10</f>
        <v>1080490</v>
      </c>
      <c r="F10" s="1442"/>
    </row>
    <row r="11" spans="1:6" ht="20.100000000000001" customHeight="1" x14ac:dyDescent="0.25">
      <c r="A11" s="1439" t="s">
        <v>1108</v>
      </c>
      <c r="B11" s="1441">
        <v>428500</v>
      </c>
      <c r="C11" s="1440" t="s">
        <v>1099</v>
      </c>
      <c r="D11" s="1441"/>
      <c r="E11" s="1441">
        <f t="shared" si="0"/>
        <v>428500</v>
      </c>
      <c r="F11" s="1442"/>
    </row>
    <row r="12" spans="1:6" ht="20.100000000000001" customHeight="1" x14ac:dyDescent="0.25">
      <c r="A12" s="1439" t="s">
        <v>1109</v>
      </c>
      <c r="B12" s="1441">
        <v>1088375</v>
      </c>
      <c r="C12" s="1440" t="s">
        <v>1099</v>
      </c>
      <c r="D12" s="1441"/>
      <c r="E12" s="1441">
        <f t="shared" si="0"/>
        <v>1088375</v>
      </c>
      <c r="F12" s="1442"/>
    </row>
    <row r="13" spans="1:6" ht="20.100000000000001" customHeight="1" x14ac:dyDescent="0.25">
      <c r="A13" s="1439" t="s">
        <v>1110</v>
      </c>
      <c r="B13" s="1441">
        <v>1088375</v>
      </c>
      <c r="C13" s="1440" t="s">
        <v>1099</v>
      </c>
      <c r="D13" s="1441"/>
      <c r="E13" s="1441">
        <f t="shared" si="0"/>
        <v>1088375</v>
      </c>
      <c r="F13" s="1447"/>
    </row>
    <row r="14" spans="1:6" ht="20.100000000000001" customHeight="1" x14ac:dyDescent="0.25">
      <c r="A14" s="1439" t="s">
        <v>1235</v>
      </c>
      <c r="B14" s="1441">
        <v>762000</v>
      </c>
      <c r="C14" s="1440" t="s">
        <v>1099</v>
      </c>
      <c r="D14" s="1441"/>
      <c r="E14" s="1441">
        <f t="shared" si="0"/>
        <v>762000</v>
      </c>
      <c r="F14" s="1442"/>
    </row>
    <row r="15" spans="1:6" ht="20.100000000000001" customHeight="1" x14ac:dyDescent="0.25">
      <c r="A15" s="1439"/>
      <c r="B15" s="1441"/>
      <c r="C15" s="1440" t="s">
        <v>1099</v>
      </c>
      <c r="D15" s="1441"/>
      <c r="E15" s="1441">
        <f t="shared" si="0"/>
        <v>0</v>
      </c>
      <c r="F15" s="1442"/>
    </row>
    <row r="16" spans="1:6" ht="20.100000000000001" customHeight="1" x14ac:dyDescent="0.25">
      <c r="A16" s="1439"/>
      <c r="B16" s="1441"/>
      <c r="C16" s="1440" t="s">
        <v>1099</v>
      </c>
      <c r="D16" s="1441"/>
      <c r="E16" s="1441">
        <f t="shared" si="0"/>
        <v>0</v>
      </c>
      <c r="F16" s="1442"/>
    </row>
    <row r="17" spans="1:6" ht="20.100000000000001" customHeight="1" x14ac:dyDescent="0.25">
      <c r="A17" s="1439"/>
      <c r="B17" s="1441"/>
      <c r="C17" s="1440" t="s">
        <v>1099</v>
      </c>
      <c r="D17" s="1441"/>
      <c r="E17" s="1441">
        <f t="shared" si="0"/>
        <v>0</v>
      </c>
      <c r="F17" s="1442"/>
    </row>
    <row r="18" spans="1:6" ht="20.100000000000001" customHeight="1" x14ac:dyDescent="0.25">
      <c r="A18" s="1439"/>
      <c r="B18" s="1441"/>
      <c r="C18" s="1440" t="s">
        <v>1099</v>
      </c>
      <c r="D18" s="1441"/>
      <c r="E18" s="1441">
        <f t="shared" si="0"/>
        <v>0</v>
      </c>
      <c r="F18" s="1442"/>
    </row>
    <row r="19" spans="1:6" ht="20.100000000000001" customHeight="1" x14ac:dyDescent="0.25">
      <c r="A19" s="1439"/>
      <c r="B19" s="1441"/>
      <c r="C19" s="1440" t="s">
        <v>1099</v>
      </c>
      <c r="D19" s="1441"/>
      <c r="E19" s="1441">
        <f t="shared" si="0"/>
        <v>0</v>
      </c>
      <c r="F19" s="1442"/>
    </row>
    <row r="20" spans="1:6" ht="20.100000000000001" customHeight="1" x14ac:dyDescent="0.25">
      <c r="A20" s="1439"/>
      <c r="B20" s="1441"/>
      <c r="C20" s="1440" t="s">
        <v>1099</v>
      </c>
      <c r="D20" s="1441"/>
      <c r="E20" s="1441">
        <f t="shared" si="0"/>
        <v>0</v>
      </c>
      <c r="F20" s="1442"/>
    </row>
    <row r="21" spans="1:6" ht="20.100000000000001" customHeight="1" x14ac:dyDescent="0.25">
      <c r="A21" s="1439"/>
      <c r="B21" s="1441"/>
      <c r="C21" s="1440" t="s">
        <v>1099</v>
      </c>
      <c r="D21" s="1441"/>
      <c r="E21" s="1441">
        <f t="shared" si="0"/>
        <v>0</v>
      </c>
      <c r="F21" s="1442"/>
    </row>
    <row r="22" spans="1:6" s="1448" customFormat="1" ht="18" customHeight="1" x14ac:dyDescent="0.25">
      <c r="A22" s="1439"/>
      <c r="B22" s="1441"/>
      <c r="C22" s="1440" t="s">
        <v>1099</v>
      </c>
      <c r="D22" s="1441"/>
      <c r="E22" s="1441">
        <f t="shared" si="0"/>
        <v>0</v>
      </c>
      <c r="F22" s="1442"/>
    </row>
    <row r="23" spans="1:6" ht="20.100000000000001" customHeight="1" x14ac:dyDescent="0.25">
      <c r="A23" s="1439"/>
      <c r="B23" s="1441"/>
      <c r="C23" s="1440" t="s">
        <v>1099</v>
      </c>
      <c r="D23" s="1441"/>
      <c r="E23" s="1441">
        <f t="shared" si="0"/>
        <v>0</v>
      </c>
      <c r="F23" s="1442"/>
    </row>
    <row r="24" spans="1:6" ht="20.100000000000001" customHeight="1" x14ac:dyDescent="0.25">
      <c r="A24" s="1439"/>
      <c r="B24" s="1441"/>
      <c r="C24" s="1440" t="s">
        <v>1099</v>
      </c>
      <c r="D24" s="1441"/>
      <c r="E24" s="1441">
        <f t="shared" si="0"/>
        <v>0</v>
      </c>
      <c r="F24" s="1442"/>
    </row>
    <row r="25" spans="1:6" ht="20.100000000000001" customHeight="1" x14ac:dyDescent="0.25">
      <c r="A25" s="1439"/>
      <c r="B25" s="1441"/>
      <c r="C25" s="1440" t="s">
        <v>1099</v>
      </c>
      <c r="D25" s="1441"/>
      <c r="E25" s="1441">
        <f t="shared" si="0"/>
        <v>0</v>
      </c>
      <c r="F25" s="1442"/>
    </row>
    <row r="26" spans="1:6" ht="20.100000000000001" customHeight="1" x14ac:dyDescent="0.25">
      <c r="A26" s="1439"/>
      <c r="B26" s="1441"/>
      <c r="C26" s="1440" t="s">
        <v>1099</v>
      </c>
      <c r="D26" s="1441"/>
      <c r="E26" s="1441">
        <f t="shared" si="0"/>
        <v>0</v>
      </c>
      <c r="F26" s="1442"/>
    </row>
    <row r="27" spans="1:6" s="1448" customFormat="1" ht="19.899999999999999" customHeight="1" x14ac:dyDescent="0.25">
      <c r="A27" s="1439"/>
      <c r="B27" s="1441"/>
      <c r="C27" s="1440" t="s">
        <v>1099</v>
      </c>
      <c r="D27" s="1441"/>
      <c r="E27" s="1441">
        <f t="shared" si="0"/>
        <v>0</v>
      </c>
      <c r="F27" s="1442"/>
    </row>
    <row r="28" spans="1:6" ht="19.899999999999999" customHeight="1" thickBot="1" x14ac:dyDescent="0.3">
      <c r="A28" s="1439"/>
      <c r="B28" s="1441"/>
      <c r="C28" s="1440"/>
      <c r="D28" s="1441"/>
      <c r="E28" s="1441">
        <f t="shared" si="0"/>
        <v>0</v>
      </c>
      <c r="F28" s="1442"/>
    </row>
    <row r="29" spans="1:6" ht="19.899999999999999" customHeight="1" thickBot="1" x14ac:dyDescent="0.3">
      <c r="A29" s="1449" t="s">
        <v>1095</v>
      </c>
      <c r="B29" s="1450">
        <f>SUM(B5:B28)</f>
        <v>8191680</v>
      </c>
      <c r="C29" s="1450">
        <f>SUM(C5:C28)</f>
        <v>0</v>
      </c>
      <c r="D29" s="1450">
        <f>SUM(D5:D28)</f>
        <v>0</v>
      </c>
      <c r="E29" s="1450">
        <f>SUM(E5:E28)</f>
        <v>8191680</v>
      </c>
      <c r="F29" s="1451">
        <f>SUM(F5:F28)</f>
        <v>0</v>
      </c>
    </row>
    <row r="30" spans="1:6" x14ac:dyDescent="0.25">
      <c r="A30" s="1452"/>
    </row>
  </sheetData>
  <sheetProtection selectLockedCells="1" selectUnlockedCells="1"/>
  <mergeCells count="4">
    <mergeCell ref="A1:F1"/>
    <mergeCell ref="A5:F5"/>
    <mergeCell ref="A7:F7"/>
    <mergeCell ref="A9:F9"/>
  </mergeCells>
  <printOptions horizontalCentered="1"/>
  <pageMargins left="0.78740157480314965" right="0.78740157480314965" top="0.89" bottom="0.98425196850393704" header="0.61" footer="0.78740157480314965"/>
  <pageSetup paperSize="9" scale="82" orientation="portrait" r:id="rId1"/>
  <headerFooter alignWithMargins="0">
    <oddHeader>&amp;R&amp;"Times New Roman CE,Félkövér dőlt"5. melléklet a 7/2020 (VII.06.) önkormányzati rendelethez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929533E32B3FA48B9E4288E45E9751E" ma:contentTypeVersion="0" ma:contentTypeDescription="Új dokumentum létrehozása." ma:contentTypeScope="" ma:versionID="2600503788ad16db613490f8661386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25AD1B-D7AD-4BA2-AD9E-EACB337AD906}"/>
</file>

<file path=customXml/itemProps2.xml><?xml version="1.0" encoding="utf-8"?>
<ds:datastoreItem xmlns:ds="http://schemas.openxmlformats.org/officeDocument/2006/customXml" ds:itemID="{A00EC7BC-5115-4FF7-B32A-AE8EC1A115F2}"/>
</file>

<file path=customXml/itemProps3.xml><?xml version="1.0" encoding="utf-8"?>
<ds:datastoreItem xmlns:ds="http://schemas.openxmlformats.org/officeDocument/2006/customXml" ds:itemID="{D027AE53-9D8D-4CC7-AE5E-F8075877AF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26</vt:i4>
      </vt:variant>
      <vt:variant>
        <vt:lpstr>Névvel ellátott tartományok</vt:lpstr>
      </vt:variant>
      <vt:variant>
        <vt:i4>22</vt:i4>
      </vt:variant>
    </vt:vector>
  </HeadingPairs>
  <TitlesOfParts>
    <vt:vector size="48" baseType="lpstr">
      <vt:lpstr>Önkormányzat tételes</vt:lpstr>
      <vt:lpstr>Hivatal tételes</vt:lpstr>
      <vt:lpstr>Óvoda tételes</vt:lpstr>
      <vt:lpstr>1.1 Összesítő</vt:lpstr>
      <vt:lpstr>2.1 Működési mérleg</vt:lpstr>
      <vt:lpstr>2.2 Felhalmozási mérleg</vt:lpstr>
      <vt:lpstr>3. Adósság   </vt:lpstr>
      <vt:lpstr>4. Saját bevétel</vt:lpstr>
      <vt:lpstr>5. Beruhzások </vt:lpstr>
      <vt:lpstr>6. Felújítások</vt:lpstr>
      <vt:lpstr>7.1 Önkormányzat</vt:lpstr>
      <vt:lpstr>7.1.1 Önkormányzat (KÖT)</vt:lpstr>
      <vt:lpstr>7.1.2 Önkormányzat (ÁIG)</vt:lpstr>
      <vt:lpstr>7.1.3 Önkormányzat (ÖNK)</vt:lpstr>
      <vt:lpstr>7.2 Hivatal</vt:lpstr>
      <vt:lpstr>7.2.1 Hivatal (ÁIG)</vt:lpstr>
      <vt:lpstr>7.2.2 Hivatal (KÖT)</vt:lpstr>
      <vt:lpstr>7.3 Óvoda</vt:lpstr>
      <vt:lpstr>7.3.1 Óvoda (KÖT)</vt:lpstr>
      <vt:lpstr>8. Tartalék</vt:lpstr>
      <vt:lpstr>9. Tartozás állomány</vt:lpstr>
      <vt:lpstr>10. Felhasználási terv</vt:lpstr>
      <vt:lpstr>1.sz tájékoztató t.</vt:lpstr>
      <vt:lpstr>1.(2.) sz. tájékoztató t.</vt:lpstr>
      <vt:lpstr>3. sz tájékoztató t</vt:lpstr>
      <vt:lpstr>4. sz tájékoztató t.</vt:lpstr>
      <vt:lpstr>'Önkormányzat tételes'!Nyomtatási_cím</vt:lpstr>
      <vt:lpstr>'1.(2.) sz. tájékoztató t.'!Nyomtatási_terület</vt:lpstr>
      <vt:lpstr>'1.1 Összesítő'!Nyomtatási_terület</vt:lpstr>
      <vt:lpstr>'10. Felhasználási terv'!Nyomtatási_terület</vt:lpstr>
      <vt:lpstr>'2.1 Működési mérleg'!Nyomtatási_terület</vt:lpstr>
      <vt:lpstr>'2.2 Felhalmozási mérleg'!Nyomtatási_terület</vt:lpstr>
      <vt:lpstr>'3. Adósság   '!Nyomtatási_terület</vt:lpstr>
      <vt:lpstr>'4. Saját bevétel'!Nyomtatási_terület</vt:lpstr>
      <vt:lpstr>'5. Beruhzások '!Nyomtatási_terület</vt:lpstr>
      <vt:lpstr>'7.1 Önkormányzat'!Nyomtatási_terület</vt:lpstr>
      <vt:lpstr>'7.1.1 Önkormányzat (KÖT)'!Nyomtatási_terület</vt:lpstr>
      <vt:lpstr>'7.1.2 Önkormányzat (ÁIG)'!Nyomtatási_terület</vt:lpstr>
      <vt:lpstr>'7.1.3 Önkormányzat (ÖNK)'!Nyomtatási_terület</vt:lpstr>
      <vt:lpstr>'7.2 Hivatal'!Nyomtatási_terület</vt:lpstr>
      <vt:lpstr>'7.2.1 Hivatal (ÁIG)'!Nyomtatási_terület</vt:lpstr>
      <vt:lpstr>'7.2.2 Hivatal (KÖT)'!Nyomtatási_terület</vt:lpstr>
      <vt:lpstr>'7.3 Óvoda'!Nyomtatási_terület</vt:lpstr>
      <vt:lpstr>'7.3.1 Óvoda (KÖT)'!Nyomtatási_terület</vt:lpstr>
      <vt:lpstr>'8. Tartalék'!Nyomtatási_terület</vt:lpstr>
      <vt:lpstr>'Hivatal tételes'!Nyomtatási_terület</vt:lpstr>
      <vt:lpstr>'Óvoda tételes'!Nyomtatási_terület</vt:lpstr>
      <vt:lpstr>'Önkormányzat tételes'!Nyomtatási_terület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Turiné Török Anita</dc:creator>
  <cp:lastModifiedBy>Turiné Török Anita</cp:lastModifiedBy>
  <cp:lastPrinted>2020-07-09T06:33:06Z</cp:lastPrinted>
  <dcterms:created xsi:type="dcterms:W3CDTF">2018-02-13T14:17:44Z</dcterms:created>
  <dcterms:modified xsi:type="dcterms:W3CDTF">2020-07-09T06:33:24Z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0x010100B929533E32B3FA48B9E4288E45E9751E</vt:lpwstr>
  </property>
</Properties>
</file>