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8680" yWindow="-120" windowWidth="23256" windowHeight="13176" tabRatio="885" activeTab="8"/>
  </bookViews>
  <sheets>
    <sheet name="1. Bevételek" sheetId="41" r:id="rId1"/>
    <sheet name="1.1.Bevételek (KÖT, ÖNV,Áll.i)" sheetId="201" r:id="rId2"/>
    <sheet name="2. Kiadások" sheetId="5" r:id="rId3"/>
    <sheet name="2.1.Kiadások (KÖT, ÖNV, Áll.i)" sheetId="202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0" r:id="rId9"/>
    <sheet name="8. Létszám" sheetId="195" r:id="rId10"/>
    <sheet name="9. Adósságk." sheetId="198" r:id="rId11"/>
    <sheet name="10. Mérleg (beszámoló)" sheetId="203" r:id="rId12"/>
    <sheet name="11. Maradvány" sheetId="204" r:id="rId13"/>
    <sheet name="12. Vagyonkimutatás" sheetId="205" r:id="rId14"/>
  </sheets>
  <externalReferences>
    <externalReference r:id="rId15"/>
    <externalReference r:id="rId16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Bevételek'!$A$1:$V$61</definedName>
    <definedName name="_xlnm.Print_Area" localSheetId="2">'2. Kiadások'!$A$1:$V$32</definedName>
  </definedNames>
  <calcPr calcId="191029"/>
</workbook>
</file>

<file path=xl/calcChain.xml><?xml version="1.0" encoding="utf-8"?>
<calcChain xmlns="http://schemas.openxmlformats.org/spreadsheetml/2006/main">
  <c r="D174" i="205" l="1"/>
  <c r="C167" i="205"/>
  <c r="C163" i="205"/>
  <c r="D169" i="205" s="1"/>
  <c r="D159" i="205"/>
  <c r="E149" i="205"/>
  <c r="D142" i="205"/>
  <c r="C134" i="205"/>
  <c r="C131" i="205"/>
  <c r="D137" i="205" s="1"/>
  <c r="C125" i="205"/>
  <c r="C122" i="205"/>
  <c r="C117" i="205"/>
  <c r="B115" i="205"/>
  <c r="B114" i="205"/>
  <c r="B111" i="205"/>
  <c r="B110" i="205"/>
  <c r="B109" i="205"/>
  <c r="C108" i="205" s="1"/>
  <c r="D128" i="205" s="1"/>
  <c r="E144" i="205" s="1"/>
  <c r="C102" i="205"/>
  <c r="C95" i="205"/>
  <c r="E106" i="205" s="1"/>
  <c r="C94" i="205"/>
  <c r="E91" i="205"/>
  <c r="D82" i="205"/>
  <c r="E75" i="205" s="1"/>
  <c r="E69" i="205"/>
  <c r="C65" i="205"/>
  <c r="B65" i="205"/>
  <c r="D63" i="205"/>
  <c r="D58" i="205"/>
  <c r="D57" i="205"/>
  <c r="D50" i="205"/>
  <c r="D65" i="205" s="1"/>
  <c r="D43" i="205"/>
  <c r="C43" i="205"/>
  <c r="B43" i="205"/>
  <c r="D14" i="205"/>
  <c r="D8" i="205"/>
  <c r="E4" i="205"/>
  <c r="D12" i="204"/>
  <c r="C12" i="204"/>
  <c r="D9" i="204"/>
  <c r="D13" i="204" s="1"/>
  <c r="D14" i="204" s="1"/>
  <c r="D16" i="204" s="1"/>
  <c r="C9" i="204"/>
  <c r="C13" i="204" s="1"/>
  <c r="C14" i="204" s="1"/>
  <c r="C16" i="204" s="1"/>
  <c r="E82" i="203"/>
  <c r="D82" i="203"/>
  <c r="C82" i="203"/>
  <c r="E77" i="203"/>
  <c r="D77" i="203"/>
  <c r="C77" i="203"/>
  <c r="E73" i="203"/>
  <c r="E78" i="203" s="1"/>
  <c r="E83" i="203" s="1"/>
  <c r="D73" i="203"/>
  <c r="C73" i="203"/>
  <c r="C78" i="203" s="1"/>
  <c r="E70" i="203"/>
  <c r="D70" i="203"/>
  <c r="D78" i="203" s="1"/>
  <c r="C70" i="203"/>
  <c r="E67" i="203"/>
  <c r="D67" i="203"/>
  <c r="D83" i="203" s="1"/>
  <c r="C67" i="203"/>
  <c r="E60" i="203"/>
  <c r="D60" i="203"/>
  <c r="C60" i="203"/>
  <c r="E58" i="203"/>
  <c r="D58" i="203"/>
  <c r="C58" i="203"/>
  <c r="E54" i="203"/>
  <c r="D54" i="203"/>
  <c r="C54" i="203"/>
  <c r="E48" i="203"/>
  <c r="D48" i="203"/>
  <c r="C48" i="203"/>
  <c r="E34" i="203"/>
  <c r="D34" i="203"/>
  <c r="E30" i="203"/>
  <c r="E43" i="203" s="1"/>
  <c r="E55" i="203" s="1"/>
  <c r="D30" i="203"/>
  <c r="D43" i="203" s="1"/>
  <c r="D55" i="203" s="1"/>
  <c r="C30" i="203"/>
  <c r="C43" i="203" s="1"/>
  <c r="C55" i="203" s="1"/>
  <c r="E28" i="203"/>
  <c r="E29" i="203" s="1"/>
  <c r="D28" i="203"/>
  <c r="D29" i="203" s="1"/>
  <c r="C28" i="203"/>
  <c r="C29" i="203" s="1"/>
  <c r="E25" i="203"/>
  <c r="D25" i="203"/>
  <c r="E24" i="203"/>
  <c r="D24" i="203"/>
  <c r="C24" i="203"/>
  <c r="C25" i="203" s="1"/>
  <c r="E21" i="203"/>
  <c r="D19" i="203"/>
  <c r="C19" i="203"/>
  <c r="E18" i="203"/>
  <c r="D18" i="203"/>
  <c r="C18" i="203"/>
  <c r="E15" i="203"/>
  <c r="D15" i="203"/>
  <c r="C15" i="203"/>
  <c r="E12" i="203"/>
  <c r="E19" i="203" s="1"/>
  <c r="D12" i="203"/>
  <c r="C12" i="203"/>
  <c r="E8" i="203"/>
  <c r="D8" i="203"/>
  <c r="C8" i="203"/>
  <c r="E16" i="205" l="1"/>
  <c r="E84" i="205" s="1"/>
  <c r="E151" i="205" s="1"/>
  <c r="E176" i="205"/>
  <c r="C83" i="203"/>
  <c r="C61" i="203"/>
  <c r="E61" i="203"/>
  <c r="D61" i="203"/>
  <c r="E10" i="198" l="1"/>
  <c r="E11" i="198"/>
  <c r="E14" i="198" s="1"/>
  <c r="E15" i="198" s="1"/>
  <c r="E12" i="198"/>
  <c r="E13" i="198"/>
  <c r="H36" i="197"/>
  <c r="O32" i="196"/>
  <c r="O31" i="196"/>
  <c r="H31" i="196"/>
  <c r="C31" i="196"/>
  <c r="J37" i="197" l="1"/>
  <c r="C37" i="197"/>
  <c r="C36" i="197"/>
  <c r="J36" i="197"/>
  <c r="J52" i="194"/>
  <c r="J60" i="194"/>
  <c r="J59" i="194"/>
  <c r="J58" i="194"/>
  <c r="J57" i="194"/>
  <c r="J56" i="194"/>
  <c r="J55" i="194"/>
  <c r="J54" i="194"/>
  <c r="K54" i="194"/>
  <c r="O19" i="197"/>
  <c r="H18" i="196"/>
  <c r="G18" i="196"/>
  <c r="F18" i="196"/>
  <c r="E18" i="196"/>
  <c r="L31" i="196" s="1"/>
  <c r="D18" i="196"/>
  <c r="C18" i="196"/>
  <c r="K32" i="196"/>
  <c r="K31" i="196"/>
  <c r="N31" i="196"/>
  <c r="C19" i="196"/>
  <c r="O36" i="197" l="1"/>
  <c r="L32" i="196"/>
  <c r="K21" i="194" l="1"/>
  <c r="H32" i="194"/>
  <c r="I32" i="194"/>
  <c r="K32" i="194"/>
  <c r="G32" i="194"/>
  <c r="H8" i="194"/>
  <c r="I8" i="194"/>
  <c r="K8" i="194"/>
  <c r="L8" i="194"/>
  <c r="H29" i="194"/>
  <c r="I29" i="194"/>
  <c r="J17" i="194"/>
  <c r="G21" i="194"/>
  <c r="K51" i="194"/>
  <c r="G54" i="194"/>
  <c r="L62" i="194"/>
  <c r="L61" i="194" s="1"/>
  <c r="K62" i="194"/>
  <c r="K61" i="194" s="1"/>
  <c r="H61" i="194"/>
  <c r="I61" i="194"/>
  <c r="I64" i="194" s="1"/>
  <c r="H50" i="194"/>
  <c r="D21" i="190"/>
  <c r="I28" i="194" l="1"/>
  <c r="I48" i="194" s="1"/>
  <c r="H64" i="194"/>
  <c r="H28" i="194"/>
  <c r="H48" i="194"/>
  <c r="L32" i="202"/>
  <c r="L29" i="202"/>
  <c r="L33" i="202" s="1"/>
  <c r="U32" i="202"/>
  <c r="U29" i="202"/>
  <c r="U33" i="202" s="1"/>
  <c r="U28" i="202"/>
  <c r="V26" i="202"/>
  <c r="M27" i="202"/>
  <c r="M26" i="202"/>
  <c r="M25" i="202"/>
  <c r="M24" i="202"/>
  <c r="M23" i="202"/>
  <c r="M22" i="202"/>
  <c r="L21" i="202"/>
  <c r="M20" i="202"/>
  <c r="M19" i="202"/>
  <c r="M18" i="202"/>
  <c r="M17" i="202"/>
  <c r="L16" i="202"/>
  <c r="V12" i="202"/>
  <c r="M15" i="202"/>
  <c r="M14" i="202"/>
  <c r="M12" i="202"/>
  <c r="M11" i="202"/>
  <c r="M10" i="202"/>
  <c r="M9" i="202"/>
  <c r="L8" i="202"/>
  <c r="M7" i="202"/>
  <c r="M6" i="202"/>
  <c r="H32" i="202"/>
  <c r="Q8" i="202"/>
  <c r="P16" i="202"/>
  <c r="Q16" i="202"/>
  <c r="O28" i="202"/>
  <c r="P28" i="202"/>
  <c r="Q28" i="202"/>
  <c r="Q21" i="202"/>
  <c r="H16" i="202"/>
  <c r="H29" i="202" s="1"/>
  <c r="H33" i="202" s="1"/>
  <c r="H8" i="202"/>
  <c r="Z58" i="201"/>
  <c r="Z23" i="201"/>
  <c r="Q60" i="201"/>
  <c r="O52" i="201"/>
  <c r="P52" i="201"/>
  <c r="P60" i="201" s="1"/>
  <c r="Q52" i="201"/>
  <c r="R52" i="201"/>
  <c r="S52" i="201"/>
  <c r="T52" i="201"/>
  <c r="T60" i="201" s="1"/>
  <c r="U52" i="201"/>
  <c r="U60" i="201" s="1"/>
  <c r="W52" i="201"/>
  <c r="X52" i="201"/>
  <c r="O49" i="201"/>
  <c r="P49" i="201"/>
  <c r="Q49" i="201"/>
  <c r="R49" i="201"/>
  <c r="S49" i="201"/>
  <c r="T49" i="201"/>
  <c r="U49" i="201"/>
  <c r="W49" i="201"/>
  <c r="X49" i="201"/>
  <c r="O45" i="201"/>
  <c r="P45" i="201"/>
  <c r="Q45" i="201"/>
  <c r="R45" i="201"/>
  <c r="S45" i="201"/>
  <c r="T45" i="201"/>
  <c r="U45" i="201"/>
  <c r="V45" i="201"/>
  <c r="W45" i="201"/>
  <c r="X45" i="201"/>
  <c r="Y45" i="201"/>
  <c r="O43" i="201"/>
  <c r="P43" i="201"/>
  <c r="Q43" i="201"/>
  <c r="R43" i="201"/>
  <c r="S43" i="201"/>
  <c r="T43" i="201"/>
  <c r="U43" i="201"/>
  <c r="W43" i="201"/>
  <c r="X43" i="201"/>
  <c r="O40" i="201"/>
  <c r="P40" i="201"/>
  <c r="Q40" i="201"/>
  <c r="R40" i="201"/>
  <c r="S40" i="201"/>
  <c r="T40" i="201"/>
  <c r="U40" i="201"/>
  <c r="W40" i="201"/>
  <c r="X40" i="201"/>
  <c r="Q30" i="201"/>
  <c r="U30" i="201"/>
  <c r="O28" i="201"/>
  <c r="O30" i="201" s="1"/>
  <c r="P28" i="201"/>
  <c r="P30" i="201" s="1"/>
  <c r="Q28" i="201"/>
  <c r="R28" i="201"/>
  <c r="R30" i="201" s="1"/>
  <c r="S28" i="201"/>
  <c r="S30" i="201" s="1"/>
  <c r="T28" i="201"/>
  <c r="T30" i="201" s="1"/>
  <c r="U28" i="201"/>
  <c r="W28" i="201"/>
  <c r="W30" i="201" s="1"/>
  <c r="X28" i="201"/>
  <c r="X30" i="201" s="1"/>
  <c r="P22" i="201"/>
  <c r="Q22" i="201"/>
  <c r="T22" i="201"/>
  <c r="U22" i="201"/>
  <c r="O18" i="201"/>
  <c r="P18" i="201"/>
  <c r="Q18" i="201"/>
  <c r="R18" i="201"/>
  <c r="S18" i="201"/>
  <c r="T18" i="201"/>
  <c r="U18" i="201"/>
  <c r="W18" i="201"/>
  <c r="X18" i="201"/>
  <c r="O12" i="201"/>
  <c r="O19" i="201" s="1"/>
  <c r="P12" i="201"/>
  <c r="P19" i="201" s="1"/>
  <c r="Q12" i="201"/>
  <c r="Q19" i="201" s="1"/>
  <c r="Q50" i="201" s="1"/>
  <c r="Q61" i="201" s="1"/>
  <c r="R12" i="201"/>
  <c r="R19" i="201" s="1"/>
  <c r="S12" i="201"/>
  <c r="S19" i="201" s="1"/>
  <c r="T12" i="201"/>
  <c r="T19" i="201" s="1"/>
  <c r="U12" i="201"/>
  <c r="U19" i="201" s="1"/>
  <c r="U50" i="201" s="1"/>
  <c r="W12" i="201"/>
  <c r="W19" i="201" s="1"/>
  <c r="X12" i="201"/>
  <c r="X19" i="201" s="1"/>
  <c r="H60" i="201"/>
  <c r="L60" i="201"/>
  <c r="F59" i="201"/>
  <c r="G59" i="201"/>
  <c r="H59" i="201"/>
  <c r="I59" i="201"/>
  <c r="J59" i="201"/>
  <c r="K59" i="201"/>
  <c r="L59" i="201"/>
  <c r="F56" i="201"/>
  <c r="G56" i="201"/>
  <c r="H56" i="201"/>
  <c r="I56" i="201"/>
  <c r="J56" i="201"/>
  <c r="K56" i="201"/>
  <c r="L56" i="201"/>
  <c r="M56" i="201"/>
  <c r="F54" i="201"/>
  <c r="F60" i="201" s="1"/>
  <c r="G54" i="201"/>
  <c r="G60" i="201" s="1"/>
  <c r="H54" i="201"/>
  <c r="I54" i="201"/>
  <c r="I60" i="201" s="1"/>
  <c r="J54" i="201"/>
  <c r="J60" i="201" s="1"/>
  <c r="K54" i="201"/>
  <c r="K60" i="201" s="1"/>
  <c r="L54" i="201"/>
  <c r="M54" i="201"/>
  <c r="F52" i="201"/>
  <c r="G52" i="201"/>
  <c r="H52" i="201"/>
  <c r="I52" i="201"/>
  <c r="J52" i="201"/>
  <c r="K52" i="201"/>
  <c r="L52" i="201"/>
  <c r="M52" i="201"/>
  <c r="F49" i="201"/>
  <c r="G49" i="201"/>
  <c r="H49" i="201"/>
  <c r="I49" i="201"/>
  <c r="J49" i="201"/>
  <c r="K49" i="201"/>
  <c r="L49" i="201"/>
  <c r="F45" i="201"/>
  <c r="G45" i="201"/>
  <c r="H45" i="201"/>
  <c r="I45" i="201"/>
  <c r="J45" i="201"/>
  <c r="K45" i="201"/>
  <c r="L45" i="201"/>
  <c r="F43" i="201"/>
  <c r="G43" i="201"/>
  <c r="H43" i="201"/>
  <c r="I43" i="201"/>
  <c r="J43" i="201"/>
  <c r="K43" i="201"/>
  <c r="L43" i="201"/>
  <c r="F40" i="201"/>
  <c r="G40" i="201"/>
  <c r="H40" i="201"/>
  <c r="I40" i="201"/>
  <c r="J40" i="201"/>
  <c r="K40" i="201"/>
  <c r="L40" i="201"/>
  <c r="K30" i="201"/>
  <c r="L30" i="201"/>
  <c r="K22" i="201"/>
  <c r="L22" i="201"/>
  <c r="F12" i="201"/>
  <c r="G12" i="201"/>
  <c r="H12" i="201"/>
  <c r="I12" i="201"/>
  <c r="J12" i="201"/>
  <c r="K12" i="201"/>
  <c r="L12" i="201"/>
  <c r="M23" i="201"/>
  <c r="V58" i="201"/>
  <c r="V57" i="201"/>
  <c r="V55" i="201"/>
  <c r="V53" i="201"/>
  <c r="V51" i="201"/>
  <c r="V52" i="201" s="1"/>
  <c r="V48" i="201"/>
  <c r="V47" i="201"/>
  <c r="V46" i="201"/>
  <c r="V49" i="201" s="1"/>
  <c r="V44" i="201"/>
  <c r="V42" i="201"/>
  <c r="V41" i="201"/>
  <c r="V43" i="201" s="1"/>
  <c r="V39" i="201"/>
  <c r="V38" i="201"/>
  <c r="V37" i="201"/>
  <c r="V36" i="201"/>
  <c r="V35" i="201"/>
  <c r="V34" i="201"/>
  <c r="V33" i="201"/>
  <c r="V32" i="201"/>
  <c r="V31" i="201"/>
  <c r="V40" i="201" s="1"/>
  <c r="V27" i="201"/>
  <c r="V26" i="201"/>
  <c r="V28" i="201" s="1"/>
  <c r="V30" i="201" s="1"/>
  <c r="V25" i="201"/>
  <c r="V20" i="201"/>
  <c r="V17" i="201"/>
  <c r="V16" i="201"/>
  <c r="V15" i="201"/>
  <c r="V14" i="201"/>
  <c r="V13" i="201"/>
  <c r="V18" i="201" s="1"/>
  <c r="V11" i="201"/>
  <c r="V10" i="201"/>
  <c r="V9" i="201"/>
  <c r="V8" i="201"/>
  <c r="V7" i="201"/>
  <c r="V6" i="201"/>
  <c r="V12" i="201" s="1"/>
  <c r="M58" i="201"/>
  <c r="M57" i="201"/>
  <c r="M59" i="201" s="1"/>
  <c r="M60" i="201" s="1"/>
  <c r="M55" i="201"/>
  <c r="M53" i="201"/>
  <c r="M51" i="201"/>
  <c r="M48" i="201"/>
  <c r="M47" i="201"/>
  <c r="M46" i="201"/>
  <c r="M49" i="201" s="1"/>
  <c r="M44" i="201"/>
  <c r="M45" i="201" s="1"/>
  <c r="M42" i="201"/>
  <c r="M41" i="201"/>
  <c r="M43" i="201" s="1"/>
  <c r="M39" i="201"/>
  <c r="M38" i="201"/>
  <c r="M37" i="201"/>
  <c r="M36" i="201"/>
  <c r="M35" i="201"/>
  <c r="M34" i="201"/>
  <c r="M33" i="201"/>
  <c r="M32" i="201"/>
  <c r="M31" i="201"/>
  <c r="M29" i="201"/>
  <c r="Z29" i="201" s="1"/>
  <c r="M27" i="201"/>
  <c r="Z27" i="201" s="1"/>
  <c r="M26" i="201"/>
  <c r="M25" i="201"/>
  <c r="Z25" i="201" s="1"/>
  <c r="M24" i="201"/>
  <c r="M20" i="201"/>
  <c r="M17" i="201"/>
  <c r="M16" i="201"/>
  <c r="M15" i="201"/>
  <c r="M14" i="201"/>
  <c r="M13" i="201"/>
  <c r="M11" i="201"/>
  <c r="M10" i="201"/>
  <c r="M9" i="201"/>
  <c r="M8" i="201"/>
  <c r="M7" i="201"/>
  <c r="M6" i="201"/>
  <c r="M12" i="201" s="1"/>
  <c r="T50" i="201" l="1"/>
  <c r="T61" i="201" s="1"/>
  <c r="U61" i="201"/>
  <c r="V19" i="201"/>
  <c r="P50" i="201"/>
  <c r="P61" i="201" s="1"/>
  <c r="L19" i="201"/>
  <c r="L50" i="201" s="1"/>
  <c r="L61" i="201" s="1"/>
  <c r="Z26" i="201"/>
  <c r="Z24" i="201"/>
  <c r="M40" i="201"/>
  <c r="Q29" i="202"/>
  <c r="L18" i="201"/>
  <c r="F28" i="201"/>
  <c r="F30" i="201" s="1"/>
  <c r="G28" i="201"/>
  <c r="G30" i="201" s="1"/>
  <c r="H28" i="201"/>
  <c r="H30" i="201" s="1"/>
  <c r="H21" i="201"/>
  <c r="H22" i="201" s="1"/>
  <c r="H18" i="201"/>
  <c r="H19" i="201" s="1"/>
  <c r="H50" i="201" s="1"/>
  <c r="H61" i="201" s="1"/>
  <c r="J47" i="194"/>
  <c r="H70" i="194"/>
  <c r="I70" i="194"/>
  <c r="K16" i="194"/>
  <c r="L16" i="194"/>
  <c r="J67" i="194" l="1"/>
  <c r="J65" i="194"/>
  <c r="J53" i="194"/>
  <c r="J45" i="194"/>
  <c r="J44" i="194"/>
  <c r="J43" i="194"/>
  <c r="J42" i="194"/>
  <c r="J41" i="194"/>
  <c r="J40" i="194"/>
  <c r="J39" i="194"/>
  <c r="J38" i="194"/>
  <c r="J37" i="194"/>
  <c r="J36" i="194"/>
  <c r="J35" i="194"/>
  <c r="J34" i="194"/>
  <c r="J33" i="194"/>
  <c r="J31" i="194"/>
  <c r="J30" i="194"/>
  <c r="J27" i="194"/>
  <c r="J25" i="194"/>
  <c r="J24" i="194"/>
  <c r="J23" i="194"/>
  <c r="J22" i="194"/>
  <c r="J19" i="194"/>
  <c r="J18" i="194"/>
  <c r="J15" i="194"/>
  <c r="J13" i="194"/>
  <c r="J12" i="194"/>
  <c r="J10" i="194"/>
  <c r="J9" i="194"/>
  <c r="J8" i="194" s="1"/>
  <c r="S38" i="190"/>
  <c r="S33" i="190"/>
  <c r="S32" i="190"/>
  <c r="J32" i="194" l="1"/>
  <c r="M59" i="190"/>
  <c r="M58" i="190"/>
  <c r="M57" i="190"/>
  <c r="M56" i="190"/>
  <c r="M55" i="190"/>
  <c r="M54" i="190"/>
  <c r="M53" i="190"/>
  <c r="M52" i="190"/>
  <c r="M51" i="190"/>
  <c r="M50" i="190"/>
  <c r="M49" i="190"/>
  <c r="M48" i="190"/>
  <c r="M47" i="190"/>
  <c r="M46" i="190"/>
  <c r="M45" i="190"/>
  <c r="M44" i="190"/>
  <c r="M43" i="190"/>
  <c r="M42" i="190"/>
  <c r="M41" i="190"/>
  <c r="M40" i="190"/>
  <c r="M38" i="190"/>
  <c r="M37" i="190"/>
  <c r="M35" i="190"/>
  <c r="K31" i="190"/>
  <c r="K61" i="190" s="1"/>
  <c r="K26" i="190"/>
  <c r="L26" i="190"/>
  <c r="L31" i="190" s="1"/>
  <c r="L61" i="190" s="1"/>
  <c r="M25" i="190"/>
  <c r="M24" i="190"/>
  <c r="M23" i="190"/>
  <c r="M22" i="190"/>
  <c r="M20" i="190"/>
  <c r="M19" i="190"/>
  <c r="M18" i="190"/>
  <c r="M17" i="190"/>
  <c r="M16" i="190"/>
  <c r="M15" i="190"/>
  <c r="M14" i="190"/>
  <c r="M12" i="190"/>
  <c r="M10" i="190"/>
  <c r="M9" i="190"/>
  <c r="H49" i="190"/>
  <c r="I51" i="190"/>
  <c r="I56" i="190"/>
  <c r="I45" i="190"/>
  <c r="I50" i="190"/>
  <c r="I49" i="190"/>
  <c r="I52" i="190"/>
  <c r="I53" i="190"/>
  <c r="I46" i="190"/>
  <c r="I44" i="190"/>
  <c r="I48" i="190"/>
  <c r="I40" i="190"/>
  <c r="I37" i="190"/>
  <c r="I25" i="190"/>
  <c r="I24" i="190"/>
  <c r="G35" i="190" l="1"/>
  <c r="G37" i="190"/>
  <c r="G38" i="190"/>
  <c r="G40" i="190"/>
  <c r="G41" i="190"/>
  <c r="G42" i="190"/>
  <c r="G43" i="190"/>
  <c r="G44" i="190"/>
  <c r="G45" i="190"/>
  <c r="G47" i="190"/>
  <c r="G49" i="190"/>
  <c r="G50" i="190"/>
  <c r="G51" i="190"/>
  <c r="G52" i="190"/>
  <c r="G54" i="190"/>
  <c r="G55" i="190"/>
  <c r="G56" i="190"/>
  <c r="G57" i="190"/>
  <c r="G58" i="190"/>
  <c r="G59" i="190"/>
  <c r="G29" i="190"/>
  <c r="G25" i="190"/>
  <c r="G24" i="190"/>
  <c r="G23" i="190"/>
  <c r="G22" i="190"/>
  <c r="G20" i="190"/>
  <c r="G19" i="190"/>
  <c r="G18" i="190"/>
  <c r="G17" i="190"/>
  <c r="G16" i="190"/>
  <c r="G15" i="190"/>
  <c r="G14" i="190"/>
  <c r="G12" i="190"/>
  <c r="G10" i="190"/>
  <c r="G9" i="190"/>
  <c r="M17" i="197" l="1"/>
  <c r="M16" i="197"/>
  <c r="M15" i="197"/>
  <c r="M14" i="197"/>
  <c r="M13" i="197"/>
  <c r="M12" i="197"/>
  <c r="M11" i="197"/>
  <c r="M10" i="197"/>
  <c r="M7" i="197"/>
  <c r="M24" i="196"/>
  <c r="M23" i="196"/>
  <c r="M22" i="196"/>
  <c r="M21" i="196"/>
  <c r="M20" i="196"/>
  <c r="M19" i="196"/>
  <c r="M17" i="196"/>
  <c r="M16" i="196"/>
  <c r="M15" i="196"/>
  <c r="M14" i="196"/>
  <c r="M13" i="196"/>
  <c r="M12" i="196"/>
  <c r="F31" i="197"/>
  <c r="F30" i="197"/>
  <c r="F29" i="197"/>
  <c r="F28" i="197"/>
  <c r="F27" i="197"/>
  <c r="F25" i="197"/>
  <c r="F23" i="197"/>
  <c r="F22" i="197"/>
  <c r="F21" i="197"/>
  <c r="F18" i="197"/>
  <c r="F15" i="197"/>
  <c r="F13" i="197"/>
  <c r="F12" i="197"/>
  <c r="F11" i="197"/>
  <c r="F10" i="197"/>
  <c r="F9" i="197"/>
  <c r="F8" i="197"/>
  <c r="F7" i="197"/>
  <c r="F29" i="196"/>
  <c r="F26" i="196"/>
  <c r="F25" i="196"/>
  <c r="F22" i="196"/>
  <c r="F21" i="196"/>
  <c r="F20" i="196"/>
  <c r="F17" i="196"/>
  <c r="F16" i="196"/>
  <c r="F15" i="196"/>
  <c r="F14" i="196"/>
  <c r="F13" i="196"/>
  <c r="F12" i="196"/>
  <c r="F11" i="196"/>
  <c r="F8" i="196"/>
  <c r="V57" i="41" l="1"/>
  <c r="U57" i="41"/>
  <c r="H57" i="41"/>
  <c r="T57" i="41" s="1"/>
  <c r="H56" i="41"/>
  <c r="H54" i="41"/>
  <c r="H52" i="41"/>
  <c r="H50" i="41"/>
  <c r="T24" i="5"/>
  <c r="T23" i="5"/>
  <c r="T13" i="5"/>
  <c r="T5" i="5"/>
  <c r="N29" i="5"/>
  <c r="T29" i="5" s="1"/>
  <c r="N28" i="5"/>
  <c r="T28" i="5" s="1"/>
  <c r="N25" i="5"/>
  <c r="T25" i="5" s="1"/>
  <c r="N24" i="5"/>
  <c r="N23" i="5"/>
  <c r="N22" i="5"/>
  <c r="T22" i="5" s="1"/>
  <c r="N21" i="5"/>
  <c r="T21" i="5" s="1"/>
  <c r="N19" i="5"/>
  <c r="T19" i="5" s="1"/>
  <c r="N18" i="5"/>
  <c r="N17" i="5"/>
  <c r="N16" i="5"/>
  <c r="T16" i="5" s="1"/>
  <c r="N15" i="5"/>
  <c r="T15" i="5" s="1"/>
  <c r="N13" i="5"/>
  <c r="N12" i="5"/>
  <c r="T12" i="5" s="1"/>
  <c r="N11" i="5"/>
  <c r="T11" i="5" s="1"/>
  <c r="N10" i="5"/>
  <c r="T10" i="5" s="1"/>
  <c r="N9" i="5"/>
  <c r="T9" i="5" s="1"/>
  <c r="N8" i="5"/>
  <c r="T8" i="5" s="1"/>
  <c r="N6" i="5"/>
  <c r="N5" i="5"/>
  <c r="V22" i="41"/>
  <c r="N57" i="41"/>
  <c r="N56" i="41"/>
  <c r="T56" i="41" s="1"/>
  <c r="N54" i="41"/>
  <c r="T54" i="41" s="1"/>
  <c r="N52" i="41"/>
  <c r="T52" i="41" s="1"/>
  <c r="N50" i="41"/>
  <c r="T50" i="41" s="1"/>
  <c r="N47" i="41"/>
  <c r="N46" i="41"/>
  <c r="N45" i="41"/>
  <c r="N43" i="41"/>
  <c r="N41" i="41"/>
  <c r="N40" i="41"/>
  <c r="N38" i="41"/>
  <c r="N37" i="41"/>
  <c r="N36" i="41"/>
  <c r="N35" i="41"/>
  <c r="N34" i="41"/>
  <c r="N33" i="41"/>
  <c r="N32" i="41"/>
  <c r="N31" i="41"/>
  <c r="N30" i="41"/>
  <c r="N28" i="41"/>
  <c r="N26" i="41"/>
  <c r="N25" i="41"/>
  <c r="N24" i="41"/>
  <c r="N23" i="41"/>
  <c r="N19" i="41"/>
  <c r="N16" i="41"/>
  <c r="N15" i="41"/>
  <c r="N14" i="41"/>
  <c r="N13" i="41"/>
  <c r="N12" i="41"/>
  <c r="N10" i="41"/>
  <c r="N9" i="41"/>
  <c r="N8" i="41"/>
  <c r="N7" i="41"/>
  <c r="N6" i="41"/>
  <c r="N5" i="41"/>
  <c r="H29" i="5"/>
  <c r="H28" i="5"/>
  <c r="H25" i="5"/>
  <c r="H24" i="5"/>
  <c r="H23" i="5"/>
  <c r="H22" i="5"/>
  <c r="H21" i="5"/>
  <c r="H19" i="5"/>
  <c r="H18" i="5"/>
  <c r="H17" i="5"/>
  <c r="H16" i="5"/>
  <c r="H15" i="5"/>
  <c r="H13" i="5"/>
  <c r="H12" i="5"/>
  <c r="H11" i="5"/>
  <c r="H10" i="5"/>
  <c r="H9" i="5"/>
  <c r="H8" i="5"/>
  <c r="H6" i="5"/>
  <c r="T6" i="5" s="1"/>
  <c r="H5" i="5"/>
  <c r="F7" i="5"/>
  <c r="G7" i="5"/>
  <c r="J58" i="41"/>
  <c r="I58" i="41"/>
  <c r="R22" i="41"/>
  <c r="O22" i="41"/>
  <c r="N22" i="41" s="1"/>
  <c r="H22" i="41"/>
  <c r="T22" i="41" s="1"/>
  <c r="H23" i="41"/>
  <c r="Q23" i="41"/>
  <c r="U23" i="41"/>
  <c r="V23" i="41"/>
  <c r="T17" i="5" l="1"/>
  <c r="T18" i="5"/>
  <c r="T23" i="41"/>
  <c r="I17" i="41"/>
  <c r="G59" i="41" l="1"/>
  <c r="F48" i="41"/>
  <c r="G48" i="41"/>
  <c r="F44" i="41"/>
  <c r="G44" i="41"/>
  <c r="F42" i="41"/>
  <c r="G42" i="41"/>
  <c r="F39" i="41"/>
  <c r="G39" i="41"/>
  <c r="F27" i="41"/>
  <c r="F29" i="41" s="1"/>
  <c r="G27" i="41"/>
  <c r="G29" i="41" s="1"/>
  <c r="G20" i="41"/>
  <c r="G21" i="41" s="1"/>
  <c r="F17" i="41"/>
  <c r="G17" i="41"/>
  <c r="G11" i="41"/>
  <c r="H47" i="41"/>
  <c r="T47" i="41" s="1"/>
  <c r="H46" i="41"/>
  <c r="T46" i="41" s="1"/>
  <c r="H45" i="41"/>
  <c r="T45" i="41" s="1"/>
  <c r="H43" i="41"/>
  <c r="H41" i="41"/>
  <c r="T41" i="41" s="1"/>
  <c r="H40" i="41"/>
  <c r="T40" i="41" s="1"/>
  <c r="H38" i="41"/>
  <c r="T38" i="41" s="1"/>
  <c r="H37" i="41"/>
  <c r="T37" i="41" s="1"/>
  <c r="H36" i="41"/>
  <c r="T36" i="41" s="1"/>
  <c r="H35" i="41"/>
  <c r="T35" i="41" s="1"/>
  <c r="H34" i="41"/>
  <c r="T34" i="41" s="1"/>
  <c r="H33" i="41"/>
  <c r="T33" i="41" s="1"/>
  <c r="H32" i="41"/>
  <c r="T32" i="41" s="1"/>
  <c r="H31" i="41"/>
  <c r="T31" i="41" s="1"/>
  <c r="H30" i="41"/>
  <c r="T30" i="41" s="1"/>
  <c r="H28" i="41"/>
  <c r="T28" i="41" s="1"/>
  <c r="H26" i="41"/>
  <c r="T26" i="41" s="1"/>
  <c r="H25" i="41"/>
  <c r="T25" i="41" s="1"/>
  <c r="H24" i="41"/>
  <c r="T24" i="41" s="1"/>
  <c r="H19" i="41"/>
  <c r="H16" i="41"/>
  <c r="T16" i="41" s="1"/>
  <c r="H15" i="41"/>
  <c r="T15" i="41" s="1"/>
  <c r="H14" i="41"/>
  <c r="T14" i="41" s="1"/>
  <c r="H13" i="41"/>
  <c r="T13" i="41" s="1"/>
  <c r="H12" i="41"/>
  <c r="T12" i="41" s="1"/>
  <c r="H10" i="41"/>
  <c r="T10" i="41" s="1"/>
  <c r="H9" i="41"/>
  <c r="T9" i="41" s="1"/>
  <c r="H8" i="41"/>
  <c r="T8" i="41" s="1"/>
  <c r="H7" i="41"/>
  <c r="T7" i="41" s="1"/>
  <c r="H6" i="41"/>
  <c r="T6" i="41" s="1"/>
  <c r="H5" i="41"/>
  <c r="T5" i="41" s="1"/>
  <c r="H44" i="41" l="1"/>
  <c r="T43" i="41"/>
  <c r="H20" i="41"/>
  <c r="T19" i="41"/>
  <c r="G18" i="41"/>
  <c r="G49" i="41" s="1"/>
  <c r="G60" i="41" s="1"/>
  <c r="H42" i="41"/>
  <c r="H39" i="41"/>
  <c r="H48" i="41"/>
  <c r="H27" i="41"/>
  <c r="H17" i="41"/>
  <c r="H11" i="41"/>
  <c r="K18" i="196"/>
  <c r="D27" i="196"/>
  <c r="D28" i="196"/>
  <c r="D30" i="196" s="1"/>
  <c r="H21" i="41" l="1"/>
  <c r="H29" i="41"/>
  <c r="L19" i="197"/>
  <c r="H18" i="41"/>
  <c r="C23" i="196"/>
  <c r="H49" i="41" l="1"/>
  <c r="L33" i="197"/>
  <c r="E36" i="197"/>
  <c r="R28" i="202"/>
  <c r="S28" i="202"/>
  <c r="T28" i="202"/>
  <c r="R21" i="202"/>
  <c r="S21" i="202"/>
  <c r="T21" i="202"/>
  <c r="R16" i="202"/>
  <c r="S16" i="202"/>
  <c r="T16" i="202"/>
  <c r="T8" i="202"/>
  <c r="P8" i="202"/>
  <c r="R8" i="202"/>
  <c r="L35" i="197" l="1"/>
  <c r="E37" i="197"/>
  <c r="R29" i="202"/>
  <c r="T29" i="202"/>
  <c r="G32" i="202"/>
  <c r="I32" i="202"/>
  <c r="J32" i="202"/>
  <c r="K32" i="202"/>
  <c r="N32" i="202"/>
  <c r="O32" i="202"/>
  <c r="P32" i="202"/>
  <c r="R32" i="202"/>
  <c r="S32" i="202"/>
  <c r="T32" i="202"/>
  <c r="G28" i="202"/>
  <c r="I28" i="202"/>
  <c r="J28" i="202"/>
  <c r="K28" i="202"/>
  <c r="F21" i="202"/>
  <c r="G21" i="202"/>
  <c r="I21" i="202"/>
  <c r="J21" i="202"/>
  <c r="K21" i="202"/>
  <c r="N21" i="202"/>
  <c r="O21" i="202"/>
  <c r="P21" i="202"/>
  <c r="P29" i="202" s="1"/>
  <c r="G16" i="202"/>
  <c r="I16" i="202"/>
  <c r="J16" i="202"/>
  <c r="K16" i="202"/>
  <c r="M13" i="202"/>
  <c r="G8" i="202"/>
  <c r="I8" i="202"/>
  <c r="J8" i="202"/>
  <c r="K8" i="202"/>
  <c r="V31" i="202"/>
  <c r="V30" i="202"/>
  <c r="V27" i="202"/>
  <c r="V25" i="202"/>
  <c r="V24" i="202"/>
  <c r="V23" i="202"/>
  <c r="V22" i="202"/>
  <c r="V20" i="202"/>
  <c r="V19" i="202"/>
  <c r="V18" i="202"/>
  <c r="V17" i="202"/>
  <c r="V15" i="202"/>
  <c r="V14" i="202"/>
  <c r="V13" i="202"/>
  <c r="V11" i="202"/>
  <c r="V10" i="202"/>
  <c r="V9" i="202"/>
  <c r="V7" i="202"/>
  <c r="V6" i="202"/>
  <c r="M31" i="202"/>
  <c r="M32" i="202" s="1"/>
  <c r="M30" i="202"/>
  <c r="M28" i="202"/>
  <c r="M21" i="202"/>
  <c r="Y32" i="201"/>
  <c r="K18" i="201"/>
  <c r="K19" i="201" s="1"/>
  <c r="K50" i="201" s="1"/>
  <c r="K61" i="201" s="1"/>
  <c r="G21" i="201"/>
  <c r="G22" i="201" s="1"/>
  <c r="G18" i="201"/>
  <c r="G19" i="201" s="1"/>
  <c r="G50" i="201" s="1"/>
  <c r="G61" i="201" s="1"/>
  <c r="O69" i="194"/>
  <c r="O67" i="194"/>
  <c r="O65" i="194"/>
  <c r="O62" i="194"/>
  <c r="O60" i="194"/>
  <c r="O59" i="194"/>
  <c r="O58" i="194"/>
  <c r="O57" i="194"/>
  <c r="O56" i="194"/>
  <c r="O55" i="194"/>
  <c r="O53" i="194"/>
  <c r="O52" i="194"/>
  <c r="O49" i="194"/>
  <c r="O46" i="194"/>
  <c r="O45" i="194"/>
  <c r="O44" i="194"/>
  <c r="O43" i="194"/>
  <c r="O42" i="194"/>
  <c r="O41" i="194"/>
  <c r="O40" i="194"/>
  <c r="O39" i="194"/>
  <c r="O38" i="194"/>
  <c r="O37" i="194"/>
  <c r="O36" i="194"/>
  <c r="O35" i="194"/>
  <c r="O34" i="194"/>
  <c r="O33" i="194"/>
  <c r="O31" i="194"/>
  <c r="O30" i="194"/>
  <c r="O27" i="194"/>
  <c r="O25" i="194"/>
  <c r="O24" i="194"/>
  <c r="O23" i="194"/>
  <c r="O22" i="194"/>
  <c r="O20" i="194"/>
  <c r="O19" i="194"/>
  <c r="O18" i="194"/>
  <c r="O17" i="194"/>
  <c r="O15" i="194"/>
  <c r="O13" i="194"/>
  <c r="O12" i="194"/>
  <c r="O10" i="194"/>
  <c r="O9" i="194"/>
  <c r="P58" i="190"/>
  <c r="P59" i="190"/>
  <c r="Q58" i="190"/>
  <c r="Q59" i="190"/>
  <c r="T58" i="190"/>
  <c r="S58" i="190" s="1"/>
  <c r="T59" i="190"/>
  <c r="U58" i="190"/>
  <c r="U59" i="190"/>
  <c r="L68" i="194"/>
  <c r="K66" i="194"/>
  <c r="G66" i="194"/>
  <c r="G68" i="194" s="1"/>
  <c r="J62" i="194"/>
  <c r="J61" i="194" s="1"/>
  <c r="G61" i="194"/>
  <c r="L54" i="194"/>
  <c r="L51" i="194"/>
  <c r="G51" i="194"/>
  <c r="J51" i="194" s="1"/>
  <c r="L32" i="194"/>
  <c r="L29" i="194"/>
  <c r="G29" i="194"/>
  <c r="G28" i="194" s="1"/>
  <c r="L21" i="194"/>
  <c r="J20" i="194"/>
  <c r="L14" i="194"/>
  <c r="K14" i="194"/>
  <c r="K11" i="194" s="1"/>
  <c r="G14" i="194"/>
  <c r="G8" i="194"/>
  <c r="H53" i="190"/>
  <c r="G53" i="190" s="1"/>
  <c r="I39" i="190"/>
  <c r="H48" i="190"/>
  <c r="G48" i="190" s="1"/>
  <c r="H46" i="190"/>
  <c r="G46" i="190" s="1"/>
  <c r="D39" i="190"/>
  <c r="I36" i="190"/>
  <c r="H36" i="190"/>
  <c r="D36" i="190"/>
  <c r="I34" i="190"/>
  <c r="H34" i="190"/>
  <c r="D34" i="190"/>
  <c r="D28" i="190"/>
  <c r="I21" i="190"/>
  <c r="H21" i="190"/>
  <c r="G21" i="190" s="1"/>
  <c r="I13" i="190"/>
  <c r="H13" i="190"/>
  <c r="G13" i="190" s="1"/>
  <c r="D13" i="190"/>
  <c r="I11" i="190"/>
  <c r="H11" i="190"/>
  <c r="D11" i="190"/>
  <c r="D26" i="190" s="1"/>
  <c r="I8" i="190"/>
  <c r="H8" i="190"/>
  <c r="D8" i="190"/>
  <c r="K30" i="5"/>
  <c r="N30" i="5" s="1"/>
  <c r="J30" i="5"/>
  <c r="I30" i="5"/>
  <c r="H30" i="5" s="1"/>
  <c r="E30" i="5"/>
  <c r="V29" i="5"/>
  <c r="U29" i="5"/>
  <c r="Q29" i="5"/>
  <c r="J25" i="196" s="1"/>
  <c r="M25" i="196" s="1"/>
  <c r="V28" i="5"/>
  <c r="U28" i="5"/>
  <c r="Q28" i="5"/>
  <c r="E27" i="5"/>
  <c r="E31" i="5" s="1"/>
  <c r="P26" i="5"/>
  <c r="O26" i="5"/>
  <c r="L26" i="5"/>
  <c r="K26" i="5"/>
  <c r="J26" i="5"/>
  <c r="I26" i="5"/>
  <c r="H26" i="5" s="1"/>
  <c r="E26" i="5"/>
  <c r="V25" i="5"/>
  <c r="U25" i="5"/>
  <c r="Q25" i="5"/>
  <c r="V24" i="5"/>
  <c r="U24" i="5"/>
  <c r="Q24" i="5"/>
  <c r="J18" i="197" s="1"/>
  <c r="M18" i="197" s="1"/>
  <c r="V23" i="5"/>
  <c r="U23" i="5"/>
  <c r="Q23" i="5"/>
  <c r="V22" i="5"/>
  <c r="U22" i="5"/>
  <c r="Q22" i="5"/>
  <c r="J8" i="197" s="1"/>
  <c r="M8" i="197" s="1"/>
  <c r="V21" i="5"/>
  <c r="U21" i="5"/>
  <c r="Q21" i="5"/>
  <c r="J6" i="197" s="1"/>
  <c r="M6" i="197" s="1"/>
  <c r="P20" i="5"/>
  <c r="O20" i="5"/>
  <c r="K20" i="5"/>
  <c r="J20" i="5"/>
  <c r="I20" i="5"/>
  <c r="E20" i="5"/>
  <c r="V19" i="5"/>
  <c r="U19" i="5"/>
  <c r="Q19" i="5"/>
  <c r="J11" i="196" s="1"/>
  <c r="M11" i="196" s="1"/>
  <c r="V18" i="5"/>
  <c r="U18" i="5"/>
  <c r="Q18" i="5"/>
  <c r="V17" i="5"/>
  <c r="U17" i="5"/>
  <c r="Q17" i="5"/>
  <c r="V16" i="5"/>
  <c r="U16" i="5"/>
  <c r="Q16" i="5"/>
  <c r="V15" i="5"/>
  <c r="U15" i="5"/>
  <c r="Q15" i="5"/>
  <c r="J9" i="196" s="1"/>
  <c r="M9" i="196" s="1"/>
  <c r="P14" i="5"/>
  <c r="O14" i="5"/>
  <c r="K14" i="5"/>
  <c r="J14" i="5"/>
  <c r="I14" i="5"/>
  <c r="E14" i="5"/>
  <c r="V13" i="5"/>
  <c r="U13" i="5"/>
  <c r="Q13" i="5"/>
  <c r="V12" i="5"/>
  <c r="U12" i="5"/>
  <c r="Q12" i="5"/>
  <c r="V11" i="5"/>
  <c r="U11" i="5"/>
  <c r="Q11" i="5"/>
  <c r="V10" i="5"/>
  <c r="U10" i="5"/>
  <c r="Q10" i="5"/>
  <c r="V9" i="5"/>
  <c r="U9" i="5"/>
  <c r="Q9" i="5"/>
  <c r="V8" i="5"/>
  <c r="U8" i="5"/>
  <c r="Q8" i="5"/>
  <c r="J7" i="196" s="1"/>
  <c r="M7" i="196" s="1"/>
  <c r="P7" i="5"/>
  <c r="O7" i="5"/>
  <c r="K7" i="5"/>
  <c r="J7" i="5"/>
  <c r="I7" i="5"/>
  <c r="E7" i="5"/>
  <c r="V6" i="5"/>
  <c r="U6" i="5"/>
  <c r="Q6" i="5"/>
  <c r="V5" i="5"/>
  <c r="U5" i="5"/>
  <c r="Q5" i="5"/>
  <c r="R59" i="41"/>
  <c r="R60" i="41" s="1"/>
  <c r="L59" i="41"/>
  <c r="F58" i="41"/>
  <c r="E58" i="41"/>
  <c r="V56" i="41"/>
  <c r="V58" i="41" s="1"/>
  <c r="U56" i="41"/>
  <c r="U58" i="41" s="1"/>
  <c r="Q56" i="41"/>
  <c r="Q58" i="41" s="1"/>
  <c r="P55" i="41"/>
  <c r="P58" i="41" s="1"/>
  <c r="P59" i="41" s="1"/>
  <c r="O55" i="41"/>
  <c r="K55" i="41"/>
  <c r="K58" i="41" s="1"/>
  <c r="K59" i="41" s="1"/>
  <c r="J55" i="41"/>
  <c r="I55" i="41"/>
  <c r="H55" i="41" s="1"/>
  <c r="F55" i="41"/>
  <c r="E55" i="41"/>
  <c r="V54" i="41"/>
  <c r="V55" i="41" s="1"/>
  <c r="U54" i="41"/>
  <c r="U55" i="41" s="1"/>
  <c r="Q54" i="41"/>
  <c r="Q55" i="41" s="1"/>
  <c r="K53" i="41"/>
  <c r="N53" i="41" s="1"/>
  <c r="J53" i="41"/>
  <c r="I53" i="41"/>
  <c r="H53" i="41" s="1"/>
  <c r="F53" i="41"/>
  <c r="E53" i="41"/>
  <c r="V52" i="41"/>
  <c r="V53" i="41" s="1"/>
  <c r="U52" i="41"/>
  <c r="U53" i="41" s="1"/>
  <c r="Q52" i="41"/>
  <c r="Q53" i="41" s="1"/>
  <c r="K51" i="41"/>
  <c r="N51" i="41" s="1"/>
  <c r="J51" i="41"/>
  <c r="I51" i="41"/>
  <c r="H51" i="41" s="1"/>
  <c r="T51" i="41" s="1"/>
  <c r="F51" i="41"/>
  <c r="E51" i="41"/>
  <c r="V50" i="41"/>
  <c r="V51" i="41" s="1"/>
  <c r="U50" i="41"/>
  <c r="U51" i="41" s="1"/>
  <c r="Q50" i="41"/>
  <c r="Q51" i="41" s="1"/>
  <c r="P48" i="41"/>
  <c r="O48" i="41"/>
  <c r="N48" i="41" s="1"/>
  <c r="T48" i="41" s="1"/>
  <c r="K48" i="41"/>
  <c r="J48" i="41"/>
  <c r="I48" i="41"/>
  <c r="E48" i="41"/>
  <c r="V47" i="41"/>
  <c r="U47" i="41"/>
  <c r="Q47" i="41"/>
  <c r="C16" i="197" s="1"/>
  <c r="F16" i="197" s="1"/>
  <c r="V46" i="41"/>
  <c r="U46" i="41"/>
  <c r="Q46" i="41"/>
  <c r="C17" i="197" s="1"/>
  <c r="F17" i="197" s="1"/>
  <c r="V45" i="41"/>
  <c r="U45" i="41"/>
  <c r="Q45" i="41"/>
  <c r="P44" i="41"/>
  <c r="O44" i="41"/>
  <c r="K44" i="41"/>
  <c r="J44" i="41"/>
  <c r="I44" i="41"/>
  <c r="E44" i="41"/>
  <c r="V43" i="41"/>
  <c r="U43" i="41"/>
  <c r="Q43" i="41"/>
  <c r="P42" i="41"/>
  <c r="O42" i="41"/>
  <c r="K42" i="41"/>
  <c r="J42" i="41"/>
  <c r="I42" i="41"/>
  <c r="E42" i="41"/>
  <c r="V41" i="41"/>
  <c r="U41" i="41"/>
  <c r="Q41" i="41"/>
  <c r="V40" i="41"/>
  <c r="U40" i="41"/>
  <c r="Q40" i="41"/>
  <c r="P39" i="41"/>
  <c r="O39" i="41"/>
  <c r="N39" i="41" s="1"/>
  <c r="T39" i="41" s="1"/>
  <c r="K39" i="41"/>
  <c r="J39" i="41"/>
  <c r="I39" i="41"/>
  <c r="E39" i="41"/>
  <c r="V38" i="41"/>
  <c r="U38" i="41"/>
  <c r="Q38" i="41"/>
  <c r="V37" i="41"/>
  <c r="U37" i="41"/>
  <c r="Q37" i="41"/>
  <c r="V36" i="41"/>
  <c r="U36" i="41"/>
  <c r="Q36" i="41"/>
  <c r="V35" i="41"/>
  <c r="U35" i="41"/>
  <c r="Q35" i="41"/>
  <c r="V34" i="41"/>
  <c r="U34" i="41"/>
  <c r="Q34" i="41"/>
  <c r="V33" i="41"/>
  <c r="U33" i="41"/>
  <c r="Q33" i="41"/>
  <c r="V32" i="41"/>
  <c r="U32" i="41"/>
  <c r="Q32" i="41"/>
  <c r="V31" i="41"/>
  <c r="U31" i="41"/>
  <c r="Q31" i="41"/>
  <c r="V30" i="41"/>
  <c r="U30" i="41"/>
  <c r="Q30" i="41"/>
  <c r="V28" i="41"/>
  <c r="U28" i="41"/>
  <c r="Q28" i="41"/>
  <c r="K27" i="41"/>
  <c r="J27" i="41"/>
  <c r="I27" i="41"/>
  <c r="I29" i="41" s="1"/>
  <c r="E27" i="41"/>
  <c r="V26" i="41"/>
  <c r="U26" i="41"/>
  <c r="Q26" i="41"/>
  <c r="V25" i="41"/>
  <c r="U25" i="41"/>
  <c r="Q25" i="41"/>
  <c r="V24" i="41"/>
  <c r="U24" i="41"/>
  <c r="Q24" i="41"/>
  <c r="P20" i="41"/>
  <c r="P21" i="41" s="1"/>
  <c r="O20" i="41"/>
  <c r="K20" i="41"/>
  <c r="K21" i="41" s="1"/>
  <c r="J20" i="41"/>
  <c r="J21" i="41" s="1"/>
  <c r="I20" i="41"/>
  <c r="I21" i="41" s="1"/>
  <c r="F20" i="41"/>
  <c r="F21" i="41" s="1"/>
  <c r="E20" i="41"/>
  <c r="E21" i="41" s="1"/>
  <c r="V19" i="41"/>
  <c r="U19" i="41"/>
  <c r="Q19" i="41"/>
  <c r="P17" i="41"/>
  <c r="O17" i="41"/>
  <c r="L17" i="41"/>
  <c r="K17" i="41"/>
  <c r="J17" i="41"/>
  <c r="E17" i="41"/>
  <c r="V16" i="41"/>
  <c r="U16" i="41"/>
  <c r="Q16" i="41"/>
  <c r="V15" i="41"/>
  <c r="U15" i="41"/>
  <c r="Q15" i="41"/>
  <c r="V14" i="41"/>
  <c r="U14" i="41"/>
  <c r="Q14" i="41"/>
  <c r="V13" i="41"/>
  <c r="U13" i="41"/>
  <c r="Q13" i="41"/>
  <c r="V12" i="41"/>
  <c r="U12" i="41"/>
  <c r="Q12" i="41"/>
  <c r="P11" i="41"/>
  <c r="O11" i="41"/>
  <c r="L11" i="41"/>
  <c r="K11" i="41"/>
  <c r="J11" i="41"/>
  <c r="I11" i="41"/>
  <c r="F11" i="41"/>
  <c r="E11" i="41"/>
  <c r="E18" i="41" s="1"/>
  <c r="V10" i="41"/>
  <c r="U10" i="41"/>
  <c r="Q10" i="41"/>
  <c r="V9" i="41"/>
  <c r="U9" i="41"/>
  <c r="Q9" i="41"/>
  <c r="V8" i="41"/>
  <c r="U8" i="41"/>
  <c r="Q8" i="41"/>
  <c r="V7" i="41"/>
  <c r="U7" i="41"/>
  <c r="Q7" i="41"/>
  <c r="V6" i="41"/>
  <c r="U6" i="41"/>
  <c r="Q6" i="41"/>
  <c r="V5" i="41"/>
  <c r="U5" i="41"/>
  <c r="Q5" i="41"/>
  <c r="L28" i="194" l="1"/>
  <c r="K50" i="194"/>
  <c r="J50" i="194" s="1"/>
  <c r="Q7" i="5"/>
  <c r="J6" i="196" s="1"/>
  <c r="M6" i="196" s="1"/>
  <c r="Q14" i="5"/>
  <c r="J8" i="196" s="1"/>
  <c r="M8" i="196" s="1"/>
  <c r="G11" i="190"/>
  <c r="D30" i="190"/>
  <c r="G30" i="190" s="1"/>
  <c r="G28" i="190"/>
  <c r="J14" i="194"/>
  <c r="J66" i="194"/>
  <c r="V32" i="202"/>
  <c r="N20" i="41"/>
  <c r="T20" i="41" s="1"/>
  <c r="Q30" i="5"/>
  <c r="J26" i="196"/>
  <c r="G34" i="190"/>
  <c r="T30" i="5"/>
  <c r="N14" i="5"/>
  <c r="J10" i="196"/>
  <c r="M10" i="196" s="1"/>
  <c r="V26" i="5"/>
  <c r="G50" i="194"/>
  <c r="G64" i="194" s="1"/>
  <c r="Q20" i="5"/>
  <c r="G8" i="190"/>
  <c r="G36" i="190"/>
  <c r="J21" i="194"/>
  <c r="S59" i="190"/>
  <c r="T53" i="41"/>
  <c r="T55" i="41"/>
  <c r="H58" i="41"/>
  <c r="V28" i="202"/>
  <c r="J29" i="202"/>
  <c r="V21" i="202"/>
  <c r="G29" i="202"/>
  <c r="G33" i="202" s="1"/>
  <c r="K29" i="202"/>
  <c r="K33" i="202" s="1"/>
  <c r="N26" i="5"/>
  <c r="T26" i="5" s="1"/>
  <c r="N20" i="5"/>
  <c r="V20" i="5"/>
  <c r="V14" i="5"/>
  <c r="V7" i="5"/>
  <c r="O27" i="5"/>
  <c r="N7" i="5"/>
  <c r="K29" i="41"/>
  <c r="N29" i="41" s="1"/>
  <c r="T29" i="41" s="1"/>
  <c r="N27" i="41"/>
  <c r="T27" i="41" s="1"/>
  <c r="O58" i="41"/>
  <c r="N58" i="41" s="1"/>
  <c r="N55" i="41"/>
  <c r="N42" i="41"/>
  <c r="T42" i="41" s="1"/>
  <c r="N11" i="41"/>
  <c r="T11" i="41" s="1"/>
  <c r="N17" i="41"/>
  <c r="T17" i="41" s="1"/>
  <c r="N44" i="41"/>
  <c r="T44" i="41" s="1"/>
  <c r="J29" i="41"/>
  <c r="V29" i="41" s="1"/>
  <c r="U20" i="5"/>
  <c r="H20" i="5"/>
  <c r="U14" i="5"/>
  <c r="H14" i="5"/>
  <c r="I27" i="5"/>
  <c r="H7" i="5"/>
  <c r="Q27" i="41"/>
  <c r="Q44" i="41"/>
  <c r="U39" i="41"/>
  <c r="P18" i="41"/>
  <c r="P49" i="41" s="1"/>
  <c r="P60" i="41" s="1"/>
  <c r="V39" i="41"/>
  <c r="Q42" i="41"/>
  <c r="C6" i="197" s="1"/>
  <c r="F6" i="197" s="1"/>
  <c r="V44" i="41"/>
  <c r="K18" i="41"/>
  <c r="F59" i="41"/>
  <c r="L18" i="41"/>
  <c r="L49" i="41" s="1"/>
  <c r="L60" i="41" s="1"/>
  <c r="Q39" i="41"/>
  <c r="C7" i="196" s="1"/>
  <c r="F7" i="196" s="1"/>
  <c r="U59" i="41"/>
  <c r="Q17" i="41"/>
  <c r="C10" i="196" s="1"/>
  <c r="F10" i="196" s="1"/>
  <c r="U27" i="41"/>
  <c r="J18" i="41"/>
  <c r="V11" i="41"/>
  <c r="U42" i="41"/>
  <c r="L50" i="194"/>
  <c r="L64" i="194" s="1"/>
  <c r="U11" i="41"/>
  <c r="Q20" i="41"/>
  <c r="V42" i="41"/>
  <c r="U44" i="41"/>
  <c r="V48" i="41"/>
  <c r="I59" i="41"/>
  <c r="P27" i="5"/>
  <c r="P31" i="5" s="1"/>
  <c r="Q26" i="5"/>
  <c r="I29" i="202"/>
  <c r="V17" i="41"/>
  <c r="Q21" i="41"/>
  <c r="V20" i="41"/>
  <c r="Q48" i="41"/>
  <c r="V59" i="41"/>
  <c r="J59" i="41"/>
  <c r="U26" i="5"/>
  <c r="V30" i="5"/>
  <c r="Z32" i="201"/>
  <c r="T33" i="202"/>
  <c r="F18" i="41"/>
  <c r="F49" i="41" s="1"/>
  <c r="V21" i="41"/>
  <c r="V27" i="41"/>
  <c r="E59" i="41"/>
  <c r="K27" i="5"/>
  <c r="K31" i="5" s="1"/>
  <c r="K29" i="194"/>
  <c r="U7" i="5"/>
  <c r="D31" i="190"/>
  <c r="H26" i="190"/>
  <c r="G26" i="190" s="1"/>
  <c r="I26" i="190"/>
  <c r="I31" i="190" s="1"/>
  <c r="D60" i="190"/>
  <c r="L11" i="194"/>
  <c r="G16" i="194"/>
  <c r="J16" i="194" s="1"/>
  <c r="K68" i="194"/>
  <c r="J68" i="194" s="1"/>
  <c r="I60" i="190"/>
  <c r="H39" i="190"/>
  <c r="G39" i="190" s="1"/>
  <c r="Q27" i="5"/>
  <c r="Q31" i="5" s="1"/>
  <c r="U30" i="5"/>
  <c r="J27" i="5"/>
  <c r="J31" i="5" s="1"/>
  <c r="U29" i="41"/>
  <c r="Q59" i="41"/>
  <c r="U17" i="41"/>
  <c r="E29" i="41"/>
  <c r="Q11" i="41"/>
  <c r="C9" i="196" s="1"/>
  <c r="F9" i="196" s="1"/>
  <c r="O18" i="41"/>
  <c r="O21" i="41"/>
  <c r="U48" i="41"/>
  <c r="U20" i="41"/>
  <c r="I18" i="41"/>
  <c r="Y46" i="201"/>
  <c r="Y10" i="201"/>
  <c r="Y11" i="201"/>
  <c r="Z11" i="201" s="1"/>
  <c r="N43" i="201"/>
  <c r="E43" i="201"/>
  <c r="N59" i="201"/>
  <c r="V59" i="201" s="1"/>
  <c r="O59" i="201"/>
  <c r="R59" i="201"/>
  <c r="S59" i="201"/>
  <c r="W59" i="201"/>
  <c r="X59" i="201"/>
  <c r="N56" i="201"/>
  <c r="O56" i="201"/>
  <c r="R56" i="201"/>
  <c r="S56" i="201"/>
  <c r="W56" i="201"/>
  <c r="X56" i="201"/>
  <c r="N54" i="201"/>
  <c r="O54" i="201"/>
  <c r="R54" i="201"/>
  <c r="S54" i="201"/>
  <c r="S60" i="201" s="1"/>
  <c r="W54" i="201"/>
  <c r="W60" i="201" s="1"/>
  <c r="X54" i="201"/>
  <c r="N52" i="201"/>
  <c r="Y20" i="201"/>
  <c r="Y21" i="201" s="1"/>
  <c r="Y22" i="201" s="1"/>
  <c r="F21" i="201"/>
  <c r="F22" i="201" s="1"/>
  <c r="I21" i="201"/>
  <c r="I22" i="201" s="1"/>
  <c r="J21" i="201"/>
  <c r="J22" i="201" s="1"/>
  <c r="N21" i="201"/>
  <c r="O21" i="201"/>
  <c r="O22" i="201" s="1"/>
  <c r="O50" i="201" s="1"/>
  <c r="R21" i="201"/>
  <c r="R22" i="201" s="1"/>
  <c r="R50" i="201" s="1"/>
  <c r="S21" i="201"/>
  <c r="S22" i="201" s="1"/>
  <c r="S50" i="201" s="1"/>
  <c r="W21" i="201"/>
  <c r="W22" i="201" s="1"/>
  <c r="W50" i="201" s="1"/>
  <c r="X21" i="201"/>
  <c r="X22" i="201" s="1"/>
  <c r="X50" i="201" s="1"/>
  <c r="E21" i="201"/>
  <c r="E22" i="201"/>
  <c r="N49" i="201"/>
  <c r="E49" i="201"/>
  <c r="Y42" i="201"/>
  <c r="N45" i="201"/>
  <c r="E45" i="201"/>
  <c r="N40" i="201"/>
  <c r="I28" i="201"/>
  <c r="I30" i="201" s="1"/>
  <c r="J28" i="201"/>
  <c r="J30" i="201" s="1"/>
  <c r="N28" i="201"/>
  <c r="Y14" i="201"/>
  <c r="F18" i="201"/>
  <c r="F19" i="201" s="1"/>
  <c r="I18" i="201"/>
  <c r="I19" i="201" s="1"/>
  <c r="J18" i="201"/>
  <c r="J19" i="201" s="1"/>
  <c r="N18" i="201"/>
  <c r="N12" i="201"/>
  <c r="E12" i="201"/>
  <c r="O8" i="202"/>
  <c r="S8" i="202"/>
  <c r="S29" i="202" s="1"/>
  <c r="L48" i="194" l="1"/>
  <c r="L70" i="194" s="1"/>
  <c r="J29" i="194"/>
  <c r="J28" i="194" s="1"/>
  <c r="K28" i="194"/>
  <c r="K48" i="194" s="1"/>
  <c r="K64" i="194"/>
  <c r="J64" i="194"/>
  <c r="D61" i="190"/>
  <c r="T20" i="5"/>
  <c r="V21" i="201"/>
  <c r="V22" i="201" s="1"/>
  <c r="V50" i="201" s="1"/>
  <c r="R60" i="201"/>
  <c r="M21" i="201"/>
  <c r="M22" i="201" s="1"/>
  <c r="O60" i="201"/>
  <c r="O61" i="201" s="1"/>
  <c r="T7" i="5"/>
  <c r="Q29" i="41"/>
  <c r="C6" i="196" s="1"/>
  <c r="F6" i="196" s="1"/>
  <c r="H59" i="41"/>
  <c r="T59" i="41" s="1"/>
  <c r="K49" i="41"/>
  <c r="K60" i="41" s="1"/>
  <c r="V54" i="201"/>
  <c r="J49" i="41"/>
  <c r="W61" i="201"/>
  <c r="S61" i="201"/>
  <c r="V27" i="5"/>
  <c r="V31" i="5" s="1"/>
  <c r="V56" i="201"/>
  <c r="X61" i="201"/>
  <c r="J50" i="201"/>
  <c r="J61" i="201" s="1"/>
  <c r="I50" i="201"/>
  <c r="I61" i="201" s="1"/>
  <c r="F50" i="201"/>
  <c r="F61" i="201" s="1"/>
  <c r="R61" i="201"/>
  <c r="X60" i="201"/>
  <c r="T58" i="41"/>
  <c r="T14" i="5"/>
  <c r="I61" i="190"/>
  <c r="H31" i="190"/>
  <c r="G31" i="190" s="1"/>
  <c r="N27" i="5"/>
  <c r="T27" i="5" s="1"/>
  <c r="O31" i="5"/>
  <c r="N31" i="5" s="1"/>
  <c r="O59" i="41"/>
  <c r="N59" i="41" s="1"/>
  <c r="N18" i="41"/>
  <c r="T18" i="41" s="1"/>
  <c r="N21" i="41"/>
  <c r="T21" i="41" s="1"/>
  <c r="U27" i="5"/>
  <c r="U31" i="5" s="1"/>
  <c r="I31" i="5"/>
  <c r="H31" i="5" s="1"/>
  <c r="H27" i="5"/>
  <c r="J60" i="41"/>
  <c r="V18" i="41"/>
  <c r="V49" i="41" s="1"/>
  <c r="V60" i="41" s="1"/>
  <c r="F60" i="41"/>
  <c r="N19" i="201"/>
  <c r="N22" i="201"/>
  <c r="N30" i="201"/>
  <c r="U21" i="41"/>
  <c r="N60" i="201"/>
  <c r="G11" i="194"/>
  <c r="H60" i="190"/>
  <c r="G60" i="190" s="1"/>
  <c r="Q18" i="41"/>
  <c r="Q49" i="41" s="1"/>
  <c r="Q60" i="41" s="1"/>
  <c r="E49" i="41"/>
  <c r="E60" i="41" s="1"/>
  <c r="U18" i="41"/>
  <c r="I49" i="41"/>
  <c r="O49" i="41"/>
  <c r="N49" i="41" s="1"/>
  <c r="T49" i="41" s="1"/>
  <c r="Z46" i="201"/>
  <c r="Z10" i="201"/>
  <c r="Z20" i="201"/>
  <c r="Z21" i="201" s="1"/>
  <c r="Z22" i="201" s="1"/>
  <c r="Z44" i="201"/>
  <c r="Z45" i="201" s="1"/>
  <c r="Z42" i="201"/>
  <c r="Z14" i="201"/>
  <c r="K70" i="194" l="1"/>
  <c r="G48" i="194"/>
  <c r="G70" i="194" s="1"/>
  <c r="T31" i="5"/>
  <c r="V60" i="201"/>
  <c r="J11" i="194"/>
  <c r="J48" i="194" s="1"/>
  <c r="V61" i="201"/>
  <c r="N50" i="201"/>
  <c r="N61" i="201" s="1"/>
  <c r="P32" i="5"/>
  <c r="J32" i="5"/>
  <c r="U49" i="41"/>
  <c r="U60" i="41" s="1"/>
  <c r="H61" i="190"/>
  <c r="G61" i="190" s="1"/>
  <c r="I60" i="41"/>
  <c r="H60" i="41" s="1"/>
  <c r="O60" i="41"/>
  <c r="N60" i="41" s="1"/>
  <c r="F32" i="202"/>
  <c r="F28" i="202"/>
  <c r="F16" i="202"/>
  <c r="J33" i="202"/>
  <c r="N16" i="202"/>
  <c r="O16" i="202"/>
  <c r="O29" i="202" s="1"/>
  <c r="S33" i="202"/>
  <c r="W16" i="202"/>
  <c r="X16" i="202"/>
  <c r="F8" i="202"/>
  <c r="J70" i="194" l="1"/>
  <c r="T60" i="41"/>
  <c r="V16" i="202"/>
  <c r="F29" i="202"/>
  <c r="F33" i="202" s="1"/>
  <c r="O33" i="202"/>
  <c r="P61" i="41"/>
  <c r="J61" i="41"/>
  <c r="X32" i="202"/>
  <c r="W32" i="202"/>
  <c r="E32" i="202"/>
  <c r="Y31" i="202"/>
  <c r="Y30" i="202"/>
  <c r="X28" i="202"/>
  <c r="W28" i="202"/>
  <c r="N28" i="202"/>
  <c r="E28" i="202"/>
  <c r="Y27" i="202"/>
  <c r="Z27" i="202" s="1"/>
  <c r="Z26" i="202"/>
  <c r="Y25" i="202"/>
  <c r="Y24" i="202"/>
  <c r="Z24" i="202"/>
  <c r="Y23" i="202"/>
  <c r="Y22" i="202"/>
  <c r="X21" i="202"/>
  <c r="W21" i="202"/>
  <c r="R33" i="202"/>
  <c r="E21" i="202"/>
  <c r="Y19" i="202"/>
  <c r="Y18" i="202"/>
  <c r="Y17" i="202"/>
  <c r="E16" i="202"/>
  <c r="Y15" i="202"/>
  <c r="Z15" i="202" s="1"/>
  <c r="Y14" i="202"/>
  <c r="Z14" i="202" s="1"/>
  <c r="Y13" i="202"/>
  <c r="Y12" i="202"/>
  <c r="Z12" i="202" s="1"/>
  <c r="Y11" i="202"/>
  <c r="Y10" i="202"/>
  <c r="Z10" i="202" s="1"/>
  <c r="Y9" i="202"/>
  <c r="Z9" i="202" s="1"/>
  <c r="X8" i="202"/>
  <c r="W8" i="202"/>
  <c r="N8" i="202"/>
  <c r="V8" i="202" s="1"/>
  <c r="E8" i="202"/>
  <c r="M8" i="202" s="1"/>
  <c r="Y7" i="202"/>
  <c r="Y6" i="202"/>
  <c r="E59" i="201"/>
  <c r="Y57" i="201"/>
  <c r="Y59" i="201" s="1"/>
  <c r="E56" i="201"/>
  <c r="Y55" i="201"/>
  <c r="Z55" i="201" s="1"/>
  <c r="Z56" i="201" s="1"/>
  <c r="E54" i="201"/>
  <c r="Y53" i="201"/>
  <c r="Y54" i="201" s="1"/>
  <c r="E52" i="201"/>
  <c r="Y51" i="201"/>
  <c r="Y52" i="201" s="1"/>
  <c r="Y48" i="201"/>
  <c r="Y47" i="201"/>
  <c r="Y41" i="201"/>
  <c r="Y43" i="201" s="1"/>
  <c r="E40" i="201"/>
  <c r="Y39" i="201"/>
  <c r="Y38" i="201"/>
  <c r="Y37" i="201"/>
  <c r="Y36" i="201"/>
  <c r="Y35" i="201"/>
  <c r="Y34" i="201"/>
  <c r="Y33" i="201"/>
  <c r="Y31" i="201"/>
  <c r="E28" i="201"/>
  <c r="Y27" i="201"/>
  <c r="Y26" i="201"/>
  <c r="Y25" i="201"/>
  <c r="Y28" i="201" s="1"/>
  <c r="Y30" i="201" s="1"/>
  <c r="E18" i="201"/>
  <c r="M18" i="201" s="1"/>
  <c r="M19" i="201" s="1"/>
  <c r="Y17" i="201"/>
  <c r="Y16" i="201"/>
  <c r="Y15" i="201"/>
  <c r="Y13" i="201"/>
  <c r="Y9" i="201"/>
  <c r="Y8" i="201"/>
  <c r="Z8" i="201"/>
  <c r="Y7" i="201"/>
  <c r="Y6" i="201"/>
  <c r="Q66" i="194"/>
  <c r="Q68" i="194" s="1"/>
  <c r="P66" i="194"/>
  <c r="M66" i="194"/>
  <c r="M68" i="194" s="1"/>
  <c r="Z6" i="201" l="1"/>
  <c r="Y12" i="201"/>
  <c r="Y49" i="201"/>
  <c r="Y18" i="201"/>
  <c r="M28" i="201"/>
  <c r="E30" i="201"/>
  <c r="Y60" i="201"/>
  <c r="Y40" i="201"/>
  <c r="Y28" i="202"/>
  <c r="Z53" i="201"/>
  <c r="Z54" i="201" s="1"/>
  <c r="Y8" i="202"/>
  <c r="Z6" i="202"/>
  <c r="Y56" i="201"/>
  <c r="Y16" i="202"/>
  <c r="E29" i="202"/>
  <c r="E33" i="202" s="1"/>
  <c r="M16" i="202"/>
  <c r="P68" i="194"/>
  <c r="O68" i="194" s="1"/>
  <c r="O66" i="194"/>
  <c r="Z47" i="201"/>
  <c r="Y32" i="202"/>
  <c r="V29" i="202"/>
  <c r="V33" i="202" s="1"/>
  <c r="E60" i="201"/>
  <c r="Z36" i="201"/>
  <c r="Z34" i="201"/>
  <c r="Z15" i="201"/>
  <c r="Z31" i="201"/>
  <c r="Z17" i="201"/>
  <c r="Z38" i="201"/>
  <c r="Z41" i="201"/>
  <c r="Z43" i="201" s="1"/>
  <c r="Z39" i="201"/>
  <c r="Z37" i="201"/>
  <c r="Z35" i="201"/>
  <c r="Z16" i="201"/>
  <c r="Z9" i="201"/>
  <c r="Z31" i="202"/>
  <c r="Z22" i="202"/>
  <c r="Z11" i="202"/>
  <c r="Z30" i="202"/>
  <c r="Z28" i="202"/>
  <c r="Z23" i="202"/>
  <c r="Z20" i="202"/>
  <c r="Z19" i="202"/>
  <c r="Z18" i="202"/>
  <c r="Z17" i="202"/>
  <c r="Z13" i="202"/>
  <c r="Z7" i="202"/>
  <c r="N29" i="202"/>
  <c r="W29" i="202"/>
  <c r="W33" i="202" s="1"/>
  <c r="Y21" i="202"/>
  <c r="X29" i="202"/>
  <c r="X33" i="202" s="1"/>
  <c r="E19" i="201"/>
  <c r="Z25" i="202"/>
  <c r="Z33" i="201"/>
  <c r="Z48" i="201"/>
  <c r="Z49" i="201" s="1"/>
  <c r="Z51" i="201"/>
  <c r="Z52" i="201" s="1"/>
  <c r="Z7" i="201"/>
  <c r="Z13" i="201"/>
  <c r="Z18" i="201" s="1"/>
  <c r="Z57" i="201"/>
  <c r="Z59" i="201" s="1"/>
  <c r="Z28" i="201" l="1"/>
  <c r="Z30" i="201" s="1"/>
  <c r="M30" i="201"/>
  <c r="M50" i="201" s="1"/>
  <c r="M61" i="201" s="1"/>
  <c r="Z60" i="201"/>
  <c r="Y19" i="201"/>
  <c r="Y50" i="201" s="1"/>
  <c r="Y61" i="201" s="1"/>
  <c r="Z12" i="201"/>
  <c r="Z19" i="201" s="1"/>
  <c r="E50" i="201"/>
  <c r="Y29" i="202"/>
  <c r="Y33" i="202" s="1"/>
  <c r="N33" i="202"/>
  <c r="I33" i="202"/>
  <c r="M33" i="202" s="1"/>
  <c r="M29" i="202"/>
  <c r="Z32" i="202"/>
  <c r="Z8" i="202"/>
  <c r="Z40" i="201"/>
  <c r="Z21" i="202"/>
  <c r="Z16" i="202"/>
  <c r="E61" i="201" l="1"/>
  <c r="Z29" i="202"/>
  <c r="Z33" i="202" s="1"/>
  <c r="Z50" i="201"/>
  <c r="Z61" i="201" s="1"/>
  <c r="F14" i="198"/>
  <c r="F15" i="198" s="1"/>
  <c r="G14" i="198"/>
  <c r="G15" i="198" s="1"/>
  <c r="P51" i="194" l="1"/>
  <c r="Q51" i="194"/>
  <c r="P54" i="194"/>
  <c r="Q54" i="194"/>
  <c r="P61" i="194"/>
  <c r="Q61" i="194"/>
  <c r="P32" i="194"/>
  <c r="Q32" i="194"/>
  <c r="Q28" i="194" s="1"/>
  <c r="P11" i="194"/>
  <c r="Q11" i="194"/>
  <c r="P8" i="194"/>
  <c r="Q8" i="194"/>
  <c r="M61" i="194"/>
  <c r="M54" i="194"/>
  <c r="M51" i="194"/>
  <c r="M32" i="194"/>
  <c r="M29" i="194"/>
  <c r="O29" i="194" s="1"/>
  <c r="M21" i="194"/>
  <c r="O21" i="194" s="1"/>
  <c r="M16" i="194"/>
  <c r="O16" i="194" s="1"/>
  <c r="M14" i="194"/>
  <c r="O14" i="194" s="1"/>
  <c r="M8" i="194"/>
  <c r="U41" i="190"/>
  <c r="U42" i="190"/>
  <c r="U43" i="190"/>
  <c r="U47" i="190"/>
  <c r="U52" i="190"/>
  <c r="U53" i="190"/>
  <c r="U54" i="190"/>
  <c r="U55" i="190"/>
  <c r="U57" i="190"/>
  <c r="U40" i="190"/>
  <c r="U37" i="190"/>
  <c r="U36" i="190" s="1"/>
  <c r="U35" i="190"/>
  <c r="U34" i="190" s="1"/>
  <c r="U23" i="190"/>
  <c r="U24" i="190"/>
  <c r="U25" i="190"/>
  <c r="U22" i="190"/>
  <c r="U15" i="190"/>
  <c r="U16" i="190"/>
  <c r="U17" i="190"/>
  <c r="U18" i="190"/>
  <c r="U19" i="190"/>
  <c r="U20" i="190"/>
  <c r="U14" i="190"/>
  <c r="U12" i="190"/>
  <c r="T41" i="190"/>
  <c r="T42" i="190"/>
  <c r="T43" i="190"/>
  <c r="T44" i="190"/>
  <c r="T45" i="190"/>
  <c r="T46" i="190"/>
  <c r="T47" i="190"/>
  <c r="T48" i="190"/>
  <c r="T49" i="190"/>
  <c r="T50" i="190"/>
  <c r="T51" i="190"/>
  <c r="T52" i="190"/>
  <c r="T53" i="190"/>
  <c r="T54" i="190"/>
  <c r="T55" i="190"/>
  <c r="T56" i="190"/>
  <c r="T57" i="190"/>
  <c r="T40" i="190"/>
  <c r="T37" i="190"/>
  <c r="T35" i="190"/>
  <c r="T23" i="190"/>
  <c r="T24" i="190"/>
  <c r="T25" i="190"/>
  <c r="T22" i="190"/>
  <c r="T15" i="190"/>
  <c r="T16" i="190"/>
  <c r="T17" i="190"/>
  <c r="T18" i="190"/>
  <c r="T19" i="190"/>
  <c r="T20" i="190"/>
  <c r="T14" i="190"/>
  <c r="T12" i="190"/>
  <c r="P41" i="190"/>
  <c r="P42" i="190"/>
  <c r="P43" i="190"/>
  <c r="P44" i="190"/>
  <c r="P45" i="190"/>
  <c r="P46" i="190"/>
  <c r="P47" i="190"/>
  <c r="P48" i="190"/>
  <c r="P49" i="190"/>
  <c r="P50" i="190"/>
  <c r="P51" i="190"/>
  <c r="P52" i="190"/>
  <c r="P53" i="190"/>
  <c r="P54" i="190"/>
  <c r="P55" i="190"/>
  <c r="P56" i="190"/>
  <c r="P57" i="190"/>
  <c r="P40" i="190"/>
  <c r="P37" i="190"/>
  <c r="P36" i="190" s="1"/>
  <c r="P35" i="190"/>
  <c r="P25" i="190"/>
  <c r="P23" i="190"/>
  <c r="P24" i="190"/>
  <c r="P22" i="190"/>
  <c r="P15" i="190"/>
  <c r="P16" i="190"/>
  <c r="P17" i="190"/>
  <c r="P18" i="190"/>
  <c r="P19" i="190"/>
  <c r="P20" i="190"/>
  <c r="P14" i="190"/>
  <c r="P12" i="190"/>
  <c r="U11" i="190"/>
  <c r="U10" i="190"/>
  <c r="T10" i="190"/>
  <c r="Q10" i="190"/>
  <c r="N39" i="190"/>
  <c r="O39" i="190"/>
  <c r="N36" i="190"/>
  <c r="O36" i="190"/>
  <c r="N34" i="190"/>
  <c r="O34" i="190"/>
  <c r="U50" i="190"/>
  <c r="U46" i="190"/>
  <c r="U45" i="190"/>
  <c r="U51" i="190"/>
  <c r="U48" i="190"/>
  <c r="U49" i="190"/>
  <c r="U56" i="190"/>
  <c r="U44" i="190"/>
  <c r="Q37" i="190"/>
  <c r="Q36" i="190" s="1"/>
  <c r="T34" i="190" l="1"/>
  <c r="O8" i="194"/>
  <c r="O54" i="194"/>
  <c r="T36" i="190"/>
  <c r="S36" i="190" s="1"/>
  <c r="S37" i="190"/>
  <c r="S51" i="190"/>
  <c r="T11" i="190"/>
  <c r="S10" i="190"/>
  <c r="S41" i="190"/>
  <c r="O61" i="194"/>
  <c r="O51" i="194"/>
  <c r="P28" i="194"/>
  <c r="O32" i="194"/>
  <c r="P50" i="194"/>
  <c r="P64" i="194" s="1"/>
  <c r="N60" i="190"/>
  <c r="P21" i="190"/>
  <c r="P39" i="190"/>
  <c r="O60" i="190"/>
  <c r="U21" i="190"/>
  <c r="Q50" i="194"/>
  <c r="Q64" i="194" s="1"/>
  <c r="Q48" i="194"/>
  <c r="U39" i="190"/>
  <c r="U60" i="190" s="1"/>
  <c r="Q35" i="190"/>
  <c r="Q34" i="190" s="1"/>
  <c r="M50" i="194"/>
  <c r="M64" i="194" s="1"/>
  <c r="M28" i="194"/>
  <c r="M11" i="194"/>
  <c r="O11" i="194" s="1"/>
  <c r="U13" i="190"/>
  <c r="T39" i="190"/>
  <c r="T21" i="190"/>
  <c r="T13" i="190"/>
  <c r="Q41" i="190"/>
  <c r="Q42" i="190"/>
  <c r="S42" i="190" s="1"/>
  <c r="Q43" i="190"/>
  <c r="S43" i="190" s="1"/>
  <c r="Q44" i="190"/>
  <c r="S44" i="190" s="1"/>
  <c r="Q45" i="190"/>
  <c r="S45" i="190" s="1"/>
  <c r="Q46" i="190"/>
  <c r="S46" i="190" s="1"/>
  <c r="Q47" i="190"/>
  <c r="S47" i="190" s="1"/>
  <c r="Q48" i="190"/>
  <c r="S48" i="190" s="1"/>
  <c r="Q49" i="190"/>
  <c r="S49" i="190" s="1"/>
  <c r="Q50" i="190"/>
  <c r="S50" i="190" s="1"/>
  <c r="Q51" i="190"/>
  <c r="Q52" i="190"/>
  <c r="S52" i="190" s="1"/>
  <c r="Q53" i="190"/>
  <c r="S53" i="190" s="1"/>
  <c r="Q54" i="190"/>
  <c r="S54" i="190" s="1"/>
  <c r="Q55" i="190"/>
  <c r="S55" i="190" s="1"/>
  <c r="Q56" i="190"/>
  <c r="S56" i="190" s="1"/>
  <c r="Q57" i="190"/>
  <c r="S57" i="190" s="1"/>
  <c r="Q40" i="190"/>
  <c r="S40" i="190" s="1"/>
  <c r="N21" i="190"/>
  <c r="O21" i="190"/>
  <c r="O13" i="190"/>
  <c r="N13" i="190"/>
  <c r="Q15" i="190"/>
  <c r="S15" i="190" s="1"/>
  <c r="Q16" i="190"/>
  <c r="S16" i="190" s="1"/>
  <c r="Q17" i="190"/>
  <c r="S17" i="190" s="1"/>
  <c r="Q18" i="190"/>
  <c r="S18" i="190" s="1"/>
  <c r="Q14" i="190"/>
  <c r="S14" i="190" s="1"/>
  <c r="Q24" i="190"/>
  <c r="S24" i="190" s="1"/>
  <c r="Q25" i="190"/>
  <c r="S25" i="190" s="1"/>
  <c r="Q22" i="190"/>
  <c r="S22" i="190" s="1"/>
  <c r="U9" i="190"/>
  <c r="U8" i="190" s="1"/>
  <c r="T9" i="190"/>
  <c r="P9" i="190"/>
  <c r="O18" i="196"/>
  <c r="N19" i="197"/>
  <c r="N27" i="196"/>
  <c r="O27" i="196"/>
  <c r="N18" i="196"/>
  <c r="F24" i="197"/>
  <c r="G26" i="197"/>
  <c r="H26" i="197"/>
  <c r="G20" i="197"/>
  <c r="N37" i="197" s="1"/>
  <c r="H20" i="197"/>
  <c r="H37" i="197" s="1"/>
  <c r="H19" i="197"/>
  <c r="C14" i="197"/>
  <c r="F14" i="197" s="1"/>
  <c r="G19" i="196"/>
  <c r="H19" i="196"/>
  <c r="N33" i="197" l="1"/>
  <c r="N36" i="197"/>
  <c r="H27" i="196"/>
  <c r="H28" i="196" s="1"/>
  <c r="H30" i="196" s="1"/>
  <c r="H32" i="196"/>
  <c r="N32" i="196"/>
  <c r="T8" i="190"/>
  <c r="T60" i="190"/>
  <c r="S35" i="190"/>
  <c r="H32" i="197"/>
  <c r="H33" i="197" s="1"/>
  <c r="H35" i="197" s="1"/>
  <c r="O28" i="196"/>
  <c r="O30" i="196" s="1"/>
  <c r="N28" i="196"/>
  <c r="N30" i="196" s="1"/>
  <c r="O64" i="194"/>
  <c r="O50" i="194"/>
  <c r="O28" i="194"/>
  <c r="G19" i="197"/>
  <c r="G32" i="197"/>
  <c r="P48" i="194"/>
  <c r="M48" i="194"/>
  <c r="M70" i="194" s="1"/>
  <c r="N70" i="194"/>
  <c r="Q70" i="194"/>
  <c r="U26" i="190"/>
  <c r="U31" i="190" s="1"/>
  <c r="U61" i="190" s="1"/>
  <c r="N26" i="190"/>
  <c r="Q19" i="190"/>
  <c r="S19" i="190" s="1"/>
  <c r="Q9" i="190"/>
  <c r="Q8" i="190" s="1"/>
  <c r="O26" i="190"/>
  <c r="O31" i="190" s="1"/>
  <c r="O61" i="190" s="1"/>
  <c r="N35" i="197"/>
  <c r="Q12" i="190"/>
  <c r="Q39" i="190"/>
  <c r="Q60" i="190" s="1"/>
  <c r="Q23" i="190"/>
  <c r="Q20" i="190"/>
  <c r="S20" i="190" s="1"/>
  <c r="O33" i="197"/>
  <c r="O35" i="197" s="1"/>
  <c r="T26" i="190"/>
  <c r="G27" i="196"/>
  <c r="G28" i="196" s="1"/>
  <c r="O37" i="197" l="1"/>
  <c r="O48" i="194"/>
  <c r="S39" i="190"/>
  <c r="Q21" i="190"/>
  <c r="S21" i="190" s="1"/>
  <c r="S23" i="190"/>
  <c r="Q11" i="190"/>
  <c r="S12" i="190"/>
  <c r="T31" i="190"/>
  <c r="S9" i="190"/>
  <c r="G37" i="197"/>
  <c r="G30" i="196"/>
  <c r="G33" i="197"/>
  <c r="P70" i="194"/>
  <c r="O70" i="194" s="1"/>
  <c r="N31" i="190"/>
  <c r="Q13" i="190"/>
  <c r="Q26" i="190" s="1"/>
  <c r="Q31" i="190" s="1"/>
  <c r="Q61" i="190" s="1"/>
  <c r="T61" i="190" l="1"/>
  <c r="G35" i="197"/>
  <c r="N61" i="190"/>
  <c r="J18" i="200" l="1"/>
  <c r="J17" i="200"/>
  <c r="I16" i="200"/>
  <c r="H16" i="200"/>
  <c r="G16" i="200"/>
  <c r="F16" i="200"/>
  <c r="E16" i="200"/>
  <c r="D16" i="200"/>
  <c r="D14" i="200"/>
  <c r="J13" i="200"/>
  <c r="J12" i="200"/>
  <c r="I11" i="200"/>
  <c r="H11" i="200"/>
  <c r="G11" i="200"/>
  <c r="F11" i="200"/>
  <c r="E11" i="200"/>
  <c r="D11" i="200"/>
  <c r="J10" i="200"/>
  <c r="H8" i="200"/>
  <c r="H15" i="200" s="1"/>
  <c r="H14" i="200" s="1"/>
  <c r="G8" i="200"/>
  <c r="G15" i="200" s="1"/>
  <c r="G14" i="200" s="1"/>
  <c r="F8" i="200"/>
  <c r="F15" i="200" s="1"/>
  <c r="F14" i="200" s="1"/>
  <c r="E8" i="200"/>
  <c r="E15" i="200" s="1"/>
  <c r="E14" i="200" s="1"/>
  <c r="D8" i="200"/>
  <c r="J7" i="200"/>
  <c r="J6" i="200"/>
  <c r="I5" i="200"/>
  <c r="H5" i="200"/>
  <c r="G5" i="200"/>
  <c r="F5" i="200"/>
  <c r="E5" i="200"/>
  <c r="D5" i="200"/>
  <c r="E19" i="200" l="1"/>
  <c r="F19" i="200"/>
  <c r="D19" i="200"/>
  <c r="J11" i="200"/>
  <c r="H19" i="200"/>
  <c r="G19" i="200"/>
  <c r="J16" i="200"/>
  <c r="J5" i="200"/>
  <c r="P29" i="190" l="1"/>
  <c r="F19" i="196"/>
  <c r="J9" i="197"/>
  <c r="M9" i="197" s="1"/>
  <c r="M19" i="197" s="1"/>
  <c r="J39" i="190"/>
  <c r="M39" i="190" s="1"/>
  <c r="J36" i="190"/>
  <c r="M36" i="190" s="1"/>
  <c r="P34" i="190"/>
  <c r="S34" i="190" s="1"/>
  <c r="P11" i="190"/>
  <c r="S11" i="190" s="1"/>
  <c r="P8" i="190"/>
  <c r="S8" i="190" s="1"/>
  <c r="J28" i="190"/>
  <c r="J13" i="190"/>
  <c r="M13" i="190" s="1"/>
  <c r="J21" i="190"/>
  <c r="M21" i="190" s="1"/>
  <c r="J11" i="190"/>
  <c r="M11" i="190" s="1"/>
  <c r="J8" i="190"/>
  <c r="M8" i="190" s="1"/>
  <c r="J34" i="190"/>
  <c r="M34" i="190" s="1"/>
  <c r="D14" i="198"/>
  <c r="D15" i="198" s="1"/>
  <c r="C20" i="197"/>
  <c r="F20" i="197" s="1"/>
  <c r="J32" i="197"/>
  <c r="C26" i="197"/>
  <c r="F26" i="197" s="1"/>
  <c r="C24" i="196"/>
  <c r="F24" i="196" s="1"/>
  <c r="C23" i="195"/>
  <c r="D23" i="195"/>
  <c r="M33" i="197" l="1"/>
  <c r="M26" i="190"/>
  <c r="M31" i="190" s="1"/>
  <c r="M61" i="190" s="1"/>
  <c r="P28" i="190"/>
  <c r="S29" i="190"/>
  <c r="J30" i="190"/>
  <c r="K26" i="196"/>
  <c r="M26" i="196" s="1"/>
  <c r="M27" i="196" s="1"/>
  <c r="J27" i="196"/>
  <c r="C32" i="197"/>
  <c r="F32" i="197" s="1"/>
  <c r="P60" i="190"/>
  <c r="J26" i="190"/>
  <c r="P13" i="190"/>
  <c r="S13" i="190" s="1"/>
  <c r="C27" i="196"/>
  <c r="F27" i="196" s="1"/>
  <c r="J60" i="190"/>
  <c r="R60" i="190" s="1"/>
  <c r="E23" i="195"/>
  <c r="M35" i="197" l="1"/>
  <c r="P30" i="190"/>
  <c r="S30" i="190" s="1"/>
  <c r="S28" i="190"/>
  <c r="L27" i="196"/>
  <c r="L28" i="196" s="1"/>
  <c r="K27" i="196"/>
  <c r="J31" i="190"/>
  <c r="J19" i="197"/>
  <c r="J33" i="197" s="1"/>
  <c r="J35" i="197" s="1"/>
  <c r="K19" i="197"/>
  <c r="J61" i="190"/>
  <c r="R61" i="190" s="1"/>
  <c r="C19" i="197"/>
  <c r="P26" i="190"/>
  <c r="F31" i="196" l="1"/>
  <c r="F32" i="196"/>
  <c r="K33" i="197"/>
  <c r="D37" i="197" s="1"/>
  <c r="D36" i="197"/>
  <c r="P31" i="190"/>
  <c r="S31" i="190" s="1"/>
  <c r="S26" i="190"/>
  <c r="C33" i="197"/>
  <c r="F19" i="197"/>
  <c r="L30" i="196"/>
  <c r="K28" i="196"/>
  <c r="K30" i="196" s="1"/>
  <c r="J18" i="196"/>
  <c r="P61" i="190"/>
  <c r="K35" i="197"/>
  <c r="C28" i="196"/>
  <c r="J28" i="196" l="1"/>
  <c r="J30" i="196" s="1"/>
  <c r="M18" i="196"/>
  <c r="M28" i="196" s="1"/>
  <c r="M30" i="196" s="1"/>
  <c r="F36" i="197"/>
  <c r="F37" i="197"/>
  <c r="C35" i="197"/>
  <c r="F35" i="197" s="1"/>
  <c r="F33" i="197"/>
  <c r="C30" i="196"/>
  <c r="F30" i="196" s="1"/>
  <c r="F28" i="196"/>
  <c r="C32" i="196"/>
  <c r="J32" i="196"/>
  <c r="J31" i="196"/>
  <c r="I8" i="200"/>
  <c r="J9" i="200"/>
  <c r="J8" i="200" l="1"/>
  <c r="J19" i="200" s="1"/>
  <c r="I15" i="200"/>
  <c r="I19" i="200"/>
  <c r="I14" i="200" l="1"/>
  <c r="J14" i="200" s="1"/>
  <c r="J15" i="200"/>
</calcChain>
</file>

<file path=xl/comments1.xml><?xml version="1.0" encoding="utf-8"?>
<comments xmlns="http://schemas.openxmlformats.org/spreadsheetml/2006/main">
  <authors>
    <author>Magyarne.Olgi</author>
  </authors>
  <commentList>
    <comment ref="O12" authorId="0">
      <text>
        <r>
          <rPr>
            <b/>
            <sz val="9"/>
            <color indexed="81"/>
            <rFont val="Tahoma"/>
            <family val="2"/>
            <charset val="238"/>
          </rPr>
          <t>Magyarne.Olgi:</t>
        </r>
        <r>
          <rPr>
            <sz val="9"/>
            <color indexed="81"/>
            <rFont val="Tahoma"/>
            <family val="2"/>
            <charset val="238"/>
          </rPr>
          <t xml:space="preserve">
Választások</t>
        </r>
      </text>
    </comment>
  </commentList>
</comments>
</file>

<file path=xl/sharedStrings.xml><?xml version="1.0" encoding="utf-8"?>
<sst xmlns="http://schemas.openxmlformats.org/spreadsheetml/2006/main" count="1318" uniqueCount="741">
  <si>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</si>
  <si>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</si>
  <si>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</si>
  <si>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</si>
  <si>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</si>
  <si>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</si>
  <si>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</si>
  <si>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</si>
  <si>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</si>
  <si>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</si>
  <si>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</si>
  <si>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</si>
  <si>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</si>
  <si>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</si>
  <si>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</si>
  <si>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</si>
  <si>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</si>
  <si>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</si>
  <si>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</si>
  <si>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</si>
  <si>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</si>
  <si>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</si>
  <si>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</si>
  <si>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</si>
  <si>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</si>
  <si>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Felhalmozási célú támogatásértékű kiad. összesen</t>
  </si>
  <si>
    <t>Ügyvitel- és számítástechnikai eszközök vás.</t>
  </si>
  <si>
    <t>Egyéb gépek, berendezések és felszerelések vás.</t>
  </si>
  <si>
    <t>Hangszerek vásárlása</t>
  </si>
  <si>
    <t>11.</t>
  </si>
  <si>
    <t>12.</t>
  </si>
  <si>
    <t>14.</t>
  </si>
  <si>
    <t>17.</t>
  </si>
  <si>
    <t>KIADÁSOK ÖSSZESEN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</si>
  <si>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</si>
  <si>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</si>
  <si>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</si>
  <si>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</si>
  <si>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</si>
  <si>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</si>
  <si>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</si>
  <si>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Megnevezés</t>
  </si>
  <si>
    <t>1.</t>
  </si>
  <si>
    <t>2.</t>
  </si>
  <si>
    <t>3.</t>
  </si>
  <si>
    <t>4.</t>
  </si>
  <si>
    <t>5.</t>
  </si>
  <si>
    <t>Háztartásoknak nyújtott felhalm. célú támog. kölcs.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</si>
  <si>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</si>
  <si>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</si>
  <si>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</si>
  <si>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</si>
  <si>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</si>
  <si>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</si>
  <si>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</si>
  <si>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</si>
  <si>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</si>
  <si>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</si>
  <si>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</si>
  <si>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</si>
  <si>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</si>
  <si>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</si>
  <si>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</si>
  <si>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</si>
  <si>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</si>
  <si>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</si>
  <si>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Abdai Egyházközösségért A.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</si>
  <si>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</si>
  <si>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</si>
  <si>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</si>
  <si>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</si>
  <si>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</si>
  <si>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</si>
  <si>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</si>
  <si>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</si>
  <si>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</si>
  <si>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</si>
  <si>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</si>
  <si>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</si>
  <si>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</si>
  <si>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</si>
  <si>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Jelzőrendszeres házi segítségnyújtás </t>
  </si>
  <si>
    <t>K84</t>
  </si>
  <si>
    <t>K86</t>
  </si>
  <si>
    <t>K915</t>
  </si>
  <si>
    <t>Irányítás (felügyelet) alá tartozó költségvetési szervnek folyósított működési támogatás( KÖZÖS HIVATAL)</t>
  </si>
  <si>
    <t>Civil szervezeteknek</t>
  </si>
  <si>
    <t>20.</t>
  </si>
  <si>
    <t>K62</t>
  </si>
  <si>
    <t>K64</t>
  </si>
  <si>
    <t>K71</t>
  </si>
  <si>
    <t>Sor-szám</t>
  </si>
  <si>
    <t>Szakfeladat megnevezés</t>
  </si>
  <si>
    <t>∑</t>
  </si>
  <si>
    <t>Önkormányzat</t>
  </si>
  <si>
    <t>Közös Hivatal</t>
  </si>
  <si>
    <t>Zöldterület-kezelés</t>
  </si>
  <si>
    <t>Önkormányzati jogalkotás</t>
  </si>
  <si>
    <t>Város és községgazdálkodási szolg.</t>
  </si>
  <si>
    <t>Háziorvosi alapellátás</t>
  </si>
  <si>
    <t>Család és nővédelmi eü gondozás</t>
  </si>
  <si>
    <t>Házi segítségnyújtás</t>
  </si>
  <si>
    <t>Foglalk. hosszabb idejű közfoglalkoztatása</t>
  </si>
  <si>
    <t>Önkorm. és társul. Igazgatási tevékenysége</t>
  </si>
  <si>
    <t>Adó, illeték beszedése, kiszab.</t>
  </si>
  <si>
    <t>Mindösszesen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</si>
  <si>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</si>
  <si>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</si>
  <si>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</si>
  <si>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</si>
  <si>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</si>
  <si>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</si>
  <si>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</si>
  <si>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</si>
  <si>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</si>
  <si>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</si>
  <si>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</si>
  <si>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</si>
  <si>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</si>
  <si>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</si>
  <si>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</si>
  <si>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</si>
  <si>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</si>
  <si>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</si>
  <si>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</si>
  <si>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</si>
  <si>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</si>
  <si>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</si>
  <si>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</si>
  <si>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</si>
  <si>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</si>
  <si>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</si>
  <si>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</si>
  <si>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</si>
  <si>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</si>
  <si>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</si>
  <si>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</si>
  <si>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</si>
  <si>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</si>
  <si>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</si>
  <si>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</si>
  <si>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</si>
  <si>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</si>
  <si>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</si>
  <si>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</si>
  <si>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</si>
  <si>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</si>
  <si>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</si>
  <si>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</si>
  <si>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</si>
  <si>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</si>
  <si>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</si>
  <si>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</si>
  <si>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</si>
  <si>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</si>
  <si>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</si>
  <si>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</si>
  <si>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</si>
  <si>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</si>
  <si>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</si>
  <si>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</si>
  <si>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</si>
  <si>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</si>
  <si>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</si>
  <si>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</si>
  <si>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</si>
  <si>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</si>
  <si>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</si>
  <si>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</si>
  <si>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</si>
  <si>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</si>
  <si>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</si>
  <si>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</si>
  <si>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</si>
  <si>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</si>
  <si>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</si>
  <si>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</si>
  <si>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</si>
  <si>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</si>
  <si>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</si>
  <si>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</si>
  <si>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</si>
  <si>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</si>
  <si>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</si>
  <si>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</si>
  <si>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</si>
  <si>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</si>
  <si>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</si>
  <si>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</si>
  <si>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</si>
  <si>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</si>
  <si>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</si>
  <si>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</si>
  <si>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</si>
  <si>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</si>
  <si>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</si>
  <si>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</si>
  <si>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</si>
  <si>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</si>
  <si>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</si>
  <si>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</si>
  <si>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</si>
  <si>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</si>
  <si>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</si>
  <si>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</si>
  <si>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</si>
  <si>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</si>
  <si>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Adósságot keletkeztető éves kötelezetts. váll. felső határa 50%</t>
  </si>
  <si>
    <t>Abda</t>
  </si>
  <si>
    <t>Startmunka program Téli közfoglalkoztatás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</si>
  <si>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</si>
  <si>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</si>
  <si>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</si>
  <si>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</si>
  <si>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Gyermekj.Társ.-nak Abda Önkormányzat</t>
  </si>
  <si>
    <t>Óvoda Társ.-nak Abda Önkormányzat</t>
  </si>
  <si>
    <t xml:space="preserve">Mikulásbirodalom Alapítvány  </t>
  </si>
  <si>
    <t>II. Rákóczi F. Alapítvány</t>
  </si>
  <si>
    <t>Pannon Kincse LEADER</t>
  </si>
  <si>
    <t>K63</t>
  </si>
  <si>
    <t xml:space="preserve">   Értékpapírok ért.bevétel </t>
  </si>
  <si>
    <t xml:space="preserve"> Ft-ban</t>
  </si>
  <si>
    <t>BURSA HUNGARICA, Arany J. Tehetség.</t>
  </si>
  <si>
    <t xml:space="preserve">  forintban !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</si>
  <si>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</si>
  <si>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</si>
  <si>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</si>
  <si>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</si>
  <si>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</si>
  <si>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</si>
  <si>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</si>
  <si>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</si>
  <si>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</si>
  <si>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</si>
  <si>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</si>
  <si>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</si>
  <si>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</si>
  <si>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</si>
  <si>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</si>
  <si>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</si>
  <si>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</si>
  <si>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</si>
  <si>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</si>
  <si>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</si>
  <si>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</si>
  <si>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</si>
  <si>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</si>
  <si>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</si>
  <si>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</si>
  <si>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</si>
  <si>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</si>
  <si>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</si>
  <si>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</si>
  <si>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</si>
  <si>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</si>
  <si>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</si>
  <si>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</si>
  <si>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</si>
  <si>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</si>
  <si>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</si>
  <si>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</si>
  <si>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</si>
  <si>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</si>
  <si>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</si>
  <si>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</si>
  <si>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</si>
  <si>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</si>
  <si>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</si>
  <si>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</si>
  <si>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</si>
  <si>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</si>
  <si>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</si>
  <si>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</si>
  <si>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</si>
  <si>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</si>
  <si>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</si>
  <si>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</si>
  <si>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</si>
  <si>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</si>
  <si>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</si>
  <si>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</si>
  <si>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</si>
  <si>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</si>
  <si>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</si>
  <si>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Ft-ban</t>
  </si>
  <si>
    <t>Elvonások és befízetések</t>
  </si>
  <si>
    <t>Központi, irányítószervi támogatás</t>
  </si>
  <si>
    <t>Belföldi finanszírozás bevételei</t>
  </si>
  <si>
    <t>Külter, utak, földutak burkolata (pályázat önrész)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</si>
  <si>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</si>
  <si>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</si>
  <si>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</si>
  <si>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Abdai Horgász Egyesület</t>
  </si>
  <si>
    <t>Abdai Alkotó Kezek</t>
  </si>
  <si>
    <t>Orvosi rendelő előtti parkoló önrésze</t>
  </si>
  <si>
    <t>Tornacsarnok építése</t>
  </si>
  <si>
    <t>Működési célú pénzeszközátadások mindösszesen</t>
  </si>
  <si>
    <t>Díjak, pótlékok, települési adók</t>
  </si>
  <si>
    <t>Imm. Javak, ingatlanok, egyéb tárgyi eszköz értékesítés</t>
  </si>
  <si>
    <t>Börcs  Önkorm.-nak óvoda 2018.évi elszámolás</t>
  </si>
  <si>
    <t>Börcs  Önkorm.-nak védőnő 2018.évi elszámolás</t>
  </si>
  <si>
    <t xml:space="preserve">Ikrény Önkorm.-nak családsegítő 2018. évi elszámolás </t>
  </si>
  <si>
    <t xml:space="preserve">Szigetköz Felső-Duna mente" Térségi Fejlesztési Tanács 2019. évi tagdíj </t>
  </si>
  <si>
    <t>Arrabona EGTC 2019. évi tagdíj</t>
  </si>
  <si>
    <t>2019. évi eredeti előirányzat</t>
  </si>
  <si>
    <t>Tűzoltószertár</t>
  </si>
  <si>
    <t>Fogorvosi rendelő</t>
  </si>
  <si>
    <t>Aszfaltos pálya</t>
  </si>
  <si>
    <t>Csapadékvíz elvezetés</t>
  </si>
  <si>
    <t>Iskolaudvar térkövezése</t>
  </si>
  <si>
    <t>Inf. eszközök beszerzése Régi Hivatalhoz és az Önkormányzathoz</t>
  </si>
  <si>
    <t>Lombszívó (vkg)</t>
  </si>
  <si>
    <t>Szerszámok (vkg)</t>
  </si>
  <si>
    <t>Hivatalba székek beszerzése</t>
  </si>
  <si>
    <t>Iskolába udvari játékok</t>
  </si>
  <si>
    <t>Gyalogos Szt. István - Szent I.u.között (Út autp.)</t>
  </si>
  <si>
    <t>Sportöltöző bővítése</t>
  </si>
  <si>
    <t>Régi Hivatal TOP-4.2.1-15-GM1-2016-00011 pályázat hátsó épület pótmunkái</t>
  </si>
  <si>
    <t>1. sz. főút - Hunyadi út útburkolat</t>
  </si>
  <si>
    <t>Hunyadi út - Híd u. kereszteződés</t>
  </si>
  <si>
    <t>Hunyadi utca (zsákutca)</t>
  </si>
  <si>
    <t>Müködési c. támogatásértékű bevétel áh-n belül (Tiszta környezet, tiszta Abda)</t>
  </si>
  <si>
    <t>Egyéb felhalmozási célú pénzeszköz Áh- kívülről (Abda Sc)</t>
  </si>
  <si>
    <t>2019. évi engedélyezett létszám</t>
  </si>
  <si>
    <t>Központi, irányító szervi támogatás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</si>
  <si>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</si>
  <si>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</si>
  <si>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</si>
  <si>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</si>
  <si>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</si>
  <si>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</si>
  <si>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</si>
  <si>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</si>
  <si>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</si>
  <si>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</si>
  <si>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</si>
  <si>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</si>
  <si>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Egyéb</t>
  </si>
  <si>
    <t>Összesen (1+4+7+9+11)</t>
  </si>
  <si>
    <t>Tornacsarnok</t>
  </si>
  <si>
    <t>Beruházás célonként</t>
  </si>
  <si>
    <t>2020.</t>
  </si>
  <si>
    <t>2021.</t>
  </si>
  <si>
    <t>2022.</t>
  </si>
  <si>
    <t>2022. 
után</t>
  </si>
  <si>
    <t>Kötelezettség 2019.</t>
  </si>
  <si>
    <t>Turisztikai pályázati önrész</t>
  </si>
  <si>
    <t>Kistöltés utca útburkolat</t>
  </si>
  <si>
    <t>Előir.mód.I</t>
  </si>
  <si>
    <t>Mód.ei.</t>
  </si>
  <si>
    <t>Teljesítés</t>
  </si>
  <si>
    <t>2019. évi előirányzat</t>
  </si>
  <si>
    <t>Működési célú költségvetési támogatások és kieg.tám.</t>
  </si>
  <si>
    <t>Elszámolásból származó bevételek</t>
  </si>
  <si>
    <r>
      <t>Működési c. támogatásértékű egyéb fej. kezel. Előir.</t>
    </r>
    <r>
      <rPr>
        <sz val="8"/>
        <rFont val="Arial"/>
        <family val="2"/>
        <charset val="238"/>
      </rPr>
      <t xml:space="preserve"> (jegyzői hat.k.seg)</t>
    </r>
  </si>
  <si>
    <t>Felhalmozási célú garancia- és kezességvállalásból származó megtérülések államháztartáson kívülről</t>
  </si>
  <si>
    <t>Egyéb  felhalm.célú támogatás fejezet kezelés EU</t>
  </si>
  <si>
    <t>Egyéb felhalm.célú tám.bev.áhn. Belül</t>
  </si>
  <si>
    <t>Felhalmozási célú támogatások áht-n belülről összesen:</t>
  </si>
  <si>
    <t>Egyéb működési célú átv.pénzeszk. Háztartásoktól</t>
  </si>
  <si>
    <t>Működési célú átvett pénzeszközök</t>
  </si>
  <si>
    <t>Egyéb tárgyi eszköz értékesítése</t>
  </si>
  <si>
    <t>Eredeti összesen</t>
  </si>
  <si>
    <t>Egyéb működési célú kiadások áhn.belül +áhn kívül</t>
  </si>
  <si>
    <t>Pénzmaradvány átadása Abdának 2018.évi</t>
  </si>
  <si>
    <t>Átlagbér kifizetés EP választás</t>
  </si>
  <si>
    <t>Gyöngyvirág Nyugdíjas Klub Abda Baráti Kör</t>
  </si>
  <si>
    <t xml:space="preserve">Ködképző gép </t>
  </si>
  <si>
    <t>Lombszívó, -fúvó, sterimó (közfoglalkoztatottaknak) kisértékű 200e alatti</t>
  </si>
  <si>
    <t>Közművelődés Cd rádió 200e alatti kisértékű</t>
  </si>
  <si>
    <t>Traktor, tartozékok és pótkocsi beruházás</t>
  </si>
  <si>
    <t>Régi hivatal - TOP-4.2.1-15-GM1-2016-00011  kamerarendszer beruházás</t>
  </si>
  <si>
    <t>Hunyadi utca (zsákutca) - beruházásnál tervezve</t>
  </si>
  <si>
    <t>Felhalmozási célú pénzeszközátadások</t>
  </si>
  <si>
    <t>Rovat</t>
  </si>
  <si>
    <t>Kötelező feladatok</t>
  </si>
  <si>
    <t>Összesen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</si>
  <si>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</si>
  <si>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</si>
  <si>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</si>
  <si>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</si>
  <si>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</si>
  <si>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</si>
  <si>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</si>
  <si>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</si>
  <si>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</si>
  <si>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</si>
  <si>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</si>
  <si>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</si>
  <si>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</si>
  <si>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</si>
  <si>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</si>
  <si>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</si>
  <si>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</si>
  <si>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</si>
  <si>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</si>
  <si>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</si>
  <si>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</si>
  <si>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</si>
  <si>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</si>
  <si>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</si>
  <si>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</si>
  <si>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</si>
  <si>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B75</t>
  </si>
  <si>
    <t>B7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</si>
  <si>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</si>
  <si>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</si>
  <si>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</si>
  <si>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</si>
  <si>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</si>
  <si>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</si>
  <si>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</si>
  <si>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</si>
  <si>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</si>
  <si>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</si>
  <si>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</si>
  <si>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</si>
  <si>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</si>
  <si>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</si>
  <si>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</si>
  <si>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</si>
  <si>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</si>
  <si>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</si>
  <si>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</si>
  <si>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</si>
  <si>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</si>
  <si>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</si>
  <si>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</si>
  <si>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</si>
  <si>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</si>
  <si>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</si>
  <si>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K82</t>
  </si>
  <si>
    <t>K8</t>
  </si>
  <si>
    <t>K1-K8</t>
  </si>
  <si>
    <t>K914</t>
  </si>
  <si>
    <t>K9</t>
  </si>
  <si>
    <t>Eredeti előirányzat + módosított előirányzat</t>
  </si>
  <si>
    <t>Abda 
eredeti ei.</t>
  </si>
  <si>
    <t>Közös hivatal
eredeti ei.</t>
  </si>
  <si>
    <t>B115</t>
  </si>
  <si>
    <t>B116</t>
  </si>
  <si>
    <t>B65</t>
  </si>
  <si>
    <t>B71</t>
  </si>
  <si>
    <t>B25</t>
  </si>
  <si>
    <t>B2</t>
  </si>
  <si>
    <t>Eredeti ei.</t>
  </si>
  <si>
    <t>Előir.mód.II.</t>
  </si>
  <si>
    <t>Müködési c. támogatásértékű bevétel áh-n belül (Tiszta környezet, Választás)</t>
  </si>
  <si>
    <t>Egyéb  felhalm.célú tám. fejezeti kez. EU (külter.utak pályázat)</t>
  </si>
  <si>
    <t>Készletértékesítés ellenértéke</t>
  </si>
  <si>
    <t>Vöröskereszt</t>
  </si>
  <si>
    <t>Templom padok felújítása</t>
  </si>
  <si>
    <t>ABDA KÖZSÉG ÖNKORMÁNYZATA   2019. III. N. ÉVI ELŐIRÁNYZAT MÓDOSÍTÁS</t>
  </si>
  <si>
    <t>Mód.ei. I.</t>
  </si>
  <si>
    <t>Mód.ei. II.</t>
  </si>
  <si>
    <t>Előir.mód.III.</t>
  </si>
  <si>
    <t>Magánszemélyek jövedelemadója (Földbérlet SZJA)</t>
  </si>
  <si>
    <t>Államháztartáson belüli megelőlegezés</t>
  </si>
  <si>
    <t>ABDA KÖZSÉG ÖNKORMÁNYZATA   2019. I - IV. N. ÉVI ELŐIR.MÓD. ÉS TELJ.</t>
  </si>
  <si>
    <t>Előir.mód. III.</t>
  </si>
  <si>
    <t>Előir.mód. II.</t>
  </si>
  <si>
    <t>K67</t>
  </si>
  <si>
    <t>Arany János utca</t>
  </si>
  <si>
    <t>200e alatti kisértékű szünetmentes 10.900 Ft , Pénzügy - számítógép 336.800 Ft, Nyomtató, SSD meghajtó Iskolának</t>
  </si>
  <si>
    <t>Régi hivatal kis értékű tárgyi eszköz 200e alatti vetítővászon, indukc.főzőlap, elektr.kapunyitó, hurokerősítő, fényfüzér (védőnő pupillalámpa, hőmérő)</t>
  </si>
  <si>
    <t>Mód.ei. III.</t>
  </si>
  <si>
    <t>B814</t>
  </si>
  <si>
    <t>ABDA KÖZSÉG ÖNKORMÁNYZATA   2019. IV. N. ÉVI ELŐIRÁNYZAT MÓDOSÍTÁS</t>
  </si>
  <si>
    <t>Beruházási célú előzetesen felszámított ÁFA</t>
  </si>
  <si>
    <t>B311</t>
  </si>
  <si>
    <t>B401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</si>
  <si>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</si>
  <si>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</si>
  <si>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</si>
  <si>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</si>
  <si>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Kamatbevételek és más nyereségjellegű bevételek </t>
  </si>
  <si>
    <t xml:space="preserve">Egyéb működési bevételek (jólteljesítési biztosíték) </t>
  </si>
  <si>
    <t>B52</t>
  </si>
  <si>
    <t>B53</t>
  </si>
  <si>
    <t>B5</t>
  </si>
  <si>
    <t>B6</t>
  </si>
  <si>
    <t>B812</t>
  </si>
  <si>
    <t>B8131</t>
  </si>
  <si>
    <t>B813</t>
  </si>
  <si>
    <t>K5</t>
  </si>
  <si>
    <t>Felhalmozási célú visszatérítendő támogatások, kölcsönök nyújtása államháztartáson belülre</t>
  </si>
  <si>
    <t xml:space="preserve">Kiküldetések, reklám- és propagandakiadások </t>
  </si>
  <si>
    <t xml:space="preserve">Egyéb működési célú támogatások államháztartáson kívülre </t>
  </si>
  <si>
    <t xml:space="preserve">Tartalékok </t>
  </si>
  <si>
    <t>Immateriális javak beszerzése</t>
  </si>
  <si>
    <t>K61</t>
  </si>
  <si>
    <t>Felújítási célú előzetesen felszámított ÁFA</t>
  </si>
  <si>
    <t>K74</t>
  </si>
  <si>
    <t>K73</t>
  </si>
  <si>
    <t xml:space="preserve">   Egyéb belső finanszírozási bevételek (int. Fin., megelőlegezés)</t>
  </si>
  <si>
    <t>Abda Község Önkormányzata 2019. évi teljesítés</t>
  </si>
  <si>
    <t>Mérleg</t>
  </si>
  <si>
    <t>Előző időszak</t>
  </si>
  <si>
    <t>Módosítások (+/-)</t>
  </si>
  <si>
    <t>Tárgyi időszak</t>
  </si>
  <si>
    <t>01</t>
  </si>
  <si>
    <t>A/I/1 Vagyoni értékű jogok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</si>
  <si>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</si>
  <si>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</si>
  <si>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</si>
  <si>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</si>
  <si>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</si>
  <si>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</si>
  <si>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</si>
  <si>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</si>
  <si>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</si>
  <si>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</si>
  <si>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</si>
  <si>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</si>
  <si>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</si>
  <si>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</si>
  <si>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</si>
  <si>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</si>
  <si>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</si>
  <si>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</si>
  <si>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</si>
  <si>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</si>
  <si>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</si>
  <si>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</si>
  <si>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</si>
  <si>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</si>
  <si>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B/I/4 Befejezetlen termelés, félkész termékek, késztermékek</t>
  </si>
  <si>
    <t>B/I Készletek (=B/I/1+…+B/I/5)</t>
  </si>
  <si>
    <t>36</t>
  </si>
  <si>
    <t>B/II/2 Forgatási célú hitelviszonyt megtestesítő értékpapírok (&gt;=B/II/2a+…+B/II/2e)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</si>
  <si>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</si>
  <si>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</si>
  <si>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</si>
  <si>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</si>
  <si>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</si>
  <si>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</si>
  <si>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</si>
  <si>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</si>
  <si>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</si>
  <si>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</si>
  <si>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</si>
  <si>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</si>
  <si>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</si>
  <si>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ebbol: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</si>
  <si>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</si>
  <si>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</si>
  <si>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D/I/4/c - ebbol: költségvetési évben esedékes követelések ellátási díjakra</t>
  </si>
  <si>
    <t>D/I/4/d - ebbol: költségvetési évben esedékes követelések kiszámlázott általános forgalmi adóra</t>
  </si>
  <si>
    <t>D/I/4e - ebből: költségvetési évben esedékes követelések általános forgalmi adó visszatérítésére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</si>
  <si>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</si>
  <si>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</si>
  <si>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</si>
  <si>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</si>
  <si>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</si>
  <si>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</si>
  <si>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</si>
  <si>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</si>
  <si>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</si>
  <si>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</si>
  <si>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</si>
  <si>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D/III/1b - ebből: beruházásokra, felújításokra adott előlegek</t>
  </si>
  <si>
    <t>D/III/1e - ebből: foglalkoztatottaknak adott előlegek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</si>
  <si>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</si>
  <si>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</si>
  <si>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</si>
  <si>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</si>
  <si>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</si>
  <si>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E/II/2 Más fizetendő általános forgalmi adó</t>
  </si>
  <si>
    <t>E) EGYÉB SAJÁTOS ESZKÖZOLDALI  ELSZÁMOLÁSOK (=E/I+…+E/II)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</si>
  <si>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</si>
  <si>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</si>
  <si>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</si>
  <si>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</si>
  <si>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</si>
  <si>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</si>
  <si>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</si>
  <si>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</si>
  <si>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</si>
  <si>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</si>
  <si>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H/I/8 Költségvetési évben esedékes kötelezettségek egyéb felhalmozási célú kiadásokra</t>
  </si>
  <si>
    <t>H/I Költségvetési évben esedékes kötelezettségek (=H/I/1+…+H/I/9)</t>
  </si>
  <si>
    <t xml:space="preserve">H/II/5 Költségvetési évet követően esedékes kötelezettségek egyéb működési célú kiadásokra </t>
  </si>
  <si>
    <t xml:space="preserve">H/II/9 Költségvetési évet követően esedékes kötelezettségek finanszírozási kiadásokra </t>
  </si>
  <si>
    <t xml:space="preserve">H/II Költségvetési évet követően esedékes kötelezettségek 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</si>
  <si>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</si>
  <si>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</si>
  <si>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</si>
  <si>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</si>
  <si>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</si>
  <si>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</si>
  <si>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</si>
  <si>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</si>
  <si>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</si>
  <si>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</si>
  <si>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Maradványkimutatás</t>
  </si>
  <si>
    <t>2018. év</t>
  </si>
  <si>
    <t>2019. év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</si>
  <si>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</si>
  <si>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</si>
  <si>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</si>
  <si>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</si>
  <si>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</si>
  <si>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</si>
  <si>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</si>
  <si>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</si>
  <si>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</si>
  <si>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</si>
  <si>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</si>
  <si>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</si>
  <si>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</si>
  <si>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</si>
  <si>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</si>
  <si>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</si>
  <si>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ABDA KÖZSÉG ÖNKORMÁNYZAT   2019. évi VAGYON KIMUTATÁSA</t>
  </si>
  <si>
    <t>Bruttó érték</t>
  </si>
  <si>
    <t>Écs</t>
  </si>
  <si>
    <t>Nettó érték</t>
  </si>
  <si>
    <t>Össz. nettó ért.</t>
  </si>
  <si>
    <t>I. Immateriális javak összesen:</t>
  </si>
  <si>
    <t>Vagyon értékű jogok bruttó ért.</t>
  </si>
  <si>
    <t>Teljesen 0-ig leírt vagyonértékű jogok bruttó ért.</t>
  </si>
  <si>
    <t>Vagyon értékű jogok eddig elszám.écs</t>
  </si>
  <si>
    <t>Nettó vagyon értékű jogok</t>
  </si>
  <si>
    <t>Szellemi termékek bruttó ért.</t>
  </si>
  <si>
    <t>Teljesen 0-ig leírt szellemi termékek bruttó ért.</t>
  </si>
  <si>
    <t>Kisértékű szellemi termékek bruttó érték</t>
  </si>
  <si>
    <t>Szellemi termékek eddig elsz. écs.</t>
  </si>
  <si>
    <t>Kisértékű szellemi termékek écs</t>
  </si>
  <si>
    <t>Nettó szellemi termékek</t>
  </si>
  <si>
    <t>II. Tárgyi eszközök összesen:</t>
  </si>
  <si>
    <t xml:space="preserve">Kiz.nemz.v. földterületek </t>
  </si>
  <si>
    <t>Korlátozottan forgalom képes földterület</t>
  </si>
  <si>
    <t>Korlátozottan forgalom képes telkek</t>
  </si>
  <si>
    <t>Forgalom képesföldterület bruttó értéke</t>
  </si>
  <si>
    <t>Forgalom képes telkek bruttó értéke</t>
  </si>
  <si>
    <t>Erdő</t>
  </si>
  <si>
    <t xml:space="preserve">Teljesen o-ig leírt épületek értéke Forgalom képtelen </t>
  </si>
  <si>
    <t>Forgalom képtelen épület eddig elszámolt écs</t>
  </si>
  <si>
    <t>Forgalomképtelen épületek bruttó értéke</t>
  </si>
  <si>
    <t>Korlátozottan forgalom képes épületek bruttó ért.</t>
  </si>
  <si>
    <t>Korlátozottan forgalom képes épületek elsz. écs.</t>
  </si>
  <si>
    <t>Forgalom képes épületek bruttó értéke</t>
  </si>
  <si>
    <t>Forgalom képes épületek eddig elszámolt écs</t>
  </si>
  <si>
    <t>Teljesen 0-ig leírt épületek bruttó.ért. korlátozottan forgalomképes</t>
  </si>
  <si>
    <t>Teljesen 0-ig leírt épületek bruttó.ért. Forgalomképes</t>
  </si>
  <si>
    <t>Kiz.nemz.v.t. egyéb építmények bruttó ért</t>
  </si>
  <si>
    <t>Forgalomképtelen egyéb építmények elszámolt écs</t>
  </si>
  <si>
    <t>Korlátozottan forgk képes egyéb építmények bruttó ért</t>
  </si>
  <si>
    <t>Korlátozottan forgk képes egyéb építmények écs</t>
  </si>
  <si>
    <t>Teljesen 0-ig leírt egyéb építmények br.ért.</t>
  </si>
  <si>
    <t>Korl. Forg. képes ingatlan vagyoni ért. jog bruttó ért.</t>
  </si>
  <si>
    <t>Korl. Forg. képes ingatlan vagyoni ért. jog elszámolt écs.</t>
  </si>
  <si>
    <t>Ingatlanok és kapcsolódó vagyonért. jogok összesen:</t>
  </si>
  <si>
    <t>Ügyviteli és számtech. eszközök bruttó ért.</t>
  </si>
  <si>
    <t>Teljesen 0-ig leírt ügyviteli és számtech.eszk. br.ért. korlátozottan forgalomképes</t>
  </si>
  <si>
    <t>Teljesen 0-ig leírt kisértékű ügyviteli és számtech.eszk. br.ért.</t>
  </si>
  <si>
    <t>Ügyviteli és számítástechnikai eszközök kfk. elsz.écs.</t>
  </si>
  <si>
    <t>Kisértékű ügyviteli és számítástechn. eszközök écs.</t>
  </si>
  <si>
    <t>Nettó ügyviteli és számtech. eszközök</t>
  </si>
  <si>
    <t>Egyéb gépek, berend. és felszerelések bruttó ért.korlátozottan forgalomképes</t>
  </si>
  <si>
    <t>Teljesen 0-ig leírt e.gépek, ber. és felsz.br.ért.korlátozottan forgalomképes</t>
  </si>
  <si>
    <t>Teljesen 0-ig leírt kisértékű e.gépek, ber. és felsz.br.ért.</t>
  </si>
  <si>
    <t>Egyéb gépek, ber. és felsz. écs. korlátozottan forgalomképes</t>
  </si>
  <si>
    <t xml:space="preserve">Kisértékű egyéb gépek, ber. és felsz. écs. </t>
  </si>
  <si>
    <t>Nettó egyéb gépek; ber. és felszerelések</t>
  </si>
  <si>
    <t>Korl.forg.képes képzőműv.alkotások</t>
  </si>
  <si>
    <t>Járművek bruttó ért.korlátozottan forgalomképes</t>
  </si>
  <si>
    <t>Teljesen 0-ig leírt járművek br.ért.korlátozottan forgalomképes</t>
  </si>
  <si>
    <t>Járművek értékcsökkenése</t>
  </si>
  <si>
    <t>Nettó járművek</t>
  </si>
  <si>
    <t>Gépek, berendezések felszerelések, járművek összesen:</t>
  </si>
  <si>
    <t>Befejezetlen beruházások</t>
  </si>
  <si>
    <t>III. Befektetett pénzügyi eszközök összesen:</t>
  </si>
  <si>
    <t>Egyéb tartós részesedések (Pannon-Víz részvény)</t>
  </si>
  <si>
    <t>Tartósan adott kölcsön</t>
  </si>
  <si>
    <t>Egyéb hosszú lejáratú követelés</t>
  </si>
  <si>
    <t>IV. Koncesszióba,vagyonkezelésbe adott eszközök:</t>
  </si>
  <si>
    <t>Koncessz.,vagyonk.adott ing. vagyonért. jog.</t>
  </si>
  <si>
    <t>Koncesszióba adott gépek, berendezések, felsz.</t>
  </si>
  <si>
    <t xml:space="preserve">Teljesen 0-ig leírt üz. átad. gépek, berend. </t>
  </si>
  <si>
    <t>Koncesszióba adott gépek, berend.terv szerinti értékcsökk.</t>
  </si>
  <si>
    <t>Koncesszióba adott ingatlanok terv szerinti értékcsökk.</t>
  </si>
  <si>
    <t>A / nemzeti vagyonba tartozó befektetett  eszközök összesen:</t>
  </si>
  <si>
    <t>I. Készletek összesen:</t>
  </si>
  <si>
    <t>II. Értékpapírok összesen:</t>
  </si>
  <si>
    <t>-forgatási célú hitelviszonyt megtest. Értékpapír</t>
  </si>
  <si>
    <t>B / nemzeti vagyonba tartozó forgóeszközökt  összesen:</t>
  </si>
  <si>
    <t>III. Forintszámlák összesen:</t>
  </si>
  <si>
    <t>Pénztárak, csekkek, betétkönyv</t>
  </si>
  <si>
    <t>Költségvet. bankszámla</t>
  </si>
  <si>
    <t>- Költségv.elsz.szla. Abda</t>
  </si>
  <si>
    <t>- Közfoglalkoztatott számla</t>
  </si>
  <si>
    <t>- Környezetv. A. pénzeszköz elsz. számla</t>
  </si>
  <si>
    <t>-Gépjárműadó</t>
  </si>
  <si>
    <t>-Pályázati lebonyolítási számla</t>
  </si>
  <si>
    <t>Idegen pénzeszközök</t>
  </si>
  <si>
    <t>- letéti szla.</t>
  </si>
  <si>
    <t>- Idegen bevételek számla</t>
  </si>
  <si>
    <t>C / Pénzeszközök  összesen:</t>
  </si>
  <si>
    <t xml:space="preserve">Költségvetési évben esedékes követelések közhatalmi bevételre </t>
  </si>
  <si>
    <t>Magánszemélyek kommunális adójának költségvetési évi követelése</t>
  </si>
  <si>
    <t>Iparûzési adó költségvetési évi követelése</t>
  </si>
  <si>
    <t>Gépjármûadó költségvetési évi követelése</t>
  </si>
  <si>
    <t>Tartózkodás után fiz. Idegenforgalmi adó költségvetési évi követelése</t>
  </si>
  <si>
    <t>Egyéb bírság költségvetési évi követelése</t>
  </si>
  <si>
    <t>Késedelmi pótlék költségvetési évi követelése</t>
  </si>
  <si>
    <t>Talajterhelési díj költségvetési évi követelése</t>
  </si>
  <si>
    <t>Költségvetési évben esedékes követelések működési bevételre</t>
  </si>
  <si>
    <t>Bérleti és lízing díjbevétel költségvetési évi követelése</t>
  </si>
  <si>
    <t>Államháztartáson kívüli továbbszámlázott közvetített szolgáltatások költségvetési évi követelése</t>
  </si>
  <si>
    <t>Kiszámlázott általános forgalmi adó miatti költségvetési évi követelése</t>
  </si>
  <si>
    <t xml:space="preserve">Költségvetési évben esedékes követelések felhalmozási bevételre </t>
  </si>
  <si>
    <t>Költségvetési évben esedékes követelések ingatlanok értékesítésére</t>
  </si>
  <si>
    <t>Költségvetési évben esedékes követelések felhalm. célú átvett p.-re</t>
  </si>
  <si>
    <t>Visszatérítendő támogatások, kölcsönök visszatérülésére áhn kívülről</t>
  </si>
  <si>
    <t>D/I Költségvetési évben esedékes követelések</t>
  </si>
  <si>
    <t>Költségvetési évet követően esedékes köv. felhalm. bevételre</t>
  </si>
  <si>
    <t>Költségvetési évet követően esedékes követelések ingatlanok értékesítésére</t>
  </si>
  <si>
    <t>Költségvetési évet követően esedékes köv. felhalm. célú átvett p.e.re</t>
  </si>
  <si>
    <t>Költségvetési évet követően esedékes köv. felhalm. célú visszatérítendő támogatások, kölcsönök visszatérülésére áhn kívülről</t>
  </si>
  <si>
    <t>D/II Költségvetési évet követően esedékes követelések</t>
  </si>
  <si>
    <t>Forgótőke elszámolása</t>
  </si>
  <si>
    <t>Vagyonkezelésbe adott eszközökkel kapcsolatos visszapótlási követelés elszámolása</t>
  </si>
  <si>
    <t>D/III Követelés jellegű sajátos elszámolások</t>
  </si>
  <si>
    <t>D) KÖVETELÉSEK</t>
  </si>
  <si>
    <t>Más előzetesen felszámított levonható ÁFA</t>
  </si>
  <si>
    <t>Más fizetendő ÁFA</t>
  </si>
  <si>
    <t>E) EGYÉB SAJÁTOS ELSZÁMOLÁSOK</t>
  </si>
  <si>
    <t>Nemzeti vagyon induláskori értéke</t>
  </si>
  <si>
    <t>Nemzeti vagyon változásai</t>
  </si>
  <si>
    <t>Egyéb eszközök induláskori értéke és változásai</t>
  </si>
  <si>
    <t>Felhalmozott eredmény</t>
  </si>
  <si>
    <t>Mérleg szerinti eredmény</t>
  </si>
  <si>
    <t xml:space="preserve">G/ SAJÁT TŐKE </t>
  </si>
  <si>
    <t>költségvetési évet követően esedékes kötelezettségek államháztartáson belüli megelőlegezések visszafizetésére</t>
  </si>
  <si>
    <t>Kapott előlegek</t>
  </si>
  <si>
    <t>H/III Kötelezettség jellegű sajátos elszámolások</t>
  </si>
  <si>
    <t>H) KÖTELEZETTSÉGEK</t>
  </si>
  <si>
    <t>Költségek, ráfordítások passzív időbeli elhatárolása</t>
  </si>
  <si>
    <t>Halasztott eredményszemléletű bevételek</t>
  </si>
  <si>
    <t xml:space="preserve">J) PASSZÍV IDŐBELI ELHATÁROLÁSOK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</si>
</sst>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0.0"/>
    <numFmt numFmtId="166" formatCode="#,###"/>
    <numFmt numFmtId="167" formatCode="_-* #,##0\ &quot;Ft&quot;_-;\-* #,##0\ &quot;Ft&quot;_-;_-* &quot;-&quot;??\ &quot;Ft&quot;_-;_-@_-"/>
  </numFmts>
  <fonts count="1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2" tint="-0.89999084444715716"/>
      <name val="Arial CE"/>
      <charset val="238"/>
    </font>
    <font>
      <b/>
      <sz val="10"/>
      <color theme="2" tint="-0.89999084444715716"/>
      <name val="Arial CE"/>
      <charset val="238"/>
    </font>
    <font>
      <sz val="10"/>
      <color theme="2" tint="-0.89999084444715716"/>
      <name val="Arial"/>
      <family val="2"/>
      <charset val="238"/>
    </font>
    <font>
      <b/>
      <sz val="10"/>
      <color theme="2" tint="-0.89999084444715716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 CE"/>
      <charset val="238"/>
    </font>
    <font>
      <b/>
      <sz val="10"/>
      <color rgb="FFFF000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 CE"/>
      <charset val="238"/>
    </font>
    <font>
      <b/>
      <sz val="10"/>
      <color theme="1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i/>
      <sz val="8"/>
      <color theme="1"/>
      <name val="Times New Roman CE"/>
      <charset val="238"/>
    </font>
    <font>
      <i/>
      <sz val="8"/>
      <color rgb="FFFF0000"/>
      <name val="Times New Roman CE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Arial"/>
      <family val="2"/>
      <charset val="238"/>
    </font>
    <font>
      <u/>
      <sz val="10"/>
      <name val="Arial CE"/>
      <charset val="238"/>
    </font>
    <font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9"/>
      <name val="Times New Roman"/>
      <family val="1"/>
      <charset val="238"/>
    </font>
    <font>
      <b/>
      <i/>
      <sz val="9"/>
      <color rgb="FFC0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 CE"/>
      <charset val="238"/>
    </font>
    <font>
      <i/>
      <sz val="9"/>
      <name val="Arial"/>
      <family val="2"/>
      <charset val="238"/>
    </font>
    <font>
      <sz val="9"/>
      <name val="Arial CE"/>
      <charset val="238"/>
    </font>
    <font>
      <b/>
      <i/>
      <sz val="9"/>
      <name val="Arial CE"/>
      <charset val="238"/>
    </font>
    <font>
      <b/>
      <sz val="8"/>
      <name val="Arial"/>
      <family val="2"/>
      <charset val="238"/>
    </font>
    <font>
      <b/>
      <i/>
      <sz val="13"/>
      <name val="Times New Roman"/>
      <family val="1"/>
      <charset val="238"/>
    </font>
    <font>
      <i/>
      <sz val="13"/>
      <color rgb="FFFF0000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8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lightHorizontal"/>
    </fill>
    <fill>
      <patternFill patternType="solid">
        <fgColor theme="6" tint="-0.249977111117893"/>
        <bgColor indexed="64"/>
      </patternFill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  <xf numFmtId="44" fontId="1" fillId="0" borderId="0" applyFont="0" applyFill="0" applyBorder="0" applyAlignment="0" applyProtection="0"/>
  </cellStyleXfs>
  <cellXfs count="9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2" fillId="1" borderId="11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6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3" fillId="0" borderId="18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0" fontId="27" fillId="24" borderId="37" xfId="0" applyFont="1" applyFill="1" applyBorder="1" applyAlignment="1">
      <alignment horizontal="center"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4" fontId="2" fillId="0" borderId="31" xfId="0" applyNumberFormat="1" applyFont="1" applyBorder="1" applyAlignment="1">
      <alignment horizontal="right" vertical="center" wrapText="1"/>
    </xf>
    <xf numFmtId="0" fontId="3" fillId="0" borderId="42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4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4" fontId="2" fillId="0" borderId="20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/>
    </xf>
    <xf numFmtId="43" fontId="2" fillId="24" borderId="44" xfId="0" applyNumberFormat="1" applyFont="1" applyFill="1" applyBorder="1" applyAlignment="1">
      <alignment horizontal="right" vertical="center" wrapText="1"/>
    </xf>
    <xf numFmtId="165" fontId="2" fillId="24" borderId="37" xfId="0" applyNumberFormat="1" applyFont="1" applyFill="1" applyBorder="1" applyAlignment="1">
      <alignment vertical="center"/>
    </xf>
    <xf numFmtId="43" fontId="2" fillId="24" borderId="37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166" fontId="28" fillId="0" borderId="0" xfId="0" applyNumberFormat="1" applyFont="1" applyAlignment="1">
      <alignment horizontal="centerContinuous" vertical="center" wrapText="1"/>
    </xf>
    <xf numFmtId="166" fontId="30" fillId="0" borderId="0" xfId="0" applyNumberFormat="1" applyFont="1" applyAlignment="1">
      <alignment horizontal="right" vertical="center"/>
    </xf>
    <xf numFmtId="166" fontId="32" fillId="0" borderId="29" xfId="0" applyNumberFormat="1" applyFont="1" applyBorder="1" applyAlignment="1">
      <alignment horizontal="centerContinuous" vertical="center" wrapText="1"/>
    </xf>
    <xf numFmtId="166" fontId="32" fillId="0" borderId="26" xfId="0" applyNumberFormat="1" applyFont="1" applyBorder="1" applyAlignment="1">
      <alignment horizontal="centerContinuous" vertical="center" wrapText="1"/>
    </xf>
    <xf numFmtId="166" fontId="32" fillId="0" borderId="15" xfId="0" applyNumberFormat="1" applyFont="1" applyBorder="1" applyAlignment="1">
      <alignment horizontal="centerContinuous" vertical="center" wrapText="1"/>
    </xf>
    <xf numFmtId="166" fontId="32" fillId="0" borderId="29" xfId="0" applyNumberFormat="1" applyFont="1" applyBorder="1" applyAlignment="1">
      <alignment horizontal="center" vertical="center" wrapText="1"/>
    </xf>
    <xf numFmtId="166" fontId="32" fillId="0" borderId="26" xfId="0" applyNumberFormat="1" applyFont="1" applyBorder="1" applyAlignment="1">
      <alignment horizontal="center" vertical="center" wrapText="1"/>
    </xf>
    <xf numFmtId="166" fontId="33" fillId="0" borderId="0" xfId="0" applyNumberFormat="1" applyFont="1" applyAlignment="1">
      <alignment horizontal="center" vertical="center" wrapText="1"/>
    </xf>
    <xf numFmtId="166" fontId="34" fillId="0" borderId="37" xfId="0" applyNumberFormat="1" applyFont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34" fillId="0" borderId="26" xfId="0" applyNumberFormat="1" applyFont="1" applyBorder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5" fillId="0" borderId="39" xfId="0" applyNumberFormat="1" applyFont="1" applyBorder="1" applyAlignment="1">
      <alignment horizontal="left" vertical="center" wrapText="1" indent="1"/>
    </xf>
    <xf numFmtId="166" fontId="35" fillId="0" borderId="10" xfId="0" applyNumberFormat="1" applyFont="1" applyBorder="1" applyAlignment="1">
      <alignment horizontal="left" vertical="center" wrapText="1" indent="1"/>
    </xf>
    <xf numFmtId="166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5" xfId="0" applyNumberFormat="1" applyFont="1" applyBorder="1" applyAlignment="1">
      <alignment horizontal="left" vertical="center" wrapText="1" indent="1"/>
    </xf>
    <xf numFmtId="166" fontId="35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0" xfId="0" applyNumberFormat="1" applyFont="1" applyBorder="1" applyAlignment="1" applyProtection="1">
      <alignment horizontal="left" vertical="center" wrapText="1" indent="1"/>
      <protection locked="0"/>
    </xf>
    <xf numFmtId="166" fontId="36" fillId="0" borderId="0" xfId="0" applyNumberFormat="1" applyFont="1" applyAlignment="1">
      <alignment horizontal="left" vertical="center" wrapText="1" indent="1"/>
    </xf>
    <xf numFmtId="166" fontId="35" fillId="0" borderId="45" xfId="0" applyNumberFormat="1" applyFont="1" applyBorder="1" applyAlignment="1" applyProtection="1">
      <alignment horizontal="left" vertical="center" wrapText="1" indent="1"/>
      <protection locked="0"/>
    </xf>
    <xf numFmtId="166" fontId="35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37" xfId="0" applyNumberFormat="1" applyFont="1" applyBorder="1" applyAlignment="1">
      <alignment horizontal="left" vertical="center" wrapText="1" indent="1"/>
    </xf>
    <xf numFmtId="166" fontId="34" fillId="0" borderId="29" xfId="0" applyNumberFormat="1" applyFont="1" applyBorder="1" applyAlignment="1">
      <alignment horizontal="left" vertical="center" wrapText="1" indent="1"/>
    </xf>
    <xf numFmtId="166" fontId="34" fillId="0" borderId="26" xfId="0" applyNumberFormat="1" applyFont="1" applyBorder="1" applyAlignment="1">
      <alignment horizontal="right" vertical="center" wrapText="1" indent="1"/>
    </xf>
    <xf numFmtId="166" fontId="38" fillId="0" borderId="41" xfId="0" applyNumberFormat="1" applyFont="1" applyBorder="1" applyAlignment="1">
      <alignment horizontal="left" vertical="center" wrapText="1" indent="1"/>
    </xf>
    <xf numFmtId="166" fontId="36" fillId="0" borderId="46" xfId="0" applyNumberFormat="1" applyFont="1" applyBorder="1" applyAlignment="1">
      <alignment horizontal="left" vertical="center" wrapText="1" indent="1"/>
    </xf>
    <xf numFmtId="166" fontId="36" fillId="0" borderId="10" xfId="0" applyNumberFormat="1" applyFont="1" applyBorder="1" applyAlignment="1">
      <alignment horizontal="left" vertical="center" wrapText="1" indent="1"/>
    </xf>
    <xf numFmtId="166" fontId="38" fillId="0" borderId="42" xfId="0" applyNumberFormat="1" applyFont="1" applyBorder="1" applyAlignment="1">
      <alignment horizontal="left" vertical="center" wrapText="1" indent="1"/>
    </xf>
    <xf numFmtId="166" fontId="3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11" xfId="0" applyNumberFormat="1" applyFont="1" applyBorder="1" applyAlignment="1">
      <alignment horizontal="right" vertical="center" wrapText="1" indent="1"/>
    </xf>
    <xf numFmtId="166" fontId="3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1" fillId="0" borderId="29" xfId="0" applyNumberFormat="1" applyFont="1" applyBorder="1" applyAlignment="1">
      <alignment horizontal="left" vertical="center" wrapText="1" indent="1"/>
    </xf>
    <xf numFmtId="166" fontId="34" fillId="0" borderId="26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29" xfId="0" applyNumberFormat="1" applyFont="1" applyBorder="1" applyAlignment="1">
      <alignment horizontal="left" vertical="center" wrapText="1" indent="1"/>
    </xf>
    <xf numFmtId="166" fontId="37" fillId="0" borderId="47" xfId="0" applyNumberFormat="1" applyFont="1" applyBorder="1" applyAlignment="1">
      <alignment horizontal="right" vertical="center" wrapText="1" indent="1"/>
    </xf>
    <xf numFmtId="166" fontId="35" fillId="0" borderId="10" xfId="0" quotePrefix="1" applyNumberFormat="1" applyFont="1" applyBorder="1" applyAlignment="1">
      <alignment horizontal="left" vertical="center" wrapText="1" indent="6"/>
    </xf>
    <xf numFmtId="166" fontId="36" fillId="0" borderId="10" xfId="0" quotePrefix="1" applyNumberFormat="1" applyFont="1" applyBorder="1" applyAlignment="1">
      <alignment horizontal="left" vertical="center" wrapText="1" indent="6"/>
    </xf>
    <xf numFmtId="166" fontId="35" fillId="0" borderId="10" xfId="0" quotePrefix="1" applyNumberFormat="1" applyFont="1" applyBorder="1" applyAlignment="1">
      <alignment horizontal="left" vertical="center" wrapText="1" indent="3"/>
    </xf>
    <xf numFmtId="166" fontId="35" fillId="0" borderId="46" xfId="0" applyNumberFormat="1" applyFont="1" applyBorder="1" applyAlignment="1">
      <alignment horizontal="left" vertical="center" wrapText="1" indent="1"/>
    </xf>
    <xf numFmtId="166" fontId="35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38" fillId="0" borderId="48" xfId="0" applyNumberFormat="1" applyFont="1" applyBorder="1" applyAlignment="1">
      <alignment horizontal="left" vertical="center" wrapText="1" indent="1"/>
    </xf>
    <xf numFmtId="166" fontId="39" fillId="0" borderId="46" xfId="0" applyNumberFormat="1" applyFont="1" applyBorder="1" applyAlignment="1">
      <alignment horizontal="left" vertical="center" wrapText="1" indent="1"/>
    </xf>
    <xf numFmtId="166" fontId="39" fillId="0" borderId="17" xfId="0" applyNumberFormat="1" applyFont="1" applyBorder="1" applyAlignment="1">
      <alignment horizontal="right" vertical="center" wrapText="1" indent="1"/>
    </xf>
    <xf numFmtId="166" fontId="36" fillId="0" borderId="10" xfId="0" applyNumberFormat="1" applyFont="1" applyBorder="1" applyAlignment="1">
      <alignment horizontal="left" vertical="center" wrapText="1" indent="2"/>
    </xf>
    <xf numFmtId="166" fontId="36" fillId="0" borderId="11" xfId="0" applyNumberFormat="1" applyFont="1" applyBorder="1" applyAlignment="1">
      <alignment horizontal="left" vertical="center" wrapText="1" indent="2"/>
    </xf>
    <xf numFmtId="166" fontId="39" fillId="0" borderId="11" xfId="0" applyNumberFormat="1" applyFont="1" applyBorder="1" applyAlignment="1">
      <alignment horizontal="left" vertical="center" wrapText="1" indent="1"/>
    </xf>
    <xf numFmtId="166" fontId="36" fillId="0" borderId="39" xfId="0" applyNumberFormat="1" applyFont="1" applyBorder="1" applyAlignment="1">
      <alignment horizontal="left" vertical="center" wrapText="1" indent="1"/>
    </xf>
    <xf numFmtId="166" fontId="36" fillId="0" borderId="39" xfId="0" applyNumberFormat="1" applyFont="1" applyBorder="1" applyAlignment="1" applyProtection="1">
      <alignment horizontal="left" vertical="center" wrapText="1" indent="1"/>
      <protection locked="0"/>
    </xf>
    <xf numFmtId="166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6" fontId="35" fillId="0" borderId="39" xfId="0" applyNumberFormat="1" applyFont="1" applyBorder="1" applyAlignment="1">
      <alignment horizontal="left" vertical="center" wrapText="1" indent="2"/>
    </xf>
    <xf numFmtId="166" fontId="35" fillId="0" borderId="45" xfId="0" applyNumberFormat="1" applyFont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3" fontId="3" fillId="0" borderId="49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3" fontId="3" fillId="0" borderId="2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52" xfId="0" applyNumberFormat="1" applyFont="1" applyBorder="1" applyAlignment="1">
      <alignment vertical="center"/>
    </xf>
    <xf numFmtId="0" fontId="2" fillId="24" borderId="37" xfId="0" applyFont="1" applyFill="1" applyBorder="1" applyAlignment="1">
      <alignment vertical="center"/>
    </xf>
    <xf numFmtId="3" fontId="0" fillId="0" borderId="0" xfId="0" applyNumberFormat="1"/>
    <xf numFmtId="0" fontId="4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top" wrapText="1"/>
    </xf>
    <xf numFmtId="3" fontId="41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11" xfId="0" applyBorder="1"/>
    <xf numFmtId="3" fontId="40" fillId="24" borderId="11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3" fillId="0" borderId="0" xfId="0" applyFont="1" applyAlignment="1">
      <alignment vertical="center"/>
    </xf>
    <xf numFmtId="166" fontId="35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36" xfId="0" applyNumberFormat="1" applyFont="1" applyBorder="1" applyAlignment="1">
      <alignment horizontal="right" vertical="center" wrapText="1" indent="1"/>
    </xf>
    <xf numFmtId="166" fontId="1" fillId="0" borderId="0" xfId="0" applyNumberFormat="1" applyFont="1" applyAlignment="1">
      <alignment vertical="center" wrapText="1"/>
    </xf>
    <xf numFmtId="166" fontId="44" fillId="0" borderId="0" xfId="0" applyNumberFormat="1" applyFont="1" applyAlignment="1">
      <alignment horizontal="centerContinuous" vertical="center"/>
    </xf>
    <xf numFmtId="166" fontId="44" fillId="0" borderId="0" xfId="0" applyNumberFormat="1" applyFont="1" applyAlignment="1">
      <alignment vertical="center" wrapText="1"/>
    </xf>
    <xf numFmtId="166" fontId="44" fillId="0" borderId="0" xfId="0" applyNumberFormat="1" applyFont="1" applyAlignment="1">
      <alignment horizontal="center" vertical="center" wrapText="1"/>
    </xf>
    <xf numFmtId="166" fontId="44" fillId="0" borderId="48" xfId="0" applyNumberFormat="1" applyFont="1" applyBorder="1" applyAlignment="1">
      <alignment horizontal="left" vertical="center" wrapText="1" indent="1"/>
    </xf>
    <xf numFmtId="166" fontId="44" fillId="0" borderId="42" xfId="0" applyNumberFormat="1" applyFont="1" applyBorder="1" applyAlignment="1">
      <alignment horizontal="left" vertical="center" wrapText="1" indent="1"/>
    </xf>
    <xf numFmtId="3" fontId="47" fillId="0" borderId="0" xfId="0" applyNumberFormat="1" applyFont="1"/>
    <xf numFmtId="3" fontId="27" fillId="26" borderId="11" xfId="0" applyNumberFormat="1" applyFont="1" applyFill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4" borderId="11" xfId="0" applyNumberFormat="1" applyFont="1" applyFill="1" applyBorder="1" applyAlignment="1">
      <alignment horizontal="right" vertical="top" wrapText="1"/>
    </xf>
    <xf numFmtId="0" fontId="47" fillId="0" borderId="0" xfId="0" applyFont="1"/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50" fillId="0" borderId="24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0" fontId="50" fillId="0" borderId="34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43" fillId="0" borderId="0" xfId="0" applyNumberFormat="1" applyFont="1" applyAlignment="1">
      <alignment vertical="center"/>
    </xf>
    <xf numFmtId="3" fontId="43" fillId="0" borderId="0" xfId="0" applyNumberFormat="1" applyFont="1"/>
    <xf numFmtId="3" fontId="2" fillId="24" borderId="11" xfId="0" applyNumberFormat="1" applyFont="1" applyFill="1" applyBorder="1" applyAlignment="1">
      <alignment vertical="center"/>
    </xf>
    <xf numFmtId="0" fontId="41" fillId="0" borderId="11" xfId="0" applyFont="1" applyBorder="1" applyAlignment="1">
      <alignment horizontal="left" vertical="center"/>
    </xf>
    <xf numFmtId="166" fontId="0" fillId="0" borderId="0" xfId="0" applyNumberFormat="1" applyAlignment="1">
      <alignment horizontal="center" vertical="center" wrapText="1"/>
    </xf>
    <xf numFmtId="166" fontId="32" fillId="0" borderId="71" xfId="0" applyNumberFormat="1" applyFont="1" applyBorder="1" applyAlignment="1">
      <alignment horizontal="centerContinuous" vertical="center"/>
    </xf>
    <xf numFmtId="166" fontId="32" fillId="0" borderId="24" xfId="0" applyNumberFormat="1" applyFont="1" applyBorder="1" applyAlignment="1">
      <alignment horizontal="centerContinuous" vertical="center"/>
    </xf>
    <xf numFmtId="166" fontId="32" fillId="0" borderId="50" xfId="0" applyNumberFormat="1" applyFont="1" applyBorder="1" applyAlignment="1">
      <alignment horizontal="centerContinuous" vertical="center"/>
    </xf>
    <xf numFmtId="166" fontId="52" fillId="0" borderId="0" xfId="0" applyNumberFormat="1" applyFont="1" applyAlignment="1">
      <alignment vertical="center"/>
    </xf>
    <xf numFmtId="166" fontId="32" fillId="0" borderId="28" xfId="0" applyNumberFormat="1" applyFont="1" applyBorder="1" applyAlignment="1">
      <alignment horizontal="center" vertical="center"/>
    </xf>
    <xf numFmtId="166" fontId="32" fillId="0" borderId="64" xfId="0" applyNumberFormat="1" applyFont="1" applyBorder="1" applyAlignment="1">
      <alignment horizontal="center" vertical="center"/>
    </xf>
    <xf numFmtId="166" fontId="32" fillId="0" borderId="13" xfId="0" applyNumberFormat="1" applyFont="1" applyBorder="1" applyAlignment="1">
      <alignment horizontal="center" vertical="center" wrapText="1"/>
    </xf>
    <xf numFmtId="166" fontId="52" fillId="0" borderId="0" xfId="0" applyNumberFormat="1" applyFont="1" applyAlignment="1">
      <alignment horizontal="center" vertical="center"/>
    </xf>
    <xf numFmtId="166" fontId="53" fillId="0" borderId="44" xfId="0" applyNumberFormat="1" applyFont="1" applyBorder="1" applyAlignment="1">
      <alignment horizontal="center" vertical="center" wrapText="1"/>
    </xf>
    <xf numFmtId="166" fontId="53" fillId="0" borderId="26" xfId="0" applyNumberFormat="1" applyFont="1" applyBorder="1" applyAlignment="1">
      <alignment horizontal="center" vertical="center" wrapText="1"/>
    </xf>
    <xf numFmtId="166" fontId="53" fillId="0" borderId="67" xfId="0" applyNumberFormat="1" applyFont="1" applyBorder="1" applyAlignment="1">
      <alignment horizontal="center" vertical="center" wrapText="1"/>
    </xf>
    <xf numFmtId="166" fontId="53" fillId="0" borderId="41" xfId="0" applyNumberFormat="1" applyFont="1" applyBorder="1" applyAlignment="1">
      <alignment horizontal="center" vertical="center" wrapText="1"/>
    </xf>
    <xf numFmtId="166" fontId="53" fillId="0" borderId="0" xfId="0" applyNumberFormat="1" applyFont="1" applyAlignment="1">
      <alignment horizontal="center" vertical="center" wrapText="1"/>
    </xf>
    <xf numFmtId="166" fontId="53" fillId="0" borderId="68" xfId="0" applyNumberFormat="1" applyFont="1" applyBorder="1" applyAlignment="1">
      <alignment horizontal="right" vertical="center" wrapText="1" indent="1"/>
    </xf>
    <xf numFmtId="166" fontId="34" fillId="0" borderId="22" xfId="0" applyNumberFormat="1" applyFont="1" applyBorder="1" applyAlignment="1">
      <alignment horizontal="left" vertical="center" wrapText="1" indent="1"/>
    </xf>
    <xf numFmtId="1" fontId="37" fillId="27" borderId="22" xfId="0" applyNumberFormat="1" applyFont="1" applyFill="1" applyBorder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 wrapText="1"/>
    </xf>
    <xf numFmtId="166" fontId="34" fillId="0" borderId="71" xfId="0" applyNumberFormat="1" applyFont="1" applyBorder="1" applyAlignment="1">
      <alignment vertical="center" wrapText="1"/>
    </xf>
    <xf numFmtId="166" fontId="34" fillId="0" borderId="56" xfId="0" applyNumberFormat="1" applyFont="1" applyBorder="1" applyAlignment="1">
      <alignment vertical="center" wrapText="1"/>
    </xf>
    <xf numFmtId="166" fontId="53" fillId="0" borderId="10" xfId="0" applyNumberFormat="1" applyFont="1" applyBorder="1" applyAlignment="1">
      <alignment horizontal="right" vertical="center" wrapText="1" indent="1"/>
    </xf>
    <xf numFmtId="166" fontId="35" fillId="0" borderId="11" xfId="0" applyNumberFormat="1" applyFont="1" applyBorder="1" applyAlignment="1" applyProtection="1">
      <alignment horizontal="left" vertical="center" wrapText="1" indent="1"/>
      <protection locked="0"/>
    </xf>
    <xf numFmtId="1" fontId="54" fillId="0" borderId="11" xfId="0" applyNumberFormat="1" applyFont="1" applyBorder="1" applyAlignment="1" applyProtection="1">
      <alignment horizontal="center" vertical="center" wrapText="1"/>
      <protection locked="0"/>
    </xf>
    <xf numFmtId="166" fontId="35" fillId="0" borderId="11" xfId="0" applyNumberFormat="1" applyFont="1" applyBorder="1" applyAlignment="1" applyProtection="1">
      <alignment vertical="center" wrapText="1"/>
      <protection locked="0"/>
    </xf>
    <xf numFmtId="166" fontId="35" fillId="0" borderId="18" xfId="0" applyNumberFormat="1" applyFont="1" applyBorder="1" applyAlignment="1" applyProtection="1">
      <alignment vertical="center" wrapText="1"/>
      <protection locked="0"/>
    </xf>
    <xf numFmtId="166" fontId="35" fillId="0" borderId="42" xfId="0" applyNumberFormat="1" applyFont="1" applyBorder="1" applyAlignment="1">
      <alignment vertical="center" wrapText="1"/>
    </xf>
    <xf numFmtId="166" fontId="34" fillId="0" borderId="11" xfId="0" applyNumberFormat="1" applyFont="1" applyBorder="1" applyAlignment="1">
      <alignment horizontal="left" vertical="center" wrapText="1" indent="1"/>
    </xf>
    <xf numFmtId="1" fontId="37" fillId="27" borderId="11" xfId="0" applyNumberFormat="1" applyFont="1" applyFill="1" applyBorder="1" applyAlignment="1">
      <alignment horizontal="center" vertical="center" wrapText="1"/>
    </xf>
    <xf numFmtId="166" fontId="34" fillId="0" borderId="11" xfId="0" applyNumberFormat="1" applyFont="1" applyBorder="1" applyAlignment="1">
      <alignment vertical="center" wrapText="1"/>
    </xf>
    <xf numFmtId="166" fontId="34" fillId="0" borderId="18" xfId="0" applyNumberFormat="1" applyFont="1" applyBorder="1" applyAlignment="1">
      <alignment vertical="center" wrapText="1"/>
    </xf>
    <xf numFmtId="166" fontId="34" fillId="0" borderId="42" xfId="0" applyNumberFormat="1" applyFont="1" applyBorder="1" applyAlignment="1">
      <alignment vertical="center" wrapText="1"/>
    </xf>
    <xf numFmtId="166" fontId="53" fillId="0" borderId="11" xfId="0" applyNumberFormat="1" applyFont="1" applyBorder="1" applyAlignment="1">
      <alignment horizontal="left" vertical="center" wrapText="1" indent="1"/>
    </xf>
    <xf numFmtId="166" fontId="53" fillId="0" borderId="46" xfId="0" applyNumberFormat="1" applyFont="1" applyBorder="1" applyAlignment="1">
      <alignment horizontal="right" vertical="center" wrapText="1" indent="1"/>
    </xf>
    <xf numFmtId="166" fontId="34" fillId="0" borderId="36" xfId="0" applyNumberFormat="1" applyFont="1" applyBorder="1" applyAlignment="1" applyProtection="1">
      <alignment horizontal="left" vertical="center" wrapText="1" indent="1"/>
      <protection locked="0"/>
    </xf>
    <xf numFmtId="1" fontId="37" fillId="27" borderId="19" xfId="0" applyNumberFormat="1" applyFont="1" applyFill="1" applyBorder="1" applyAlignment="1">
      <alignment horizontal="center" vertical="center" wrapText="1"/>
    </xf>
    <xf numFmtId="166" fontId="34" fillId="0" borderId="36" xfId="0" applyNumberFormat="1" applyFont="1" applyBorder="1" applyAlignment="1">
      <alignment vertical="center" wrapText="1"/>
    </xf>
    <xf numFmtId="166" fontId="34" fillId="0" borderId="40" xfId="0" applyNumberFormat="1" applyFont="1" applyBorder="1" applyAlignment="1">
      <alignment vertical="center" wrapText="1"/>
    </xf>
    <xf numFmtId="1" fontId="54" fillId="0" borderId="40" xfId="0" applyNumberFormat="1" applyFont="1" applyBorder="1" applyAlignment="1" applyProtection="1">
      <alignment horizontal="center" vertical="center" wrapText="1"/>
      <protection locked="0"/>
    </xf>
    <xf numFmtId="166" fontId="35" fillId="0" borderId="36" xfId="0" applyNumberFormat="1" applyFont="1" applyBorder="1" applyAlignment="1" applyProtection="1">
      <alignment vertical="center" wrapText="1"/>
      <protection locked="0"/>
    </xf>
    <xf numFmtId="166" fontId="35" fillId="0" borderId="40" xfId="0" applyNumberFormat="1" applyFont="1" applyBorder="1" applyAlignment="1" applyProtection="1">
      <alignment vertical="center" wrapText="1"/>
      <protection locked="0"/>
    </xf>
    <xf numFmtId="166" fontId="53" fillId="0" borderId="29" xfId="0" applyNumberFormat="1" applyFont="1" applyBorder="1" applyAlignment="1">
      <alignment horizontal="right" vertical="center" wrapText="1" indent="1"/>
    </xf>
    <xf numFmtId="166" fontId="53" fillId="0" borderId="26" xfId="0" applyNumberFormat="1" applyFont="1" applyBorder="1" applyAlignment="1">
      <alignment horizontal="left" vertical="center" wrapText="1" indent="1"/>
    </xf>
    <xf numFmtId="1" fontId="35" fillId="27" borderId="67" xfId="0" applyNumberFormat="1" applyFont="1" applyFill="1" applyBorder="1" applyAlignment="1">
      <alignment vertical="center" wrapText="1"/>
    </xf>
    <xf numFmtId="166" fontId="34" fillId="0" borderId="26" xfId="0" applyNumberFormat="1" applyFont="1" applyBorder="1" applyAlignment="1">
      <alignment vertical="center" wrapText="1"/>
    </xf>
    <xf numFmtId="166" fontId="34" fillId="0" borderId="37" xfId="0" applyNumberFormat="1" applyFont="1" applyBorder="1" applyAlignment="1">
      <alignment vertical="center" wrapText="1"/>
    </xf>
    <xf numFmtId="3" fontId="35" fillId="0" borderId="11" xfId="0" applyNumberFormat="1" applyFont="1" applyBorder="1" applyAlignment="1" applyProtection="1">
      <alignment vertical="center" wrapText="1"/>
      <protection locked="0"/>
    </xf>
    <xf numFmtId="3" fontId="35" fillId="0" borderId="18" xfId="0" applyNumberFormat="1" applyFont="1" applyBorder="1" applyAlignment="1" applyProtection="1">
      <alignment vertical="center" wrapText="1"/>
      <protection locked="0"/>
    </xf>
    <xf numFmtId="166" fontId="32" fillId="0" borderId="51" xfId="0" applyNumberFormat="1" applyFont="1" applyBorder="1" applyAlignment="1">
      <alignment horizontal="centerContinuous" vertical="center" wrapText="1"/>
    </xf>
    <xf numFmtId="166" fontId="34" fillId="0" borderId="51" xfId="0" applyNumberFormat="1" applyFont="1" applyBorder="1" applyAlignment="1">
      <alignment horizontal="center" vertical="center" wrapText="1"/>
    </xf>
    <xf numFmtId="166" fontId="3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5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14" xfId="0" applyNumberFormat="1" applyFont="1" applyBorder="1" applyAlignment="1">
      <alignment horizontal="right" vertical="center" wrapText="1" indent="1"/>
    </xf>
    <xf numFmtId="166" fontId="34" fillId="0" borderId="51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52" xfId="0" applyNumberFormat="1" applyFont="1" applyBorder="1" applyAlignment="1">
      <alignment horizontal="right" vertical="center" wrapText="1" indent="1"/>
    </xf>
    <xf numFmtId="166" fontId="32" fillId="0" borderId="0" xfId="0" applyNumberFormat="1" applyFont="1" applyBorder="1" applyAlignment="1">
      <alignment horizontal="centerContinuous" vertical="center" wrapText="1"/>
    </xf>
    <xf numFmtId="166" fontId="35" fillId="0" borderId="0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67" xfId="0" applyNumberFormat="1" applyFont="1" applyBorder="1" applyAlignment="1">
      <alignment horizontal="center" vertical="center" wrapText="1"/>
    </xf>
    <xf numFmtId="166" fontId="34" fillId="0" borderId="67" xfId="0" applyNumberFormat="1" applyFont="1" applyBorder="1" applyAlignment="1">
      <alignment horizontal="center" vertical="center" wrapText="1"/>
    </xf>
    <xf numFmtId="166" fontId="35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5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67" xfId="0" applyNumberFormat="1" applyFont="1" applyBorder="1" applyAlignment="1">
      <alignment horizontal="right" vertical="center" wrapText="1" indent="1"/>
    </xf>
    <xf numFmtId="166" fontId="36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67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11" xfId="0" applyNumberFormat="1" applyFont="1" applyBorder="1" applyAlignment="1">
      <alignment horizontal="center" vertical="center" wrapText="1"/>
    </xf>
    <xf numFmtId="166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8" xfId="0" applyNumberFormat="1" applyFont="1" applyBorder="1" applyAlignment="1">
      <alignment horizontal="centerContinuous" vertical="center" wrapText="1"/>
    </xf>
    <xf numFmtId="166" fontId="0" fillId="0" borderId="62" xfId="0" applyNumberFormat="1" applyBorder="1" applyAlignment="1">
      <alignment vertical="center" wrapText="1"/>
    </xf>
    <xf numFmtId="166" fontId="30" fillId="0" borderId="62" xfId="0" applyNumberFormat="1" applyFont="1" applyBorder="1" applyAlignment="1">
      <alignment horizontal="right" vertical="center"/>
    </xf>
    <xf numFmtId="3" fontId="40" fillId="24" borderId="36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8" fillId="1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3" fillId="1" borderId="0" xfId="0" applyNumberFormat="1" applyFont="1" applyFill="1" applyBorder="1" applyAlignment="1">
      <alignment vertical="center"/>
    </xf>
    <xf numFmtId="3" fontId="2" fillId="25" borderId="18" xfId="0" applyNumberFormat="1" applyFont="1" applyFill="1" applyBorder="1" applyAlignment="1">
      <alignment horizontal="right" vertical="center"/>
    </xf>
    <xf numFmtId="3" fontId="2" fillId="1" borderId="18" xfId="0" applyNumberFormat="1" applyFont="1" applyFill="1" applyBorder="1" applyAlignment="1">
      <alignment horizontal="right" vertical="center"/>
    </xf>
    <xf numFmtId="3" fontId="2" fillId="24" borderId="18" xfId="0" applyNumberFormat="1" applyFont="1" applyFill="1" applyBorder="1" applyAlignment="1">
      <alignment vertical="center"/>
    </xf>
    <xf numFmtId="3" fontId="2" fillId="1" borderId="18" xfId="0" applyNumberFormat="1" applyFont="1" applyFill="1" applyBorder="1" applyAlignment="1">
      <alignment vertical="center"/>
    </xf>
    <xf numFmtId="3" fontId="2" fillId="24" borderId="64" xfId="0" applyNumberFormat="1" applyFont="1" applyFill="1" applyBorder="1" applyAlignment="1">
      <alignment vertical="center"/>
    </xf>
    <xf numFmtId="3" fontId="2" fillId="24" borderId="67" xfId="0" applyNumberFormat="1" applyFont="1" applyFill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3" fillId="1" borderId="11" xfId="0" applyNumberFormat="1" applyFont="1" applyFill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24" borderId="26" xfId="0" applyNumberFormat="1" applyFont="1" applyFill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1" borderId="27" xfId="0" applyNumberFormat="1" applyFont="1" applyFill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2" fillId="24" borderId="28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2" fillId="24" borderId="67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3" fontId="49" fillId="0" borderId="11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3" fontId="3" fillId="0" borderId="35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 wrapText="1"/>
    </xf>
    <xf numFmtId="3" fontId="3" fillId="0" borderId="44" xfId="0" applyNumberFormat="1" applyFont="1" applyBorder="1" applyAlignment="1">
      <alignment vertical="center"/>
    </xf>
    <xf numFmtId="3" fontId="41" fillId="0" borderId="11" xfId="0" applyNumberFormat="1" applyFont="1" applyFill="1" applyBorder="1" applyAlignment="1">
      <alignment horizontal="right" vertical="top" wrapText="1"/>
    </xf>
    <xf numFmtId="3" fontId="27" fillId="0" borderId="11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0" fillId="0" borderId="0" xfId="0" applyNumberFormat="1" applyFill="1"/>
    <xf numFmtId="3" fontId="41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3" fontId="27" fillId="0" borderId="11" xfId="0" applyNumberFormat="1" applyFont="1" applyFill="1" applyBorder="1" applyAlignment="1">
      <alignment horizontal="right" vertical="top" wrapText="1"/>
    </xf>
    <xf numFmtId="0" fontId="41" fillId="0" borderId="11" xfId="0" applyFont="1" applyFill="1" applyBorder="1" applyAlignment="1">
      <alignment horizontal="left" vertical="top" wrapText="1"/>
    </xf>
    <xf numFmtId="3" fontId="56" fillId="24" borderId="11" xfId="0" applyNumberFormat="1" applyFont="1" applyFill="1" applyBorder="1" applyAlignment="1">
      <alignment horizontal="right" vertical="top" wrapText="1"/>
    </xf>
    <xf numFmtId="3" fontId="59" fillId="0" borderId="11" xfId="0" applyNumberFormat="1" applyFont="1" applyBorder="1" applyAlignment="1">
      <alignment horizontal="right" vertical="top" wrapText="1"/>
    </xf>
    <xf numFmtId="3" fontId="60" fillId="24" borderId="11" xfId="0" applyNumberFormat="1" applyFont="1" applyFill="1" applyBorder="1" applyAlignment="1">
      <alignment horizontal="right" vertical="top" wrapText="1"/>
    </xf>
    <xf numFmtId="3" fontId="60" fillId="28" borderId="11" xfId="0" applyNumberFormat="1" applyFont="1" applyFill="1" applyBorder="1" applyAlignment="1">
      <alignment horizontal="right" vertical="center" wrapText="1"/>
    </xf>
    <xf numFmtId="3" fontId="27" fillId="28" borderId="11" xfId="0" applyNumberFormat="1" applyFont="1" applyFill="1" applyBorder="1" applyAlignment="1">
      <alignment horizontal="right" vertical="center" wrapText="1"/>
    </xf>
    <xf numFmtId="3" fontId="46" fillId="28" borderId="11" xfId="0" applyNumberFormat="1" applyFont="1" applyFill="1" applyBorder="1" applyAlignment="1">
      <alignment horizontal="right"/>
    </xf>
    <xf numFmtId="3" fontId="57" fillId="28" borderId="11" xfId="0" applyNumberFormat="1" applyFont="1" applyFill="1" applyBorder="1" applyAlignment="1">
      <alignment horizontal="right"/>
    </xf>
    <xf numFmtId="0" fontId="3" fillId="0" borderId="14" xfId="0" applyFont="1" applyBorder="1" applyAlignment="1">
      <alignment vertical="top" wrapText="1"/>
    </xf>
    <xf numFmtId="0" fontId="3" fillId="0" borderId="27" xfId="0" applyFont="1" applyBorder="1" applyAlignment="1">
      <alignment horizontal="left" vertical="center"/>
    </xf>
    <xf numFmtId="3" fontId="43" fillId="28" borderId="11" xfId="0" applyNumberFormat="1" applyFont="1" applyFill="1" applyBorder="1" applyAlignment="1">
      <alignment horizontal="right"/>
    </xf>
    <xf numFmtId="3" fontId="58" fillId="28" borderId="11" xfId="0" applyNumberFormat="1" applyFont="1" applyFill="1" applyBorder="1" applyAlignment="1">
      <alignment horizontal="right"/>
    </xf>
    <xf numFmtId="3" fontId="61" fillId="0" borderId="11" xfId="0" applyNumberFormat="1" applyFont="1" applyBorder="1" applyAlignment="1">
      <alignment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6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/>
    </xf>
    <xf numFmtId="3" fontId="2" fillId="0" borderId="4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2" fillId="24" borderId="64" xfId="0" applyNumberFormat="1" applyFont="1" applyFill="1" applyBorder="1" applyAlignment="1">
      <alignment horizontal="right" vertical="center"/>
    </xf>
    <xf numFmtId="0" fontId="2" fillId="0" borderId="66" xfId="0" applyFont="1" applyBorder="1" applyAlignment="1">
      <alignment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3" fontId="2" fillId="24" borderId="23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1" borderId="74" xfId="0" applyNumberFormat="1" applyFont="1" applyFill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3" fontId="2" fillId="0" borderId="74" xfId="0" applyNumberFormat="1" applyFont="1" applyBorder="1" applyAlignment="1">
      <alignment vertical="center"/>
    </xf>
    <xf numFmtId="3" fontId="2" fillId="24" borderId="75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0" borderId="76" xfId="0" applyNumberFormat="1" applyFont="1" applyFill="1" applyBorder="1" applyAlignment="1">
      <alignment horizontal="right" vertical="center"/>
    </xf>
    <xf numFmtId="0" fontId="0" fillId="0" borderId="0" xfId="0" applyFont="1"/>
    <xf numFmtId="3" fontId="41" fillId="24" borderId="11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1" xfId="0" applyFont="1" applyBorder="1" applyAlignment="1">
      <alignment horizontal="center" vertical="top"/>
    </xf>
    <xf numFmtId="0" fontId="41" fillId="0" borderId="11" xfId="0" applyFont="1" applyBorder="1" applyAlignment="1">
      <alignment horizontal="right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27" fillId="26" borderId="11" xfId="0" applyFont="1" applyFill="1" applyBorder="1" applyAlignment="1">
      <alignment horizontal="right" vertical="top" wrapText="1"/>
    </xf>
    <xf numFmtId="0" fontId="0" fillId="0" borderId="11" xfId="0" applyFont="1" applyBorder="1"/>
    <xf numFmtId="0" fontId="27" fillId="29" borderId="11" xfId="0" applyFont="1" applyFill="1" applyBorder="1" applyAlignment="1">
      <alignment horizontal="left" vertical="center" wrapText="1"/>
    </xf>
    <xf numFmtId="3" fontId="27" fillId="29" borderId="1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43" fillId="30" borderId="11" xfId="0" applyFont="1" applyFill="1" applyBorder="1" applyAlignment="1">
      <alignment horizontal="left"/>
    </xf>
    <xf numFmtId="3" fontId="43" fillId="30" borderId="11" xfId="0" applyNumberFormat="1" applyFont="1" applyFill="1" applyBorder="1" applyAlignment="1">
      <alignment horizontal="right"/>
    </xf>
    <xf numFmtId="0" fontId="0" fillId="0" borderId="11" xfId="0" applyFont="1" applyBorder="1" applyAlignment="1">
      <alignment horizontal="center"/>
    </xf>
    <xf numFmtId="3" fontId="0" fillId="0" borderId="0" xfId="0" applyNumberFormat="1" applyFont="1"/>
    <xf numFmtId="3" fontId="0" fillId="0" borderId="0" xfId="0" applyNumberFormat="1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center" wrapText="1"/>
    </xf>
    <xf numFmtId="0" fontId="27" fillId="31" borderId="14" xfId="0" applyFont="1" applyFill="1" applyBorder="1" applyAlignment="1">
      <alignment horizontal="left" vertical="center" wrapText="1"/>
    </xf>
    <xf numFmtId="3" fontId="27" fillId="31" borderId="11" xfId="0" applyNumberFormat="1" applyFont="1" applyFill="1" applyBorder="1" applyAlignment="1">
      <alignment horizontal="center" vertical="center" wrapText="1"/>
    </xf>
    <xf numFmtId="3" fontId="27" fillId="31" borderId="11" xfId="0" applyNumberFormat="1" applyFont="1" applyFill="1" applyBorder="1" applyAlignment="1">
      <alignment horizontal="right" vertical="center" wrapText="1"/>
    </xf>
    <xf numFmtId="0" fontId="27" fillId="31" borderId="14" xfId="0" applyFont="1" applyFill="1" applyBorder="1" applyAlignment="1">
      <alignment horizontal="right" vertical="center" wrapText="1"/>
    </xf>
    <xf numFmtId="3" fontId="0" fillId="0" borderId="0" xfId="0" applyNumberFormat="1" applyFont="1" applyAlignment="1">
      <alignment horizontal="center" vertical="center"/>
    </xf>
    <xf numFmtId="0" fontId="27" fillId="29" borderId="55" xfId="0" applyFont="1" applyFill="1" applyBorder="1" applyAlignment="1">
      <alignment horizontal="left" vertical="center" wrapText="1"/>
    </xf>
    <xf numFmtId="3" fontId="27" fillId="31" borderId="14" xfId="0" applyNumberFormat="1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/>
    <xf numFmtId="0" fontId="27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1" fillId="0" borderId="11" xfId="0" applyFont="1" applyFill="1" applyBorder="1" applyAlignment="1">
      <alignment horizontal="left" vertical="center" wrapText="1"/>
    </xf>
    <xf numFmtId="3" fontId="41" fillId="0" borderId="11" xfId="0" applyNumberFormat="1" applyFont="1" applyFill="1" applyBorder="1" applyAlignment="1">
      <alignment horizontal="right" vertical="center" wrapText="1"/>
    </xf>
    <xf numFmtId="3" fontId="41" fillId="0" borderId="11" xfId="0" applyNumberFormat="1" applyFont="1" applyBorder="1" applyAlignment="1">
      <alignment horizontal="right" vertical="center"/>
    </xf>
    <xf numFmtId="3" fontId="40" fillId="24" borderId="79" xfId="0" applyNumberFormat="1" applyFont="1" applyFill="1" applyBorder="1" applyAlignment="1">
      <alignment horizontal="center" vertical="center" wrapText="1"/>
    </xf>
    <xf numFmtId="3" fontId="62" fillId="24" borderId="11" xfId="0" applyNumberFormat="1" applyFont="1" applyFill="1" applyBorder="1" applyAlignment="1">
      <alignment horizontal="center" vertical="center" wrapText="1"/>
    </xf>
    <xf numFmtId="3" fontId="63" fillId="0" borderId="11" xfId="0" applyNumberFormat="1" applyFont="1" applyBorder="1" applyAlignment="1">
      <alignment horizontal="right" vertical="top" wrapText="1"/>
    </xf>
    <xf numFmtId="3" fontId="63" fillId="0" borderId="18" xfId="0" applyNumberFormat="1" applyFont="1" applyBorder="1" applyAlignment="1">
      <alignment horizontal="right" vertical="top" wrapText="1"/>
    </xf>
    <xf numFmtId="3" fontId="41" fillId="0" borderId="80" xfId="0" applyNumberFormat="1" applyFont="1" applyBorder="1" applyAlignment="1">
      <alignment horizontal="right" vertical="top" wrapText="1"/>
    </xf>
    <xf numFmtId="3" fontId="64" fillId="0" borderId="11" xfId="0" applyNumberFormat="1" applyFont="1" applyBorder="1" applyAlignment="1">
      <alignment horizontal="right" vertical="top" wrapText="1"/>
    </xf>
    <xf numFmtId="3" fontId="64" fillId="0" borderId="18" xfId="0" applyNumberFormat="1" applyFont="1" applyBorder="1" applyAlignment="1">
      <alignment horizontal="right" vertical="top" wrapText="1"/>
    </xf>
    <xf numFmtId="3" fontId="59" fillId="0" borderId="80" xfId="0" applyNumberFormat="1" applyFont="1" applyBorder="1" applyAlignment="1">
      <alignment horizontal="right" vertical="top" wrapText="1"/>
    </xf>
    <xf numFmtId="3" fontId="63" fillId="0" borderId="11" xfId="0" applyNumberFormat="1" applyFont="1" applyFill="1" applyBorder="1" applyAlignment="1">
      <alignment horizontal="right" vertical="top" wrapText="1"/>
    </xf>
    <xf numFmtId="3" fontId="63" fillId="0" borderId="18" xfId="0" applyNumberFormat="1" applyFont="1" applyFill="1" applyBorder="1" applyAlignment="1">
      <alignment horizontal="right" vertical="top" wrapText="1"/>
    </xf>
    <xf numFmtId="3" fontId="56" fillId="26" borderId="11" xfId="0" applyNumberFormat="1" applyFont="1" applyFill="1" applyBorder="1" applyAlignment="1">
      <alignment horizontal="right" vertical="top" wrapText="1"/>
    </xf>
    <xf numFmtId="3" fontId="56" fillId="26" borderId="18" xfId="0" applyNumberFormat="1" applyFont="1" applyFill="1" applyBorder="1" applyAlignment="1">
      <alignment horizontal="right" vertical="top" wrapText="1"/>
    </xf>
    <xf numFmtId="3" fontId="27" fillId="26" borderId="80" xfId="0" applyNumberFormat="1" applyFont="1" applyFill="1" applyBorder="1" applyAlignment="1">
      <alignment horizontal="right" vertical="top" wrapText="1"/>
    </xf>
    <xf numFmtId="3" fontId="60" fillId="26" borderId="80" xfId="0" applyNumberFormat="1" applyFont="1" applyFill="1" applyBorder="1" applyAlignment="1">
      <alignment horizontal="right" vertical="top" wrapText="1"/>
    </xf>
    <xf numFmtId="3" fontId="56" fillId="24" borderId="11" xfId="0" applyNumberFormat="1" applyFont="1" applyFill="1" applyBorder="1" applyAlignment="1">
      <alignment horizontal="right" vertical="center" wrapText="1"/>
    </xf>
    <xf numFmtId="3" fontId="56" fillId="24" borderId="18" xfId="0" applyNumberFormat="1" applyFont="1" applyFill="1" applyBorder="1" applyAlignment="1">
      <alignment horizontal="right" vertical="center" wrapText="1"/>
    </xf>
    <xf numFmtId="3" fontId="27" fillId="24" borderId="80" xfId="0" applyNumberFormat="1" applyFont="1" applyFill="1" applyBorder="1" applyAlignment="1">
      <alignment horizontal="right" vertical="center" wrapText="1"/>
    </xf>
    <xf numFmtId="3" fontId="60" fillId="24" borderId="80" xfId="0" applyNumberFormat="1" applyFont="1" applyFill="1" applyBorder="1" applyAlignment="1">
      <alignment horizontal="right" vertical="center" wrapText="1"/>
    </xf>
    <xf numFmtId="3" fontId="65" fillId="26" borderId="11" xfId="0" applyNumberFormat="1" applyFont="1" applyFill="1" applyBorder="1" applyAlignment="1">
      <alignment horizontal="right" vertical="top" wrapText="1"/>
    </xf>
    <xf numFmtId="3" fontId="65" fillId="26" borderId="18" xfId="0" applyNumberFormat="1" applyFont="1" applyFill="1" applyBorder="1" applyAlignment="1">
      <alignment horizontal="right" vertical="top" wrapText="1"/>
    </xf>
    <xf numFmtId="3" fontId="65" fillId="24" borderId="11" xfId="0" applyNumberFormat="1" applyFont="1" applyFill="1" applyBorder="1" applyAlignment="1">
      <alignment horizontal="right" vertical="center" wrapText="1"/>
    </xf>
    <xf numFmtId="3" fontId="65" fillId="24" borderId="18" xfId="0" applyNumberFormat="1" applyFont="1" applyFill="1" applyBorder="1" applyAlignment="1">
      <alignment horizontal="right" vertical="center" wrapText="1"/>
    </xf>
    <xf numFmtId="0" fontId="0" fillId="0" borderId="11" xfId="0" applyFill="1" applyBorder="1"/>
    <xf numFmtId="3" fontId="41" fillId="0" borderId="80" xfId="0" applyNumberFormat="1" applyFont="1" applyFill="1" applyBorder="1" applyAlignment="1">
      <alignment horizontal="right" vertical="top" wrapText="1"/>
    </xf>
    <xf numFmtId="3" fontId="59" fillId="0" borderId="80" xfId="0" applyNumberFormat="1" applyFont="1" applyFill="1" applyBorder="1" applyAlignment="1">
      <alignment horizontal="right" vertical="top" wrapText="1"/>
    </xf>
    <xf numFmtId="0" fontId="1" fillId="0" borderId="11" xfId="0" applyFont="1" applyBorder="1"/>
    <xf numFmtId="0" fontId="1" fillId="0" borderId="0" xfId="0" applyFont="1"/>
    <xf numFmtId="3" fontId="56" fillId="24" borderId="18" xfId="0" applyNumberFormat="1" applyFont="1" applyFill="1" applyBorder="1" applyAlignment="1">
      <alignment horizontal="right" vertical="top" wrapText="1"/>
    </xf>
    <xf numFmtId="3" fontId="27" fillId="24" borderId="80" xfId="0" applyNumberFormat="1" applyFont="1" applyFill="1" applyBorder="1" applyAlignment="1">
      <alignment horizontal="right" vertical="top" wrapText="1"/>
    </xf>
    <xf numFmtId="0" fontId="27" fillId="0" borderId="11" xfId="0" applyFont="1" applyFill="1" applyBorder="1" applyAlignment="1">
      <alignment horizontal="left" vertical="top" wrapText="1"/>
    </xf>
    <xf numFmtId="3" fontId="27" fillId="0" borderId="80" xfId="0" applyNumberFormat="1" applyFont="1" applyFill="1" applyBorder="1" applyAlignment="1">
      <alignment horizontal="right" vertical="top" wrapText="1"/>
    </xf>
    <xf numFmtId="3" fontId="56" fillId="28" borderId="11" xfId="0" applyNumberFormat="1" applyFont="1" applyFill="1" applyBorder="1" applyAlignment="1">
      <alignment horizontal="right" vertical="center" wrapText="1"/>
    </xf>
    <xf numFmtId="3" fontId="56" fillId="28" borderId="18" xfId="0" applyNumberFormat="1" applyFont="1" applyFill="1" applyBorder="1" applyAlignment="1">
      <alignment horizontal="right" vertical="center" wrapText="1"/>
    </xf>
    <xf numFmtId="3" fontId="27" fillId="28" borderId="80" xfId="0" applyNumberFormat="1" applyFont="1" applyFill="1" applyBorder="1" applyAlignment="1">
      <alignment horizontal="right" vertical="center" wrapText="1"/>
    </xf>
    <xf numFmtId="3" fontId="60" fillId="28" borderId="80" xfId="0" applyNumberFormat="1" applyFont="1" applyFill="1" applyBorder="1" applyAlignment="1">
      <alignment horizontal="right" vertical="center" wrapText="1"/>
    </xf>
    <xf numFmtId="3" fontId="65" fillId="24" borderId="11" xfId="0" applyNumberFormat="1" applyFont="1" applyFill="1" applyBorder="1" applyAlignment="1">
      <alignment horizontal="right" vertical="top" wrapText="1"/>
    </xf>
    <xf numFmtId="3" fontId="65" fillId="24" borderId="18" xfId="0" applyNumberFormat="1" applyFont="1" applyFill="1" applyBorder="1" applyAlignment="1">
      <alignment horizontal="right" vertical="top" wrapText="1"/>
    </xf>
    <xf numFmtId="3" fontId="60" fillId="24" borderId="80" xfId="0" applyNumberFormat="1" applyFont="1" applyFill="1" applyBorder="1" applyAlignment="1">
      <alignment horizontal="right" vertical="top" wrapText="1"/>
    </xf>
    <xf numFmtId="3" fontId="56" fillId="24" borderId="80" xfId="0" applyNumberFormat="1" applyFont="1" applyFill="1" applyBorder="1" applyAlignment="1">
      <alignment horizontal="right" vertical="top" wrapText="1"/>
    </xf>
    <xf numFmtId="3" fontId="66" fillId="28" borderId="11" xfId="0" applyNumberFormat="1" applyFont="1" applyFill="1" applyBorder="1" applyAlignment="1">
      <alignment horizontal="right"/>
    </xf>
    <xf numFmtId="3" fontId="66" fillId="28" borderId="18" xfId="0" applyNumberFormat="1" applyFont="1" applyFill="1" applyBorder="1" applyAlignment="1">
      <alignment horizontal="right"/>
    </xf>
    <xf numFmtId="3" fontId="46" fillId="28" borderId="80" xfId="0" applyNumberFormat="1" applyFont="1" applyFill="1" applyBorder="1" applyAlignment="1">
      <alignment horizontal="right"/>
    </xf>
    <xf numFmtId="3" fontId="57" fillId="28" borderId="80" xfId="0" applyNumberFormat="1" applyFont="1" applyFill="1" applyBorder="1" applyAlignment="1">
      <alignment horizontal="right"/>
    </xf>
    <xf numFmtId="3" fontId="67" fillId="0" borderId="0" xfId="0" applyNumberFormat="1" applyFont="1"/>
    <xf numFmtId="9" fontId="43" fillId="0" borderId="0" xfId="0" applyNumberFormat="1" applyFont="1"/>
    <xf numFmtId="3" fontId="63" fillId="0" borderId="79" xfId="0" applyNumberFormat="1" applyFont="1" applyBorder="1" applyAlignment="1">
      <alignment horizontal="right" vertical="top" wrapText="1"/>
    </xf>
    <xf numFmtId="3" fontId="41" fillId="0" borderId="14" xfId="0" applyNumberFormat="1" applyFont="1" applyBorder="1" applyAlignment="1">
      <alignment horizontal="right" vertical="top" wrapText="1"/>
    </xf>
    <xf numFmtId="3" fontId="59" fillId="0" borderId="14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3" fontId="56" fillId="24" borderId="79" xfId="0" applyNumberFormat="1" applyFont="1" applyFill="1" applyBorder="1" applyAlignment="1">
      <alignment horizontal="right" vertical="center" wrapText="1"/>
    </xf>
    <xf numFmtId="3" fontId="27" fillId="24" borderId="14" xfId="0" applyNumberFormat="1" applyFont="1" applyFill="1" applyBorder="1" applyAlignment="1">
      <alignment horizontal="right" vertical="center" wrapText="1"/>
    </xf>
    <xf numFmtId="3" fontId="60" fillId="24" borderId="14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/>
    </xf>
    <xf numFmtId="3" fontId="65" fillId="24" borderId="79" xfId="0" applyNumberFormat="1" applyFont="1" applyFill="1" applyBorder="1" applyAlignment="1">
      <alignment horizontal="right" vertical="center" wrapText="1"/>
    </xf>
    <xf numFmtId="3" fontId="64" fillId="0" borderId="79" xfId="0" applyNumberFormat="1" applyFont="1" applyBorder="1" applyAlignment="1">
      <alignment horizontal="right" vertical="top" wrapText="1"/>
    </xf>
    <xf numFmtId="3" fontId="63" fillId="0" borderId="79" xfId="0" applyNumberFormat="1" applyFont="1" applyFill="1" applyBorder="1" applyAlignment="1">
      <alignment horizontal="right" vertical="top" wrapText="1"/>
    </xf>
    <xf numFmtId="3" fontId="27" fillId="0" borderId="14" xfId="0" applyNumberFormat="1" applyFont="1" applyFill="1" applyBorder="1" applyAlignment="1">
      <alignment horizontal="right" vertical="center" wrapText="1"/>
    </xf>
    <xf numFmtId="3" fontId="56" fillId="28" borderId="79" xfId="0" applyNumberFormat="1" applyFont="1" applyFill="1" applyBorder="1" applyAlignment="1">
      <alignment horizontal="right" vertical="center" wrapText="1"/>
    </xf>
    <xf numFmtId="3" fontId="27" fillId="28" borderId="14" xfId="0" applyNumberFormat="1" applyFont="1" applyFill="1" applyBorder="1" applyAlignment="1">
      <alignment horizontal="right" vertical="center" wrapText="1"/>
    </xf>
    <xf numFmtId="3" fontId="60" fillId="28" borderId="14" xfId="0" applyNumberFormat="1" applyFont="1" applyFill="1" applyBorder="1" applyAlignment="1">
      <alignment horizontal="right" vertical="center" wrapText="1"/>
    </xf>
    <xf numFmtId="3" fontId="65" fillId="28" borderId="11" xfId="0" applyNumberFormat="1" applyFont="1" applyFill="1" applyBorder="1" applyAlignment="1">
      <alignment horizontal="right" vertical="center" wrapText="1"/>
    </xf>
    <xf numFmtId="3" fontId="65" fillId="28" borderId="79" xfId="0" applyNumberFormat="1" applyFont="1" applyFill="1" applyBorder="1" applyAlignment="1">
      <alignment horizontal="right" vertical="center" wrapText="1"/>
    </xf>
    <xf numFmtId="3" fontId="70" fillId="28" borderId="11" xfId="0" applyNumberFormat="1" applyFont="1" applyFill="1" applyBorder="1" applyAlignment="1">
      <alignment horizontal="right"/>
    </xf>
    <xf numFmtId="3" fontId="70" fillId="28" borderId="79" xfId="0" applyNumberFormat="1" applyFont="1" applyFill="1" applyBorder="1" applyAlignment="1">
      <alignment horizontal="right"/>
    </xf>
    <xf numFmtId="3" fontId="58" fillId="28" borderId="14" xfId="0" applyNumberFormat="1" applyFont="1" applyFill="1" applyBorder="1" applyAlignment="1">
      <alignment horizontal="right"/>
    </xf>
    <xf numFmtId="0" fontId="67" fillId="0" borderId="0" xfId="0" applyFont="1"/>
    <xf numFmtId="3" fontId="2" fillId="25" borderId="11" xfId="0" applyNumberFormat="1" applyFont="1" applyFill="1" applyBorder="1" applyAlignment="1">
      <alignment horizontal="right" vertical="center"/>
    </xf>
    <xf numFmtId="0" fontId="71" fillId="0" borderId="0" xfId="0" applyFont="1" applyBorder="1" applyAlignment="1">
      <alignment vertical="center"/>
    </xf>
    <xf numFmtId="3" fontId="61" fillId="0" borderId="11" xfId="0" applyNumberFormat="1" applyFont="1" applyBorder="1" applyAlignment="1">
      <alignment horizontal="right" vertical="center"/>
    </xf>
    <xf numFmtId="3" fontId="71" fillId="1" borderId="11" xfId="0" applyNumberFormat="1" applyFont="1" applyFill="1" applyBorder="1" applyAlignment="1">
      <alignment horizontal="right" vertical="center"/>
    </xf>
    <xf numFmtId="3" fontId="71" fillId="24" borderId="11" xfId="0" applyNumberFormat="1" applyFont="1" applyFill="1" applyBorder="1" applyAlignment="1">
      <alignment vertical="center"/>
    </xf>
    <xf numFmtId="0" fontId="51" fillId="1" borderId="0" xfId="0" applyFont="1" applyFill="1" applyBorder="1" applyAlignment="1">
      <alignment horizontal="left" vertical="center"/>
    </xf>
    <xf numFmtId="3" fontId="50" fillId="1" borderId="11" xfId="0" applyNumberFormat="1" applyFont="1" applyFill="1" applyBorder="1" applyAlignment="1">
      <alignment vertical="center"/>
    </xf>
    <xf numFmtId="3" fontId="49" fillId="0" borderId="0" xfId="0" applyNumberFormat="1" applyFont="1" applyBorder="1" applyAlignment="1">
      <alignment vertical="center"/>
    </xf>
    <xf numFmtId="3" fontId="2" fillId="24" borderId="23" xfId="0" applyNumberFormat="1" applyFont="1" applyFill="1" applyBorder="1" applyAlignment="1">
      <alignment vertical="center"/>
    </xf>
    <xf numFmtId="3" fontId="50" fillId="24" borderId="23" xfId="0" applyNumberFormat="1" applyFont="1" applyFill="1" applyBorder="1" applyAlignment="1">
      <alignment vertical="center"/>
    </xf>
    <xf numFmtId="3" fontId="71" fillId="24" borderId="26" xfId="0" applyNumberFormat="1" applyFont="1" applyFill="1" applyBorder="1" applyAlignment="1">
      <alignment vertical="center"/>
    </xf>
    <xf numFmtId="0" fontId="50" fillId="0" borderId="52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3" fontId="71" fillId="1" borderId="11" xfId="0" applyNumberFormat="1" applyFont="1" applyFill="1" applyBorder="1" applyAlignment="1">
      <alignment vertical="center"/>
    </xf>
    <xf numFmtId="0" fontId="3" fillId="0" borderId="45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2" fillId="0" borderId="74" xfId="0" applyFont="1" applyBorder="1" applyAlignment="1">
      <alignment horizontal="left" vertical="center"/>
    </xf>
    <xf numFmtId="3" fontId="71" fillId="0" borderId="12" xfId="0" applyNumberFormat="1" applyFont="1" applyBorder="1" applyAlignment="1">
      <alignment vertical="center"/>
    </xf>
    <xf numFmtId="3" fontId="71" fillId="1" borderId="27" xfId="0" applyNumberFormat="1" applyFont="1" applyFill="1" applyBorder="1" applyAlignment="1">
      <alignment vertical="center"/>
    </xf>
    <xf numFmtId="3" fontId="71" fillId="1" borderId="74" xfId="0" applyNumberFormat="1" applyFont="1" applyFill="1" applyBorder="1" applyAlignment="1">
      <alignment vertical="center"/>
    </xf>
    <xf numFmtId="3" fontId="71" fillId="0" borderId="11" xfId="0" applyNumberFormat="1" applyFont="1" applyBorder="1" applyAlignment="1">
      <alignment vertical="center"/>
    </xf>
    <xf numFmtId="3" fontId="61" fillId="0" borderId="12" xfId="0" applyNumberFormat="1" applyFont="1" applyBorder="1" applyAlignment="1">
      <alignment vertical="center"/>
    </xf>
    <xf numFmtId="3" fontId="71" fillId="0" borderId="27" xfId="0" applyNumberFormat="1" applyFont="1" applyBorder="1" applyAlignment="1">
      <alignment vertical="center"/>
    </xf>
    <xf numFmtId="3" fontId="71" fillId="0" borderId="74" xfId="0" applyNumberFormat="1" applyFont="1" applyBorder="1" applyAlignment="1">
      <alignment vertical="center"/>
    </xf>
    <xf numFmtId="3" fontId="71" fillId="24" borderId="28" xfId="0" applyNumberFormat="1" applyFont="1" applyFill="1" applyBorder="1" applyAlignment="1">
      <alignment vertical="center"/>
    </xf>
    <xf numFmtId="3" fontId="71" fillId="24" borderId="75" xfId="0" applyNumberFormat="1" applyFont="1" applyFill="1" applyBorder="1" applyAlignment="1">
      <alignment vertical="center"/>
    </xf>
    <xf numFmtId="0" fontId="50" fillId="0" borderId="11" xfId="0" applyFont="1" applyBorder="1" applyAlignment="1">
      <alignment horizontal="left" vertical="center"/>
    </xf>
    <xf numFmtId="0" fontId="50" fillId="0" borderId="12" xfId="0" applyFont="1" applyBorder="1" applyAlignment="1">
      <alignment horizontal="left" vertical="center"/>
    </xf>
    <xf numFmtId="3" fontId="71" fillId="1" borderId="18" xfId="0" applyNumberFormat="1" applyFont="1" applyFill="1" applyBorder="1" applyAlignment="1">
      <alignment horizontal="right" vertical="center"/>
    </xf>
    <xf numFmtId="3" fontId="71" fillId="1" borderId="12" xfId="0" applyNumberFormat="1" applyFont="1" applyFill="1" applyBorder="1" applyAlignment="1">
      <alignment horizontal="right" vertical="center"/>
    </xf>
    <xf numFmtId="3" fontId="71" fillId="0" borderId="18" xfId="0" applyNumberFormat="1" applyFont="1" applyBorder="1" applyAlignment="1">
      <alignment horizontal="right" vertical="center"/>
    </xf>
    <xf numFmtId="3" fontId="71" fillId="0" borderId="12" xfId="0" applyNumberFormat="1" applyFont="1" applyBorder="1" applyAlignment="1">
      <alignment horizontal="right" vertical="center"/>
    </xf>
    <xf numFmtId="3" fontId="61" fillId="0" borderId="12" xfId="0" applyNumberFormat="1" applyFont="1" applyBorder="1" applyAlignment="1">
      <alignment horizontal="right" vertical="center"/>
    </xf>
    <xf numFmtId="3" fontId="71" fillId="24" borderId="13" xfId="0" applyNumberFormat="1" applyFont="1" applyFill="1" applyBorder="1" applyAlignment="1">
      <alignment horizontal="right" vertical="center"/>
    </xf>
    <xf numFmtId="3" fontId="50" fillId="0" borderId="40" xfId="0" applyNumberFormat="1" applyFont="1" applyFill="1" applyBorder="1" applyAlignment="1">
      <alignment horizontal="right" vertical="center"/>
    </xf>
    <xf numFmtId="3" fontId="50" fillId="0" borderId="76" xfId="0" applyNumberFormat="1" applyFont="1" applyFill="1" applyBorder="1" applyAlignment="1">
      <alignment horizontal="right" vertical="center"/>
    </xf>
    <xf numFmtId="3" fontId="71" fillId="24" borderId="23" xfId="0" applyNumberFormat="1" applyFont="1" applyFill="1" applyBorder="1" applyAlignment="1">
      <alignment horizontal="right" vertical="center"/>
    </xf>
    <xf numFmtId="3" fontId="71" fillId="24" borderId="67" xfId="0" applyNumberFormat="1" applyFont="1" applyFill="1" applyBorder="1" applyAlignment="1">
      <alignment horizontal="right" vertical="center"/>
    </xf>
    <xf numFmtId="3" fontId="71" fillId="24" borderId="15" xfId="0" applyNumberFormat="1" applyFont="1" applyFill="1" applyBorder="1" applyAlignment="1">
      <alignment horizontal="right" vertical="center"/>
    </xf>
    <xf numFmtId="3" fontId="2" fillId="25" borderId="32" xfId="0" applyNumberFormat="1" applyFont="1" applyFill="1" applyBorder="1" applyAlignment="1">
      <alignment horizontal="right" vertical="center"/>
    </xf>
    <xf numFmtId="3" fontId="2" fillId="1" borderId="32" xfId="0" applyNumberFormat="1" applyFont="1" applyFill="1" applyBorder="1" applyAlignment="1">
      <alignment horizontal="right" vertical="center"/>
    </xf>
    <xf numFmtId="3" fontId="61" fillId="0" borderId="32" xfId="0" applyNumberFormat="1" applyFont="1" applyBorder="1" applyAlignment="1">
      <alignment horizontal="right" vertical="center"/>
    </xf>
    <xf numFmtId="3" fontId="61" fillId="0" borderId="32" xfId="0" applyNumberFormat="1" applyFont="1" applyBorder="1" applyAlignment="1">
      <alignment vertical="center"/>
    </xf>
    <xf numFmtId="3" fontId="49" fillId="0" borderId="32" xfId="0" applyNumberFormat="1" applyFont="1" applyBorder="1" applyAlignment="1">
      <alignment vertical="center"/>
    </xf>
    <xf numFmtId="3" fontId="71" fillId="1" borderId="32" xfId="0" applyNumberFormat="1" applyFont="1" applyFill="1" applyBorder="1" applyAlignment="1">
      <alignment horizontal="right" vertical="center"/>
    </xf>
    <xf numFmtId="3" fontId="71" fillId="24" borderId="32" xfId="0" applyNumberFormat="1" applyFont="1" applyFill="1" applyBorder="1" applyAlignment="1">
      <alignment vertical="center"/>
    </xf>
    <xf numFmtId="3" fontId="50" fillId="1" borderId="32" xfId="0" applyNumberFormat="1" applyFont="1" applyFill="1" applyBorder="1" applyAlignment="1">
      <alignment vertical="center"/>
    </xf>
    <xf numFmtId="3" fontId="50" fillId="24" borderId="65" xfId="0" applyNumberFormat="1" applyFont="1" applyFill="1" applyBorder="1" applyAlignment="1">
      <alignment vertical="center"/>
    </xf>
    <xf numFmtId="3" fontId="71" fillId="24" borderId="52" xfId="0" applyNumberFormat="1" applyFont="1" applyFill="1" applyBorder="1" applyAlignment="1">
      <alignment vertical="center"/>
    </xf>
    <xf numFmtId="3" fontId="71" fillId="1" borderId="32" xfId="0" applyNumberFormat="1" applyFont="1" applyFill="1" applyBorder="1" applyAlignment="1">
      <alignment vertical="center"/>
    </xf>
    <xf numFmtId="3" fontId="2" fillId="24" borderId="32" xfId="0" applyNumberFormat="1" applyFont="1" applyFill="1" applyBorder="1" applyAlignment="1">
      <alignment vertical="center"/>
    </xf>
    <xf numFmtId="3" fontId="2" fillId="1" borderId="32" xfId="0" applyNumberFormat="1" applyFont="1" applyFill="1" applyBorder="1" applyAlignment="1">
      <alignment vertical="center"/>
    </xf>
    <xf numFmtId="3" fontId="2" fillId="24" borderId="65" xfId="0" applyNumberFormat="1" applyFont="1" applyFill="1" applyBorder="1" applyAlignment="1">
      <alignment vertical="center"/>
    </xf>
    <xf numFmtId="3" fontId="2" fillId="24" borderId="52" xfId="0" applyNumberFormat="1" applyFont="1" applyFill="1" applyBorder="1" applyAlignment="1">
      <alignment vertical="center"/>
    </xf>
    <xf numFmtId="3" fontId="40" fillId="24" borderId="80" xfId="0" applyNumberFormat="1" applyFont="1" applyFill="1" applyBorder="1" applyAlignment="1">
      <alignment horizontal="center" vertical="center" wrapText="1"/>
    </xf>
    <xf numFmtId="3" fontId="3" fillId="0" borderId="81" xfId="0" applyNumberFormat="1" applyFont="1" applyBorder="1" applyAlignment="1">
      <alignment vertical="center"/>
    </xf>
    <xf numFmtId="3" fontId="3" fillId="0" borderId="82" xfId="0" applyNumberFormat="1" applyFont="1" applyBorder="1" applyAlignment="1">
      <alignment vertical="center"/>
    </xf>
    <xf numFmtId="3" fontId="2" fillId="0" borderId="83" xfId="0" applyNumberFormat="1" applyFont="1" applyBorder="1" applyAlignment="1">
      <alignment vertical="center"/>
    </xf>
    <xf numFmtId="3" fontId="2" fillId="0" borderId="84" xfId="0" applyNumberFormat="1" applyFont="1" applyBorder="1" applyAlignment="1">
      <alignment vertical="center"/>
    </xf>
    <xf numFmtId="3" fontId="3" fillId="0" borderId="80" xfId="0" applyNumberFormat="1" applyFont="1" applyBorder="1" applyAlignment="1">
      <alignment vertical="center"/>
    </xf>
    <xf numFmtId="3" fontId="3" fillId="0" borderId="83" xfId="0" applyNumberFormat="1" applyFont="1" applyBorder="1" applyAlignment="1">
      <alignment vertical="center"/>
    </xf>
    <xf numFmtId="3" fontId="3" fillId="0" borderId="80" xfId="0" applyNumberFormat="1" applyFont="1" applyBorder="1" applyAlignment="1">
      <alignment horizontal="right" vertical="center"/>
    </xf>
    <xf numFmtId="3" fontId="3" fillId="1" borderId="83" xfId="0" applyNumberFormat="1" applyFont="1" applyFill="1" applyBorder="1" applyAlignment="1">
      <alignment vertical="center"/>
    </xf>
    <xf numFmtId="3" fontId="2" fillId="24" borderId="85" xfId="0" applyNumberFormat="1" applyFont="1" applyFill="1" applyBorder="1" applyAlignment="1">
      <alignment vertical="center"/>
    </xf>
    <xf numFmtId="3" fontId="3" fillId="0" borderId="87" xfId="0" applyNumberFormat="1" applyFont="1" applyBorder="1" applyAlignment="1">
      <alignment vertical="center"/>
    </xf>
    <xf numFmtId="3" fontId="2" fillId="24" borderId="80" xfId="0" applyNumberFormat="1" applyFont="1" applyFill="1" applyBorder="1" applyAlignment="1">
      <alignment vertical="center"/>
    </xf>
    <xf numFmtId="3" fontId="2" fillId="25" borderId="77" xfId="0" applyNumberFormat="1" applyFont="1" applyFill="1" applyBorder="1" applyAlignment="1">
      <alignment horizontal="right" vertical="center"/>
    </xf>
    <xf numFmtId="3" fontId="2" fillId="1" borderId="77" xfId="0" applyNumberFormat="1" applyFont="1" applyFill="1" applyBorder="1" applyAlignment="1">
      <alignment horizontal="right" vertical="center"/>
    </xf>
    <xf numFmtId="3" fontId="2" fillId="24" borderId="77" xfId="0" applyNumberFormat="1" applyFont="1" applyFill="1" applyBorder="1" applyAlignment="1">
      <alignment vertical="center"/>
    </xf>
    <xf numFmtId="3" fontId="2" fillId="1" borderId="77" xfId="0" applyNumberFormat="1" applyFont="1" applyFill="1" applyBorder="1" applyAlignment="1">
      <alignment vertical="center"/>
    </xf>
    <xf numFmtId="3" fontId="2" fillId="24" borderId="89" xfId="0" applyNumberFormat="1" applyFont="1" applyFill="1" applyBorder="1" applyAlignment="1">
      <alignment vertical="center"/>
    </xf>
    <xf numFmtId="0" fontId="41" fillId="24" borderId="36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horizontal="right" vertical="center" wrapText="1"/>
    </xf>
    <xf numFmtId="166" fontId="3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4" xfId="0" applyNumberFormat="1" applyFont="1" applyBorder="1" applyAlignment="1">
      <alignment horizontal="left" vertical="center" wrapText="1" indent="1"/>
    </xf>
    <xf numFmtId="166" fontId="35" fillId="0" borderId="14" xfId="0" quotePrefix="1" applyNumberFormat="1" applyFont="1" applyBorder="1" applyAlignment="1">
      <alignment horizontal="left" vertical="center" wrapText="1" indent="6"/>
    </xf>
    <xf numFmtId="3" fontId="5" fillId="0" borderId="11" xfId="0" applyNumberFormat="1" applyFont="1" applyBorder="1" applyAlignment="1">
      <alignment horizontal="right" vertical="top" wrapText="1"/>
    </xf>
    <xf numFmtId="166" fontId="7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3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76" fillId="0" borderId="36" xfId="0" applyNumberFormat="1" applyFont="1" applyBorder="1" applyAlignment="1">
      <alignment horizontal="right" vertical="center" wrapText="1" indent="1"/>
    </xf>
    <xf numFmtId="166" fontId="74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6" fillId="0" borderId="17" xfId="0" applyNumberFormat="1" applyFont="1" applyBorder="1" applyAlignment="1">
      <alignment horizontal="right" vertical="center" wrapText="1" indent="1"/>
    </xf>
    <xf numFmtId="166" fontId="75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9" xfId="0" applyNumberFormat="1" applyFont="1" applyBorder="1" applyAlignment="1" applyProtection="1">
      <alignment horizontal="right" vertical="center" wrapText="1" indent="1"/>
      <protection locked="0"/>
    </xf>
    <xf numFmtId="0" fontId="0" fillId="0" borderId="11" xfId="0" applyBorder="1" applyAlignment="1">
      <alignment horizontal="center"/>
    </xf>
    <xf numFmtId="3" fontId="41" fillId="0" borderId="18" xfId="0" applyNumberFormat="1" applyFont="1" applyBorder="1" applyAlignment="1">
      <alignment horizontal="right" vertical="top" wrapText="1"/>
    </xf>
    <xf numFmtId="3" fontId="41" fillId="0" borderId="18" xfId="0" applyNumberFormat="1" applyFont="1" applyFill="1" applyBorder="1" applyAlignment="1">
      <alignment horizontal="right" vertical="top" wrapText="1"/>
    </xf>
    <xf numFmtId="3" fontId="27" fillId="26" borderId="18" xfId="0" applyNumberFormat="1" applyFont="1" applyFill="1" applyBorder="1" applyAlignment="1">
      <alignment horizontal="right" vertical="top" wrapText="1"/>
    </xf>
    <xf numFmtId="3" fontId="27" fillId="24" borderId="18" xfId="0" applyNumberFormat="1" applyFont="1" applyFill="1" applyBorder="1" applyAlignment="1">
      <alignment horizontal="right" vertical="center" wrapText="1"/>
    </xf>
    <xf numFmtId="3" fontId="27" fillId="26" borderId="14" xfId="0" applyNumberFormat="1" applyFont="1" applyFill="1" applyBorder="1" applyAlignment="1">
      <alignment horizontal="right" vertical="top" wrapText="1"/>
    </xf>
    <xf numFmtId="3" fontId="27" fillId="24" borderId="18" xfId="0" applyNumberFormat="1" applyFont="1" applyFill="1" applyBorder="1" applyAlignment="1">
      <alignment horizontal="right" vertical="top" wrapText="1"/>
    </xf>
    <xf numFmtId="3" fontId="27" fillId="0" borderId="18" xfId="0" applyNumberFormat="1" applyFont="1" applyFill="1" applyBorder="1" applyAlignment="1">
      <alignment horizontal="right" vertical="top" wrapText="1"/>
    </xf>
    <xf numFmtId="3" fontId="27" fillId="28" borderId="18" xfId="0" applyNumberFormat="1" applyFont="1" applyFill="1" applyBorder="1" applyAlignment="1">
      <alignment horizontal="right" vertical="center" wrapText="1"/>
    </xf>
    <xf numFmtId="3" fontId="46" fillId="28" borderId="18" xfId="0" applyNumberFormat="1" applyFont="1" applyFill="1" applyBorder="1" applyAlignment="1">
      <alignment horizontal="right"/>
    </xf>
    <xf numFmtId="3" fontId="56" fillId="24" borderId="14" xfId="0" applyNumberFormat="1" applyFont="1" applyFill="1" applyBorder="1" applyAlignment="1">
      <alignment horizontal="right" vertical="center" wrapText="1"/>
    </xf>
    <xf numFmtId="3" fontId="70" fillId="28" borderId="14" xfId="0" applyNumberFormat="1" applyFont="1" applyFill="1" applyBorder="1" applyAlignment="1">
      <alignment horizontal="right"/>
    </xf>
    <xf numFmtId="0" fontId="2" fillId="0" borderId="52" xfId="0" applyFont="1" applyBorder="1" applyAlignment="1">
      <alignment horizontal="left" vertical="center"/>
    </xf>
    <xf numFmtId="0" fontId="0" fillId="0" borderId="11" xfId="0" applyFont="1" applyBorder="1" applyAlignment="1">
      <alignment horizontal="center"/>
    </xf>
    <xf numFmtId="3" fontId="41" fillId="24" borderId="17" xfId="0" applyNumberFormat="1" applyFont="1" applyFill="1" applyBorder="1" applyAlignment="1">
      <alignment horizontal="center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5" fillId="0" borderId="36" xfId="0" applyNumberFormat="1" applyFont="1" applyBorder="1" applyAlignment="1">
      <alignment horizontal="right" vertical="top" wrapText="1"/>
    </xf>
    <xf numFmtId="3" fontId="5" fillId="0" borderId="14" xfId="0" applyNumberFormat="1" applyFont="1" applyBorder="1" applyAlignment="1">
      <alignment horizontal="right" vertical="top" wrapText="1"/>
    </xf>
    <xf numFmtId="3" fontId="5" fillId="0" borderId="72" xfId="0" applyNumberFormat="1" applyFont="1" applyBorder="1" applyAlignment="1">
      <alignment horizontal="right" vertical="top" wrapText="1"/>
    </xf>
    <xf numFmtId="166" fontId="73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77" fillId="0" borderId="14" xfId="0" applyNumberFormat="1" applyFont="1" applyBorder="1" applyAlignment="1">
      <alignment horizontal="right" vertical="center" wrapText="1" indent="1"/>
    </xf>
    <xf numFmtId="166" fontId="74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77" fillId="0" borderId="11" xfId="0" applyNumberFormat="1" applyFont="1" applyBorder="1" applyAlignment="1">
      <alignment horizontal="right" vertical="center" wrapText="1" indent="1"/>
    </xf>
    <xf numFmtId="166" fontId="73" fillId="0" borderId="55" xfId="0" applyNumberFormat="1" applyFont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Border="1" applyAlignment="1">
      <alignment horizontal="right" vertical="top" wrapText="1"/>
    </xf>
    <xf numFmtId="3" fontId="71" fillId="25" borderId="11" xfId="0" applyNumberFormat="1" applyFont="1" applyFill="1" applyBorder="1" applyAlignment="1">
      <alignment horizontal="right" vertical="center"/>
    </xf>
    <xf numFmtId="3" fontId="71" fillId="25" borderId="32" xfId="0" applyNumberFormat="1" applyFont="1" applyFill="1" applyBorder="1" applyAlignment="1">
      <alignment horizontal="right" vertical="center"/>
    </xf>
    <xf numFmtId="3" fontId="41" fillId="24" borderId="17" xfId="0" applyNumberFormat="1" applyFont="1" applyFill="1" applyBorder="1" applyAlignment="1">
      <alignment horizontal="center" vertical="center" wrapText="1"/>
    </xf>
    <xf numFmtId="3" fontId="50" fillId="25" borderId="11" xfId="0" applyNumberFormat="1" applyFont="1" applyFill="1" applyBorder="1" applyAlignment="1">
      <alignment horizontal="right" vertical="center"/>
    </xf>
    <xf numFmtId="3" fontId="50" fillId="25" borderId="78" xfId="0" applyNumberFormat="1" applyFont="1" applyFill="1" applyBorder="1" applyAlignment="1">
      <alignment horizontal="right" vertical="center"/>
    </xf>
    <xf numFmtId="3" fontId="49" fillId="0" borderId="78" xfId="0" applyNumberFormat="1" applyFont="1" applyBorder="1" applyAlignment="1">
      <alignment vertical="center"/>
    </xf>
    <xf numFmtId="3" fontId="49" fillId="0" borderId="84" xfId="0" applyNumberFormat="1" applyFont="1" applyBorder="1" applyAlignment="1">
      <alignment vertical="center"/>
    </xf>
    <xf numFmtId="3" fontId="50" fillId="1" borderId="11" xfId="0" applyNumberFormat="1" applyFont="1" applyFill="1" applyBorder="1" applyAlignment="1">
      <alignment horizontal="right" vertical="center"/>
    </xf>
    <xf numFmtId="3" fontId="50" fillId="1" borderId="78" xfId="0" applyNumberFormat="1" applyFont="1" applyFill="1" applyBorder="1" applyAlignment="1">
      <alignment horizontal="right" vertical="center"/>
    </xf>
    <xf numFmtId="3" fontId="49" fillId="0" borderId="52" xfId="0" applyNumberFormat="1" applyFont="1" applyBorder="1" applyAlignment="1">
      <alignment vertical="center"/>
    </xf>
    <xf numFmtId="3" fontId="49" fillId="0" borderId="88" xfId="0" applyNumberFormat="1" applyFont="1" applyBorder="1" applyAlignment="1">
      <alignment vertical="center"/>
    </xf>
    <xf numFmtId="3" fontId="71" fillId="1" borderId="78" xfId="0" applyNumberFormat="1" applyFont="1" applyFill="1" applyBorder="1" applyAlignment="1">
      <alignment horizontal="right" vertical="center"/>
    </xf>
    <xf numFmtId="3" fontId="61" fillId="0" borderId="79" xfId="0" applyNumberFormat="1" applyFont="1" applyBorder="1" applyAlignment="1">
      <alignment vertical="center"/>
    </xf>
    <xf numFmtId="3" fontId="61" fillId="0" borderId="79" xfId="0" applyNumberFormat="1" applyFont="1" applyBorder="1" applyAlignment="1">
      <alignment horizontal="right" vertical="center"/>
    </xf>
    <xf numFmtId="3" fontId="71" fillId="24" borderId="78" xfId="0" applyNumberFormat="1" applyFont="1" applyFill="1" applyBorder="1" applyAlignment="1">
      <alignment vertical="center"/>
    </xf>
    <xf numFmtId="3" fontId="61" fillId="1" borderId="0" xfId="0" applyNumberFormat="1" applyFont="1" applyFill="1" applyBorder="1" applyAlignment="1">
      <alignment vertical="center"/>
    </xf>
    <xf numFmtId="3" fontId="61" fillId="1" borderId="84" xfId="0" applyNumberFormat="1" applyFont="1" applyFill="1" applyBorder="1" applyAlignment="1">
      <alignment vertical="center"/>
    </xf>
    <xf numFmtId="3" fontId="71" fillId="1" borderId="78" xfId="0" applyNumberFormat="1" applyFont="1" applyFill="1" applyBorder="1" applyAlignment="1">
      <alignment vertical="center"/>
    </xf>
    <xf numFmtId="3" fontId="61" fillId="0" borderId="0" xfId="0" applyNumberFormat="1" applyFont="1" applyBorder="1" applyAlignment="1">
      <alignment vertical="center"/>
    </xf>
    <xf numFmtId="3" fontId="61" fillId="0" borderId="84" xfId="0" applyNumberFormat="1" applyFont="1" applyBorder="1" applyAlignment="1">
      <alignment vertical="center"/>
    </xf>
    <xf numFmtId="3" fontId="71" fillId="24" borderId="23" xfId="0" applyNumberFormat="1" applyFont="1" applyFill="1" applyBorder="1" applyAlignment="1">
      <alignment vertical="center"/>
    </xf>
    <xf numFmtId="3" fontId="71" fillId="24" borderId="90" xfId="0" applyNumberFormat="1" applyFont="1" applyFill="1" applyBorder="1" applyAlignment="1">
      <alignment vertical="center"/>
    </xf>
    <xf numFmtId="3" fontId="71" fillId="24" borderId="15" xfId="0" applyNumberFormat="1" applyFont="1" applyFill="1" applyBorder="1" applyAlignment="1">
      <alignment vertical="center"/>
    </xf>
    <xf numFmtId="3" fontId="71" fillId="24" borderId="86" xfId="0" applyNumberFormat="1" applyFont="1" applyFill="1" applyBorder="1" applyAlignment="1">
      <alignment vertical="center"/>
    </xf>
    <xf numFmtId="3" fontId="61" fillId="0" borderId="78" xfId="0" applyNumberFormat="1" applyFont="1" applyBorder="1" applyAlignment="1">
      <alignment vertical="center"/>
    </xf>
    <xf numFmtId="3" fontId="71" fillId="24" borderId="79" xfId="0" applyNumberFormat="1" applyFont="1" applyFill="1" applyBorder="1" applyAlignment="1">
      <alignment vertical="center"/>
    </xf>
    <xf numFmtId="3" fontId="61" fillId="0" borderId="17" xfId="0" applyNumberFormat="1" applyFont="1" applyBorder="1" applyAlignment="1">
      <alignment vertical="center"/>
    </xf>
    <xf numFmtId="3" fontId="71" fillId="24" borderId="18" xfId="0" applyNumberFormat="1" applyFont="1" applyFill="1" applyBorder="1" applyAlignment="1">
      <alignment vertical="center"/>
    </xf>
    <xf numFmtId="3" fontId="61" fillId="1" borderId="11" xfId="0" applyNumberFormat="1" applyFont="1" applyFill="1" applyBorder="1" applyAlignment="1">
      <alignment vertical="center"/>
    </xf>
    <xf numFmtId="3" fontId="61" fillId="0" borderId="19" xfId="0" applyNumberFormat="1" applyFont="1" applyBorder="1" applyAlignment="1">
      <alignment vertical="center"/>
    </xf>
    <xf numFmtId="3" fontId="71" fillId="24" borderId="67" xfId="0" applyNumberFormat="1" applyFont="1" applyFill="1" applyBorder="1" applyAlignment="1">
      <alignment vertical="center"/>
    </xf>
    <xf numFmtId="3" fontId="61" fillId="0" borderId="26" xfId="0" applyNumberFormat="1" applyFont="1" applyBorder="1" applyAlignment="1">
      <alignment vertical="center"/>
    </xf>
    <xf numFmtId="3" fontId="71" fillId="1" borderId="18" xfId="0" applyNumberFormat="1" applyFont="1" applyFill="1" applyBorder="1" applyAlignment="1">
      <alignment vertical="center"/>
    </xf>
    <xf numFmtId="3" fontId="50" fillId="1" borderId="12" xfId="0" applyNumberFormat="1" applyFont="1" applyFill="1" applyBorder="1" applyAlignment="1">
      <alignment vertical="center"/>
    </xf>
    <xf numFmtId="0" fontId="2" fillId="0" borderId="40" xfId="0" applyFont="1" applyBorder="1" applyAlignment="1">
      <alignment horizontal="center" vertical="top"/>
    </xf>
    <xf numFmtId="0" fontId="2" fillId="1" borderId="40" xfId="0" applyFont="1" applyFill="1" applyBorder="1" applyAlignment="1">
      <alignment horizontal="center" vertical="center"/>
    </xf>
    <xf numFmtId="3" fontId="2" fillId="1" borderId="40" xfId="0" applyNumberFormat="1" applyFont="1" applyFill="1" applyBorder="1" applyAlignment="1">
      <alignment vertical="center"/>
    </xf>
    <xf numFmtId="3" fontId="2" fillId="1" borderId="76" xfId="0" applyNumberFormat="1" applyFont="1" applyFill="1" applyBorder="1" applyAlignment="1">
      <alignment vertical="center"/>
    </xf>
    <xf numFmtId="3" fontId="61" fillId="0" borderId="74" xfId="0" applyNumberFormat="1" applyFont="1" applyBorder="1" applyAlignment="1">
      <alignment vertical="center"/>
    </xf>
    <xf numFmtId="3" fontId="71" fillId="1" borderId="76" xfId="0" applyNumberFormat="1" applyFont="1" applyFill="1" applyBorder="1" applyAlignment="1">
      <alignment vertical="center"/>
    </xf>
    <xf numFmtId="3" fontId="61" fillId="0" borderId="27" xfId="0" applyNumberFormat="1" applyFont="1" applyBorder="1" applyAlignment="1">
      <alignment vertical="center"/>
    </xf>
    <xf numFmtId="3" fontId="71" fillId="1" borderId="40" xfId="0" applyNumberFormat="1" applyFont="1" applyFill="1" applyBorder="1" applyAlignment="1">
      <alignment vertical="center"/>
    </xf>
    <xf numFmtId="0" fontId="27" fillId="26" borderId="11" xfId="0" applyFont="1" applyFill="1" applyBorder="1" applyAlignment="1">
      <alignment vertical="top" wrapText="1"/>
    </xf>
    <xf numFmtId="167" fontId="41" fillId="0" borderId="11" xfId="42" applyNumberFormat="1" applyFont="1" applyBorder="1" applyAlignment="1">
      <alignment horizontal="right" vertical="top" wrapText="1"/>
    </xf>
    <xf numFmtId="167" fontId="27" fillId="26" borderId="11" xfId="42" applyNumberFormat="1" applyFont="1" applyFill="1" applyBorder="1" applyAlignment="1">
      <alignment horizontal="righ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46" fillId="28" borderId="11" xfId="0" applyFont="1" applyFill="1" applyBorder="1" applyAlignment="1">
      <alignment horizontal="left"/>
    </xf>
    <xf numFmtId="0" fontId="27" fillId="26" borderId="11" xfId="0" applyFont="1" applyFill="1" applyBorder="1" applyAlignment="1">
      <alignment horizontal="left" vertical="top" wrapText="1"/>
    </xf>
    <xf numFmtId="0" fontId="27" fillId="28" borderId="14" xfId="0" applyFont="1" applyFill="1" applyBorder="1" applyAlignment="1">
      <alignment horizontal="left" vertical="center" wrapText="1"/>
    </xf>
    <xf numFmtId="0" fontId="60" fillId="28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27" fillId="28" borderId="55" xfId="0" applyFont="1" applyFill="1" applyBorder="1" applyAlignment="1">
      <alignment horizontal="left" vertical="center" wrapText="1"/>
    </xf>
    <xf numFmtId="0" fontId="27" fillId="28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7" fillId="26" borderId="11" xfId="0" applyFont="1" applyFill="1" applyBorder="1" applyAlignment="1">
      <alignment horizontal="left" vertical="center" wrapText="1"/>
    </xf>
    <xf numFmtId="3" fontId="27" fillId="26" borderId="11" xfId="0" applyNumberFormat="1" applyFont="1" applyFill="1" applyBorder="1" applyAlignment="1">
      <alignment horizontal="right" vertical="center" wrapText="1"/>
    </xf>
    <xf numFmtId="3" fontId="27" fillId="26" borderId="18" xfId="0" applyNumberFormat="1" applyFont="1" applyFill="1" applyBorder="1" applyAlignment="1">
      <alignment horizontal="right" vertical="center" wrapText="1"/>
    </xf>
    <xf numFmtId="3" fontId="27" fillId="26" borderId="80" xfId="0" applyNumberFormat="1" applyFont="1" applyFill="1" applyBorder="1" applyAlignment="1">
      <alignment horizontal="right" vertical="center" wrapText="1"/>
    </xf>
    <xf numFmtId="3" fontId="60" fillId="26" borderId="80" xfId="0" applyNumberFormat="1" applyFont="1" applyFill="1" applyBorder="1" applyAlignment="1">
      <alignment horizontal="right" vertical="center" wrapText="1"/>
    </xf>
    <xf numFmtId="3" fontId="56" fillId="26" borderId="11" xfId="0" applyNumberFormat="1" applyFont="1" applyFill="1" applyBorder="1" applyAlignment="1">
      <alignment horizontal="right" vertical="center" wrapText="1"/>
    </xf>
    <xf numFmtId="0" fontId="2" fillId="1" borderId="19" xfId="0" applyFont="1" applyFill="1" applyBorder="1" applyAlignment="1">
      <alignment horizontal="center" vertical="center"/>
    </xf>
    <xf numFmtId="3" fontId="2" fillId="1" borderId="35" xfId="0" applyNumberFormat="1" applyFont="1" applyFill="1" applyBorder="1" applyAlignment="1">
      <alignment horizontal="right" vertical="center"/>
    </xf>
    <xf numFmtId="3" fontId="71" fillId="1" borderId="35" xfId="0" applyNumberFormat="1" applyFont="1" applyFill="1" applyBorder="1" applyAlignment="1">
      <alignment horizontal="right" vertical="center"/>
    </xf>
    <xf numFmtId="3" fontId="71" fillId="1" borderId="91" xfId="0" applyNumberFormat="1" applyFont="1" applyFill="1" applyBorder="1" applyAlignment="1">
      <alignment horizontal="right" vertical="center"/>
    </xf>
    <xf numFmtId="3" fontId="2" fillId="1" borderId="91" xfId="0" applyNumberFormat="1" applyFont="1" applyFill="1" applyBorder="1" applyAlignment="1">
      <alignment horizontal="right" vertical="center"/>
    </xf>
    <xf numFmtId="0" fontId="2" fillId="1" borderId="18" xfId="0" applyFont="1" applyFill="1" applyBorder="1" applyAlignment="1">
      <alignment vertical="center"/>
    </xf>
    <xf numFmtId="0" fontId="2" fillId="1" borderId="32" xfId="0" applyFont="1" applyFill="1" applyBorder="1" applyAlignment="1">
      <alignment vertical="center"/>
    </xf>
    <xf numFmtId="0" fontId="2" fillId="1" borderId="14" xfId="0" applyFont="1" applyFill="1" applyBorder="1" applyAlignment="1">
      <alignment vertical="center"/>
    </xf>
    <xf numFmtId="0" fontId="2" fillId="24" borderId="28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3" fillId="0" borderId="0" xfId="0" applyNumberFormat="1" applyFont="1" applyFill="1" applyAlignment="1">
      <alignment vertical="center"/>
    </xf>
    <xf numFmtId="166" fontId="39" fillId="0" borderId="22" xfId="0" applyNumberFormat="1" applyFont="1" applyBorder="1" applyAlignment="1">
      <alignment horizontal="right" vertical="center" wrapText="1" indent="1"/>
    </xf>
    <xf numFmtId="3" fontId="2" fillId="0" borderId="0" xfId="0" applyNumberFormat="1" applyFont="1" applyFill="1" applyAlignment="1">
      <alignment horizontal="right" vertical="center"/>
    </xf>
    <xf numFmtId="0" fontId="40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left" vertical="top" wrapText="1"/>
    </xf>
    <xf numFmtId="3" fontId="41" fillId="0" borderId="0" xfId="0" applyNumberFormat="1" applyFont="1" applyBorder="1" applyAlignment="1">
      <alignment horizontal="right" vertical="top" wrapTex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3" fontId="27" fillId="0" borderId="0" xfId="0" applyNumberFormat="1" applyFont="1" applyAlignment="1">
      <alignment horizontal="right"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3" fontId="41" fillId="0" borderId="0" xfId="0" applyNumberFormat="1" applyFont="1" applyAlignment="1">
      <alignment horizontal="right" vertical="top" wrapText="1"/>
    </xf>
    <xf numFmtId="0" fontId="27" fillId="0" borderId="92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left" vertical="center" wrapText="1"/>
    </xf>
    <xf numFmtId="3" fontId="27" fillId="0" borderId="92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3" fontId="27" fillId="0" borderId="0" xfId="0" applyNumberFormat="1" applyFont="1" applyAlignment="1">
      <alignment horizontal="right" wrapText="1"/>
    </xf>
    <xf numFmtId="0" fontId="0" fillId="0" borderId="0" xfId="0" applyAlignment="1"/>
    <xf numFmtId="0" fontId="78" fillId="0" borderId="0" xfId="0" applyFont="1" applyFill="1" applyBorder="1" applyAlignment="1">
      <alignment vertical="top" wrapText="1"/>
    </xf>
    <xf numFmtId="0" fontId="78" fillId="0" borderId="0" xfId="0" applyFont="1" applyFill="1" applyBorder="1" applyAlignment="1">
      <alignment horizontal="center" vertical="center" wrapText="1"/>
    </xf>
    <xf numFmtId="3" fontId="79" fillId="0" borderId="0" xfId="0" applyNumberFormat="1" applyFont="1" applyFill="1" applyAlignment="1">
      <alignment horizontal="right" vertical="center"/>
    </xf>
    <xf numFmtId="0" fontId="80" fillId="0" borderId="0" xfId="0" applyFont="1" applyFill="1" applyAlignment="1">
      <alignment horizontal="center" wrapText="1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0" fillId="0" borderId="0" xfId="0" applyFont="1" applyFill="1" applyAlignment="1">
      <alignment horizontal="center" vertical="top" wrapText="1"/>
    </xf>
    <xf numFmtId="3" fontId="81" fillId="0" borderId="0" xfId="0" applyNumberFormat="1" applyFont="1"/>
    <xf numFmtId="0" fontId="27" fillId="0" borderId="62" xfId="0" applyFont="1" applyBorder="1" applyAlignment="1">
      <alignment horizontal="left" vertical="top" wrapText="1"/>
    </xf>
    <xf numFmtId="3" fontId="43" fillId="0" borderId="62" xfId="0" applyNumberFormat="1" applyFont="1" applyBorder="1" applyAlignment="1">
      <alignment vertical="top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3" fontId="27" fillId="0" borderId="0" xfId="0" applyNumberFormat="1" applyFont="1" applyAlignment="1">
      <alignment horizontal="right" vertical="center" wrapText="1"/>
    </xf>
    <xf numFmtId="0" fontId="41" fillId="0" borderId="0" xfId="0" applyFont="1"/>
    <xf numFmtId="49" fontId="82" fillId="0" borderId="0" xfId="0" applyNumberFormat="1" applyFont="1"/>
    <xf numFmtId="3" fontId="64" fillId="0" borderId="0" xfId="0" applyNumberFormat="1" applyFont="1"/>
    <xf numFmtId="3" fontId="27" fillId="0" borderId="0" xfId="0" applyNumberFormat="1" applyFont="1"/>
    <xf numFmtId="0" fontId="55" fillId="0" borderId="0" xfId="0" applyFont="1"/>
    <xf numFmtId="49" fontId="83" fillId="0" borderId="0" xfId="0" applyNumberFormat="1" applyFont="1" applyAlignment="1">
      <alignment horizontal="center" vertical="center"/>
    </xf>
    <xf numFmtId="3" fontId="84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85" fillId="0" borderId="0" xfId="0" applyNumberFormat="1" applyFont="1"/>
    <xf numFmtId="3" fontId="86" fillId="0" borderId="0" xfId="0" applyNumberFormat="1" applyFont="1"/>
    <xf numFmtId="0" fontId="86" fillId="0" borderId="0" xfId="0" applyFont="1"/>
    <xf numFmtId="3" fontId="85" fillId="0" borderId="0" xfId="0" applyNumberFormat="1" applyFont="1"/>
    <xf numFmtId="49" fontId="87" fillId="0" borderId="0" xfId="0" applyNumberFormat="1" applyFont="1"/>
    <xf numFmtId="3" fontId="88" fillId="0" borderId="0" xfId="0" applyNumberFormat="1" applyFont="1"/>
    <xf numFmtId="0" fontId="88" fillId="0" borderId="0" xfId="0" applyFont="1"/>
    <xf numFmtId="49" fontId="83" fillId="0" borderId="0" xfId="0" applyNumberFormat="1" applyFont="1"/>
    <xf numFmtId="3" fontId="89" fillId="0" borderId="0" xfId="0" applyNumberFormat="1" applyFont="1"/>
    <xf numFmtId="3" fontId="90" fillId="0" borderId="0" xfId="0" applyNumberFormat="1" applyFont="1"/>
    <xf numFmtId="3" fontId="91" fillId="0" borderId="0" xfId="0" applyNumberFormat="1" applyFont="1"/>
    <xf numFmtId="0" fontId="90" fillId="0" borderId="0" xfId="0" applyFont="1"/>
    <xf numFmtId="3" fontId="92" fillId="0" borderId="0" xfId="0" applyNumberFormat="1" applyFont="1"/>
    <xf numFmtId="3" fontId="93" fillId="0" borderId="0" xfId="0" applyNumberFormat="1" applyFont="1"/>
    <xf numFmtId="3" fontId="41" fillId="0" borderId="0" xfId="0" applyNumberFormat="1" applyFont="1"/>
    <xf numFmtId="49" fontId="87" fillId="0" borderId="0" xfId="0" applyNumberFormat="1" applyFont="1" applyAlignment="1">
      <alignment wrapText="1"/>
    </xf>
    <xf numFmtId="49" fontId="94" fillId="0" borderId="0" xfId="0" applyNumberFormat="1" applyFont="1"/>
    <xf numFmtId="3" fontId="95" fillId="0" borderId="0" xfId="0" applyNumberFormat="1" applyFont="1"/>
    <xf numFmtId="4" fontId="41" fillId="0" borderId="0" xfId="0" applyNumberFormat="1" applyFont="1"/>
    <xf numFmtId="0" fontId="85" fillId="0" borderId="0" xfId="0" applyFont="1" applyAlignment="1"/>
    <xf numFmtId="3" fontId="85" fillId="0" borderId="0" xfId="0" applyNumberFormat="1" applyFont="1" applyAlignment="1"/>
    <xf numFmtId="0" fontId="87" fillId="0" borderId="0" xfId="0" applyFont="1"/>
    <xf numFmtId="0" fontId="3" fillId="0" borderId="0" xfId="0" applyFont="1"/>
    <xf numFmtId="3" fontId="3" fillId="0" borderId="0" xfId="0" applyNumberFormat="1" applyFont="1"/>
    <xf numFmtId="3" fontId="96" fillId="0" borderId="0" xfId="0" applyNumberFormat="1" applyFont="1"/>
    <xf numFmtId="0" fontId="96" fillId="0" borderId="0" xfId="0" applyFont="1"/>
    <xf numFmtId="3" fontId="87" fillId="0" borderId="0" xfId="0" applyNumberFormat="1" applyFont="1"/>
    <xf numFmtId="3" fontId="97" fillId="0" borderId="0" xfId="0" applyNumberFormat="1" applyFont="1"/>
    <xf numFmtId="0" fontId="85" fillId="0" borderId="0" xfId="0" applyFont="1"/>
    <xf numFmtId="49" fontId="85" fillId="0" borderId="0" xfId="0" applyNumberFormat="1" applyFont="1" applyAlignment="1">
      <alignment wrapText="1"/>
    </xf>
    <xf numFmtId="0" fontId="91" fillId="0" borderId="0" xfId="0" applyFont="1"/>
    <xf numFmtId="0" fontId="97" fillId="0" borderId="0" xfId="0" applyFont="1"/>
    <xf numFmtId="3" fontId="98" fillId="0" borderId="0" xfId="0" applyNumberFormat="1" applyFont="1"/>
    <xf numFmtId="0" fontId="87" fillId="0" borderId="0" xfId="0" applyFont="1" applyFill="1" applyProtection="1">
      <protection locked="0"/>
    </xf>
    <xf numFmtId="49" fontId="99" fillId="0" borderId="0" xfId="0" applyNumberFormat="1" applyFont="1"/>
    <xf numFmtId="3" fontId="100" fillId="0" borderId="0" xfId="0" applyNumberFormat="1" applyFont="1"/>
    <xf numFmtId="3" fontId="101" fillId="0" borderId="0" xfId="0" applyNumberFormat="1" applyFont="1"/>
    <xf numFmtId="3" fontId="99" fillId="0" borderId="0" xfId="0" applyNumberFormat="1" applyFont="1"/>
    <xf numFmtId="3" fontId="102" fillId="0" borderId="0" xfId="0" applyNumberFormat="1" applyFont="1" applyBorder="1"/>
    <xf numFmtId="3" fontId="99" fillId="0" borderId="0" xfId="0" applyNumberFormat="1" applyFont="1" applyBorder="1"/>
    <xf numFmtId="0" fontId="102" fillId="0" borderId="0" xfId="0" applyFont="1"/>
    <xf numFmtId="0" fontId="103" fillId="0" borderId="0" xfId="0" applyFont="1" applyAlignment="1">
      <alignment vertical="center"/>
    </xf>
    <xf numFmtId="3" fontId="104" fillId="0" borderId="0" xfId="0" applyNumberFormat="1" applyFont="1" applyBorder="1" applyAlignment="1">
      <alignment vertical="center"/>
    </xf>
    <xf numFmtId="3" fontId="86" fillId="0" borderId="0" xfId="0" applyNumberFormat="1" applyFont="1" applyBorder="1" applyAlignment="1">
      <alignment vertical="center"/>
    </xf>
    <xf numFmtId="3" fontId="89" fillId="0" borderId="0" xfId="0" applyNumberFormat="1" applyFont="1" applyBorder="1" applyAlignment="1">
      <alignment vertical="center"/>
    </xf>
    <xf numFmtId="3" fontId="89" fillId="0" borderId="0" xfId="0" applyNumberFormat="1" applyFont="1" applyAlignment="1">
      <alignment vertical="center"/>
    </xf>
    <xf numFmtId="0" fontId="104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5" fillId="0" borderId="0" xfId="0" applyFont="1" applyFill="1" applyAlignment="1" applyProtection="1">
      <alignment wrapText="1"/>
      <protection locked="0"/>
    </xf>
    <xf numFmtId="3" fontId="105" fillId="0" borderId="0" xfId="0" applyNumberFormat="1" applyFont="1" applyFill="1" applyProtection="1">
      <protection locked="0"/>
    </xf>
    <xf numFmtId="3" fontId="104" fillId="0" borderId="0" xfId="0" applyNumberFormat="1" applyFont="1" applyBorder="1"/>
    <xf numFmtId="3" fontId="89" fillId="0" borderId="0" xfId="0" applyNumberFormat="1" applyFont="1" applyBorder="1"/>
    <xf numFmtId="0" fontId="104" fillId="0" borderId="0" xfId="0" applyFont="1"/>
    <xf numFmtId="0" fontId="103" fillId="0" borderId="0" xfId="0" applyFont="1"/>
    <xf numFmtId="3" fontId="86" fillId="0" borderId="0" xfId="0" applyNumberFormat="1" applyFont="1" applyBorder="1"/>
    <xf numFmtId="0" fontId="105" fillId="0" borderId="0" xfId="0" applyFont="1" applyAlignment="1">
      <alignment wrapText="1"/>
    </xf>
    <xf numFmtId="3" fontId="103" fillId="0" borderId="0" xfId="0" applyNumberFormat="1" applyFont="1" applyFill="1" applyProtection="1">
      <protection locked="0"/>
    </xf>
    <xf numFmtId="0" fontId="27" fillId="0" borderId="0" xfId="0" applyFont="1"/>
    <xf numFmtId="0" fontId="0" fillId="0" borderId="0" xfId="0" applyAlignment="1">
      <alignment wrapText="1"/>
    </xf>
    <xf numFmtId="0" fontId="103" fillId="0" borderId="0" xfId="0" applyFont="1" applyFill="1" applyAlignment="1" applyProtection="1">
      <alignment wrapText="1"/>
      <protection locked="0"/>
    </xf>
    <xf numFmtId="0" fontId="106" fillId="0" borderId="0" xfId="0" applyFont="1" applyFill="1" applyAlignment="1" applyProtection="1">
      <alignment wrapText="1"/>
      <protection locked="0"/>
    </xf>
    <xf numFmtId="3" fontId="106" fillId="0" borderId="0" xfId="0" applyNumberFormat="1" applyFont="1" applyFill="1" applyProtection="1">
      <protection locked="0"/>
    </xf>
    <xf numFmtId="0" fontId="89" fillId="0" borderId="0" xfId="0" applyFont="1"/>
    <xf numFmtId="0" fontId="99" fillId="0" borderId="0" xfId="0" applyFont="1"/>
    <xf numFmtId="0" fontId="43" fillId="0" borderId="93" xfId="0" applyFont="1" applyFill="1" applyBorder="1" applyAlignment="1" applyProtection="1">
      <alignment vertical="center" wrapText="1"/>
      <protection locked="0"/>
    </xf>
    <xf numFmtId="3" fontId="43" fillId="0" borderId="94" xfId="0" applyNumberFormat="1" applyFont="1" applyFill="1" applyBorder="1" applyAlignment="1" applyProtection="1">
      <alignment vertical="center"/>
      <protection locked="0"/>
    </xf>
    <xf numFmtId="3" fontId="99" fillId="0" borderId="94" xfId="0" applyNumberFormat="1" applyFont="1" applyBorder="1" applyAlignment="1">
      <alignment vertical="center"/>
    </xf>
    <xf numFmtId="3" fontId="27" fillId="0" borderId="95" xfId="0" applyNumberFormat="1" applyFont="1" applyBorder="1" applyAlignment="1">
      <alignment vertical="center"/>
    </xf>
    <xf numFmtId="0" fontId="99" fillId="0" borderId="0" xfId="0" applyFont="1" applyAlignment="1">
      <alignment vertical="center"/>
    </xf>
    <xf numFmtId="49" fontId="88" fillId="0" borderId="0" xfId="0" applyNumberFormat="1" applyFont="1"/>
    <xf numFmtId="49" fontId="89" fillId="0" borderId="0" xfId="0" applyNumberFormat="1" applyFont="1"/>
    <xf numFmtId="49" fontId="88" fillId="0" borderId="0" xfId="0" applyNumberFormat="1" applyFont="1" applyAlignment="1">
      <alignment wrapText="1"/>
    </xf>
    <xf numFmtId="3" fontId="88" fillId="0" borderId="0" xfId="0" applyNumberFormat="1" applyFont="1" applyBorder="1"/>
    <xf numFmtId="49" fontId="86" fillId="0" borderId="0" xfId="0" applyNumberFormat="1" applyFont="1"/>
    <xf numFmtId="49" fontId="27" fillId="0" borderId="93" xfId="0" applyNumberFormat="1" applyFont="1" applyBorder="1" applyAlignment="1">
      <alignment vertical="center"/>
    </xf>
    <xf numFmtId="3" fontId="27" fillId="0" borderId="94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49" fontId="79" fillId="0" borderId="0" xfId="0" applyNumberFormat="1" applyFont="1"/>
    <xf numFmtId="3" fontId="65" fillId="0" borderId="0" xfId="0" applyNumberFormat="1" applyFont="1"/>
    <xf numFmtId="3" fontId="107" fillId="0" borderId="0" xfId="0" applyNumberFormat="1" applyFont="1"/>
    <xf numFmtId="49" fontId="108" fillId="0" borderId="0" xfId="0" applyNumberFormat="1" applyFont="1" applyBorder="1"/>
    <xf numFmtId="3" fontId="109" fillId="0" borderId="0" xfId="0" applyNumberFormat="1" applyFont="1" applyBorder="1"/>
    <xf numFmtId="3" fontId="110" fillId="0" borderId="0" xfId="0" applyNumberFormat="1" applyFont="1" applyBorder="1"/>
    <xf numFmtId="3" fontId="111" fillId="0" borderId="0" xfId="0" applyNumberFormat="1" applyFont="1" applyBorder="1"/>
    <xf numFmtId="0" fontId="79" fillId="0" borderId="0" xfId="0" applyFont="1"/>
    <xf numFmtId="0" fontId="64" fillId="0" borderId="0" xfId="0" applyFont="1"/>
    <xf numFmtId="0" fontId="0" fillId="0" borderId="11" xfId="0" applyBorder="1" applyAlignment="1">
      <alignment horizontal="center"/>
    </xf>
    <xf numFmtId="0" fontId="27" fillId="24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77" xfId="0" applyNumberFormat="1" applyFont="1" applyFill="1" applyBorder="1" applyAlignment="1">
      <alignment horizontal="center" vertical="center" wrapText="1"/>
    </xf>
    <xf numFmtId="3" fontId="40" fillId="24" borderId="78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3" xfId="0" applyFont="1" applyFill="1" applyBorder="1" applyAlignment="1">
      <alignment horizontal="center" vertical="center" wrapText="1"/>
    </xf>
    <xf numFmtId="0" fontId="40" fillId="24" borderId="54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5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17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left" vertical="center" wrapText="1"/>
    </xf>
    <xf numFmtId="0" fontId="27" fillId="26" borderId="1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7" xfId="0" applyBorder="1" applyAlignment="1">
      <alignment horizontal="center"/>
    </xf>
    <xf numFmtId="0" fontId="27" fillId="26" borderId="11" xfId="0" applyFont="1" applyFill="1" applyBorder="1" applyAlignment="1">
      <alignment horizontal="left" vertical="center" wrapText="1"/>
    </xf>
    <xf numFmtId="0" fontId="46" fillId="28" borderId="11" xfId="0" applyFont="1" applyFill="1" applyBorder="1" applyAlignment="1">
      <alignment horizontal="left"/>
    </xf>
    <xf numFmtId="0" fontId="27" fillId="26" borderId="18" xfId="0" applyFont="1" applyFill="1" applyBorder="1" applyAlignment="1">
      <alignment horizontal="left" vertical="top" wrapText="1"/>
    </xf>
    <xf numFmtId="0" fontId="27" fillId="26" borderId="14" xfId="0" applyFont="1" applyFill="1" applyBorder="1" applyAlignment="1">
      <alignment horizontal="left" vertical="top" wrapText="1"/>
    </xf>
    <xf numFmtId="0" fontId="27" fillId="28" borderId="18" xfId="0" applyFont="1" applyFill="1" applyBorder="1" applyAlignment="1">
      <alignment horizontal="left" vertical="center" wrapText="1"/>
    </xf>
    <xf numFmtId="0" fontId="27" fillId="28" borderId="32" xfId="0" applyFont="1" applyFill="1" applyBorder="1" applyAlignment="1">
      <alignment horizontal="left" vertical="center" wrapText="1"/>
    </xf>
    <xf numFmtId="0" fontId="27" fillId="28" borderId="14" xfId="0" applyFont="1" applyFill="1" applyBorder="1" applyAlignment="1">
      <alignment horizontal="left" vertical="center" wrapText="1"/>
    </xf>
    <xf numFmtId="0" fontId="60" fillId="28" borderId="11" xfId="0" applyFont="1" applyFill="1" applyBorder="1" applyAlignment="1">
      <alignment horizontal="left" vertical="center" wrapText="1"/>
    </xf>
    <xf numFmtId="0" fontId="27" fillId="29" borderId="11" xfId="0" applyFont="1" applyFill="1" applyBorder="1" applyAlignment="1">
      <alignment horizontal="left" vertical="center" wrapText="1"/>
    </xf>
    <xf numFmtId="0" fontId="43" fillId="30" borderId="11" xfId="0" applyFont="1" applyFill="1" applyBorder="1" applyAlignment="1">
      <alignment horizontal="left"/>
    </xf>
    <xf numFmtId="0" fontId="42" fillId="24" borderId="11" xfId="0" applyFont="1" applyFill="1" applyBorder="1" applyAlignment="1">
      <alignment horizontal="left" vertical="top" wrapText="1"/>
    </xf>
    <xf numFmtId="0" fontId="42" fillId="26" borderId="11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53" xfId="0" applyFont="1" applyFill="1" applyBorder="1" applyAlignment="1">
      <alignment horizontal="center" vertical="center" wrapText="1"/>
    </xf>
    <xf numFmtId="0" fontId="41" fillId="24" borderId="54" xfId="0" applyFont="1" applyFill="1" applyBorder="1" applyAlignment="1">
      <alignment horizontal="center" vertical="center" wrapText="1"/>
    </xf>
    <xf numFmtId="0" fontId="41" fillId="24" borderId="40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>
      <alignment horizontal="center" vertical="center" wrapText="1"/>
    </xf>
    <xf numFmtId="0" fontId="41" fillId="24" borderId="72" xfId="0" applyFont="1" applyFill="1" applyBorder="1" applyAlignment="1">
      <alignment horizontal="center" vertical="center" wrapText="1"/>
    </xf>
    <xf numFmtId="0" fontId="41" fillId="24" borderId="27" xfId="0" applyFont="1" applyFill="1" applyBorder="1" applyAlignment="1">
      <alignment horizontal="center" vertical="center" wrapText="1"/>
    </xf>
    <xf numFmtId="0" fontId="41" fillId="24" borderId="34" xfId="0" applyFont="1" applyFill="1" applyBorder="1" applyAlignment="1">
      <alignment horizontal="center" vertical="center" wrapText="1"/>
    </xf>
    <xf numFmtId="0" fontId="41" fillId="24" borderId="55" xfId="0" applyFont="1" applyFill="1" applyBorder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3" fontId="41" fillId="24" borderId="35" xfId="0" applyNumberFormat="1" applyFont="1" applyFill="1" applyBorder="1" applyAlignment="1">
      <alignment horizontal="center" vertical="center" wrapText="1"/>
    </xf>
    <xf numFmtId="3" fontId="41" fillId="24" borderId="53" xfId="0" applyNumberFormat="1" applyFont="1" applyFill="1" applyBorder="1" applyAlignment="1">
      <alignment horizontal="center" vertical="center" wrapText="1"/>
    </xf>
    <xf numFmtId="3" fontId="41" fillId="24" borderId="54" xfId="0" applyNumberFormat="1" applyFont="1" applyFill="1" applyBorder="1" applyAlignment="1">
      <alignment horizontal="center" vertical="center" wrapText="1"/>
    </xf>
    <xf numFmtId="0" fontId="41" fillId="24" borderId="18" xfId="0" applyFont="1" applyFill="1" applyBorder="1" applyAlignment="1">
      <alignment horizontal="center" vertical="center" wrapText="1"/>
    </xf>
    <xf numFmtId="0" fontId="41" fillId="24" borderId="14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3" fontId="41" fillId="24" borderId="19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43" fillId="28" borderId="11" xfId="0" applyFont="1" applyFill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7" fillId="28" borderId="27" xfId="0" applyFont="1" applyFill="1" applyBorder="1" applyAlignment="1">
      <alignment horizontal="left" vertical="center" wrapText="1"/>
    </xf>
    <xf numFmtId="0" fontId="27" fillId="28" borderId="34" xfId="0" applyFont="1" applyFill="1" applyBorder="1" applyAlignment="1">
      <alignment horizontal="left" vertical="center" wrapText="1"/>
    </xf>
    <xf numFmtId="0" fontId="27" fillId="28" borderId="55" xfId="0" applyFont="1" applyFill="1" applyBorder="1" applyAlignment="1">
      <alignment horizontal="left" vertical="center" wrapText="1"/>
    </xf>
    <xf numFmtId="0" fontId="27" fillId="28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27" fillId="31" borderId="18" xfId="0" applyFont="1" applyFill="1" applyBorder="1" applyAlignment="1">
      <alignment horizontal="left" vertical="center" wrapText="1"/>
    </xf>
    <xf numFmtId="0" fontId="27" fillId="31" borderId="14" xfId="0" applyFont="1" applyFill="1" applyBorder="1" applyAlignment="1">
      <alignment horizontal="left" vertical="center" wrapText="1"/>
    </xf>
    <xf numFmtId="0" fontId="27" fillId="29" borderId="27" xfId="0" applyFont="1" applyFill="1" applyBorder="1" applyAlignment="1">
      <alignment horizontal="left" vertical="center" wrapText="1"/>
    </xf>
    <xf numFmtId="0" fontId="27" fillId="29" borderId="34" xfId="0" applyFont="1" applyFill="1" applyBorder="1" applyAlignment="1">
      <alignment horizontal="left" vertical="center" wrapText="1"/>
    </xf>
    <xf numFmtId="0" fontId="27" fillId="29" borderId="55" xfId="0" applyFont="1" applyFill="1" applyBorder="1" applyAlignment="1">
      <alignment horizontal="left" vertical="center" wrapText="1"/>
    </xf>
    <xf numFmtId="0" fontId="45" fillId="0" borderId="34" xfId="0" applyFont="1" applyBorder="1" applyAlignment="1">
      <alignment horizontal="center"/>
    </xf>
    <xf numFmtId="166" fontId="29" fillId="0" borderId="0" xfId="0" applyNumberFormat="1" applyFont="1" applyAlignment="1">
      <alignment horizontal="center" textRotation="180" wrapText="1"/>
    </xf>
    <xf numFmtId="166" fontId="31" fillId="0" borderId="38" xfId="0" applyNumberFormat="1" applyFont="1" applyBorder="1" applyAlignment="1">
      <alignment horizontal="center" vertical="center" wrapText="1"/>
    </xf>
    <xf numFmtId="166" fontId="31" fillId="0" borderId="43" xfId="0" applyNumberFormat="1" applyFont="1" applyBorder="1" applyAlignment="1">
      <alignment horizontal="center" vertical="center" wrapText="1"/>
    </xf>
    <xf numFmtId="166" fontId="31" fillId="0" borderId="56" xfId="0" applyNumberFormat="1" applyFont="1" applyBorder="1" applyAlignment="1">
      <alignment horizontal="center" vertical="center" wrapText="1"/>
    </xf>
    <xf numFmtId="166" fontId="31" fillId="0" borderId="57" xfId="0" applyNumberFormat="1" applyFont="1" applyBorder="1" applyAlignment="1">
      <alignment horizontal="center" vertical="center" wrapText="1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8" fillId="1" borderId="58" xfId="0" applyFont="1" applyFill="1" applyBorder="1" applyAlignment="1">
      <alignment horizontal="left" vertical="center"/>
    </xf>
    <xf numFmtId="0" fontId="8" fillId="1" borderId="53" xfId="0" applyFont="1" applyFill="1" applyBorder="1" applyAlignment="1">
      <alignment horizontal="left" vertical="center"/>
    </xf>
    <xf numFmtId="0" fontId="2" fillId="24" borderId="59" xfId="0" applyFont="1" applyFill="1" applyBorder="1" applyAlignment="1">
      <alignment horizontal="left" vertical="center"/>
    </xf>
    <xf numFmtId="0" fontId="2" fillId="24" borderId="60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1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center" vertical="top"/>
    </xf>
    <xf numFmtId="0" fontId="2" fillId="0" borderId="46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4" borderId="23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63" xfId="0" applyFont="1" applyBorder="1" applyAlignment="1">
      <alignment horizontal="center" vertical="top"/>
    </xf>
    <xf numFmtId="0" fontId="2" fillId="24" borderId="26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66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center" vertical="center" wrapText="1"/>
    </xf>
    <xf numFmtId="0" fontId="2" fillId="24" borderId="17" xfId="0" applyFont="1" applyFill="1" applyBorder="1" applyAlignment="1">
      <alignment horizontal="center" vertical="center" wrapText="1"/>
    </xf>
    <xf numFmtId="166" fontId="32" fillId="0" borderId="38" xfId="0" applyNumberFormat="1" applyFont="1" applyBorder="1" applyAlignment="1">
      <alignment horizontal="center" vertical="center" wrapText="1"/>
    </xf>
    <xf numFmtId="166" fontId="32" fillId="0" borderId="43" xfId="0" applyNumberFormat="1" applyFont="1" applyBorder="1" applyAlignment="1">
      <alignment horizontal="center" vertical="center" wrapText="1"/>
    </xf>
    <xf numFmtId="166" fontId="32" fillId="0" borderId="63" xfId="0" applyNumberFormat="1" applyFont="1" applyBorder="1" applyAlignment="1">
      <alignment horizontal="center" vertical="center" wrapText="1"/>
    </xf>
    <xf numFmtId="166" fontId="32" fillId="0" borderId="21" xfId="0" applyNumberFormat="1" applyFont="1" applyBorder="1" applyAlignment="1">
      <alignment horizontal="center" vertical="center" wrapText="1"/>
    </xf>
    <xf numFmtId="166" fontId="32" fillId="0" borderId="70" xfId="0" applyNumberFormat="1" applyFont="1" applyBorder="1" applyAlignment="1">
      <alignment horizontal="center" vertical="center" wrapText="1"/>
    </xf>
    <xf numFmtId="166" fontId="32" fillId="0" borderId="16" xfId="0" applyNumberFormat="1" applyFont="1" applyBorder="1" applyAlignment="1">
      <alignment horizontal="center" vertical="center"/>
    </xf>
    <xf numFmtId="166" fontId="32" fillId="0" borderId="16" xfId="0" applyNumberFormat="1" applyFont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49" fontId="2" fillId="24" borderId="63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43" fontId="2" fillId="24" borderId="61" xfId="0" applyNumberFormat="1" applyFont="1" applyFill="1" applyBorder="1" applyAlignment="1">
      <alignment horizontal="center" vertical="center" wrapText="1"/>
    </xf>
    <xf numFmtId="43" fontId="2" fillId="24" borderId="49" xfId="0" applyNumberFormat="1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5" xfId="0" applyFont="1" applyFill="1" applyBorder="1" applyAlignment="1">
      <alignment horizontal="center" vertical="center" wrapText="1"/>
    </xf>
    <xf numFmtId="0" fontId="2" fillId="24" borderId="5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3" fillId="0" borderId="44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79" fillId="0" borderId="0" xfId="0" applyFont="1" applyAlignment="1">
      <alignment horizontal="center"/>
    </xf>
    <xf numFmtId="0" fontId="41" fillId="0" borderId="0" xfId="0" applyFont="1" applyAlignment="1"/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Pénznem" xfId="42" builtinId="4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Y61"/>
  <sheetViews>
    <sheetView zoomScale="85" zoomScaleNormal="85" zoomScaleSheetLayoutView="90" workbookViewId="0">
      <selection activeCell="I17" sqref="I17"/>
    </sheetView>
  </sheetViews>
  <sheetFormatPr defaultRowHeight="13.2" x14ac:dyDescent="0.25"/>
  <cols>
    <col min="1" max="1" width="3.6640625" customWidth="1"/>
    <col min="2" max="2" width="3.109375" customWidth="1"/>
    <col min="3" max="3" width="52.6640625" customWidth="1"/>
    <col min="4" max="4" width="7" bestFit="1" customWidth="1"/>
    <col min="5" max="5" width="15.6640625" style="168" customWidth="1"/>
    <col min="6" max="8" width="13" style="168" customWidth="1"/>
    <col min="9" max="9" width="15.88671875" style="168" bestFit="1" customWidth="1"/>
    <col min="10" max="10" width="16.33203125" style="168" customWidth="1"/>
    <col min="11" max="11" width="14.44140625" style="147" customWidth="1"/>
    <col min="12" max="14" width="13" style="147" customWidth="1"/>
    <col min="15" max="15" width="13.5546875" style="147" bestFit="1" customWidth="1"/>
    <col min="16" max="16" width="12.6640625" style="147" customWidth="1"/>
    <col min="17" max="17" width="15.5546875" style="147" bestFit="1" customWidth="1"/>
    <col min="18" max="20" width="14.44140625" style="147" customWidth="1"/>
    <col min="21" max="21" width="15.6640625" style="147" bestFit="1" customWidth="1"/>
    <col min="22" max="22" width="14.44140625" style="147" customWidth="1"/>
    <col min="24" max="24" width="13.88671875" customWidth="1"/>
  </cols>
  <sheetData>
    <row r="1" spans="1:25" ht="21.75" customHeight="1" x14ac:dyDescent="0.25">
      <c r="A1" s="782" t="s">
        <v>458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</row>
    <row r="2" spans="1:25" ht="28.5" customHeight="1" x14ac:dyDescent="0.25">
      <c r="A2" s="783" t="s">
        <v>108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</row>
    <row r="3" spans="1:25" ht="36.75" customHeight="1" x14ac:dyDescent="0.25">
      <c r="A3" s="789" t="s">
        <v>41</v>
      </c>
      <c r="B3" s="790"/>
      <c r="C3" s="791"/>
      <c r="D3" s="795" t="s">
        <v>374</v>
      </c>
      <c r="E3" s="784" t="s">
        <v>208</v>
      </c>
      <c r="F3" s="785"/>
      <c r="G3" s="785"/>
      <c r="H3" s="785"/>
      <c r="I3" s="785"/>
      <c r="J3" s="785"/>
      <c r="K3" s="786" t="s">
        <v>95</v>
      </c>
      <c r="L3" s="785"/>
      <c r="M3" s="785"/>
      <c r="N3" s="785"/>
      <c r="O3" s="785"/>
      <c r="P3" s="787"/>
      <c r="Q3" s="785" t="s">
        <v>376</v>
      </c>
      <c r="R3" s="785"/>
      <c r="S3" s="785"/>
      <c r="T3" s="785"/>
      <c r="U3" s="785"/>
      <c r="V3" s="788"/>
      <c r="X3" s="147"/>
      <c r="Y3" s="147"/>
    </row>
    <row r="4" spans="1:25" ht="30" customHeight="1" x14ac:dyDescent="0.25">
      <c r="A4" s="792"/>
      <c r="B4" s="793"/>
      <c r="C4" s="794"/>
      <c r="D4" s="796"/>
      <c r="E4" s="321" t="s">
        <v>445</v>
      </c>
      <c r="F4" s="157" t="s">
        <v>348</v>
      </c>
      <c r="G4" s="157" t="s">
        <v>446</v>
      </c>
      <c r="H4" s="157" t="s">
        <v>455</v>
      </c>
      <c r="I4" s="157" t="s">
        <v>349</v>
      </c>
      <c r="J4" s="388" t="s">
        <v>350</v>
      </c>
      <c r="K4" s="321" t="s">
        <v>445</v>
      </c>
      <c r="L4" s="157" t="s">
        <v>348</v>
      </c>
      <c r="M4" s="157" t="s">
        <v>446</v>
      </c>
      <c r="N4" s="157" t="s">
        <v>455</v>
      </c>
      <c r="O4" s="157" t="s">
        <v>349</v>
      </c>
      <c r="P4" s="388" t="s">
        <v>350</v>
      </c>
      <c r="Q4" s="321" t="s">
        <v>362</v>
      </c>
      <c r="R4" s="157" t="s">
        <v>348</v>
      </c>
      <c r="S4" s="157" t="s">
        <v>446</v>
      </c>
      <c r="T4" s="157" t="s">
        <v>455</v>
      </c>
      <c r="U4" s="389" t="s">
        <v>349</v>
      </c>
      <c r="V4" s="157" t="s">
        <v>350</v>
      </c>
      <c r="X4" s="147"/>
      <c r="Y4" s="147"/>
    </row>
    <row r="5" spans="1:25" ht="17.25" customHeight="1" x14ac:dyDescent="0.25">
      <c r="A5" s="780" t="s">
        <v>42</v>
      </c>
      <c r="B5" s="155"/>
      <c r="C5" s="152" t="s">
        <v>231</v>
      </c>
      <c r="D5" s="152" t="s">
        <v>379</v>
      </c>
      <c r="E5" s="153">
        <v>76478545</v>
      </c>
      <c r="F5" s="153">
        <v>226691</v>
      </c>
      <c r="G5" s="153">
        <v>2342055</v>
      </c>
      <c r="H5" s="153">
        <f>I5-E5-F5-G5</f>
        <v>92010</v>
      </c>
      <c r="I5" s="153">
        <v>79139301</v>
      </c>
      <c r="J5" s="552">
        <v>79139301</v>
      </c>
      <c r="K5" s="392">
        <v>0</v>
      </c>
      <c r="L5" s="153"/>
      <c r="M5" s="153">
        <v>0</v>
      </c>
      <c r="N5" s="153">
        <f>O5-K5-L5-M5</f>
        <v>0</v>
      </c>
      <c r="O5" s="393"/>
      <c r="P5" s="394"/>
      <c r="Q5" s="395">
        <f>SUM(E5+K5)</f>
        <v>76478545</v>
      </c>
      <c r="R5" s="153">
        <v>226691</v>
      </c>
      <c r="S5" s="153">
        <v>2342055</v>
      </c>
      <c r="T5" s="153">
        <f>H5+N5</f>
        <v>92010</v>
      </c>
      <c r="U5" s="390">
        <f>I5+O5</f>
        <v>79139301</v>
      </c>
      <c r="V5" s="390">
        <f>J5+P5</f>
        <v>79139301</v>
      </c>
    </row>
    <row r="6" spans="1:25" ht="26.4" x14ac:dyDescent="0.25">
      <c r="A6" s="780"/>
      <c r="B6" s="155"/>
      <c r="C6" s="152" t="s">
        <v>232</v>
      </c>
      <c r="D6" s="152" t="s">
        <v>380</v>
      </c>
      <c r="E6" s="153">
        <v>144931549</v>
      </c>
      <c r="F6" s="153">
        <v>0</v>
      </c>
      <c r="G6" s="153">
        <v>3293585</v>
      </c>
      <c r="H6" s="153">
        <f t="shared" ref="H6:H47" si="0">I6-E6-F6-G6</f>
        <v>-24483</v>
      </c>
      <c r="I6" s="153">
        <v>148200651</v>
      </c>
      <c r="J6" s="552">
        <v>148200651</v>
      </c>
      <c r="K6" s="392">
        <v>0</v>
      </c>
      <c r="L6" s="153"/>
      <c r="M6" s="153">
        <v>0</v>
      </c>
      <c r="N6" s="153">
        <f t="shared" ref="N6:N60" si="1">O6-K6-L6-M6</f>
        <v>0</v>
      </c>
      <c r="O6" s="393"/>
      <c r="P6" s="394"/>
      <c r="Q6" s="395">
        <f t="shared" ref="Q6:Q16" si="2">SUM(E6+K6)</f>
        <v>144931549</v>
      </c>
      <c r="R6" s="153">
        <v>0</v>
      </c>
      <c r="S6" s="153">
        <v>3293585</v>
      </c>
      <c r="T6" s="153">
        <f t="shared" ref="T6:T60" si="3">H6+N6</f>
        <v>-24483</v>
      </c>
      <c r="U6" s="390">
        <f t="shared" ref="U6:U21" si="4">I6+O6</f>
        <v>148200651</v>
      </c>
      <c r="V6" s="390">
        <f t="shared" ref="V6:V21" si="5">J6+P6</f>
        <v>148200651</v>
      </c>
    </row>
    <row r="7" spans="1:25" ht="26.4" x14ac:dyDescent="0.25">
      <c r="A7" s="780"/>
      <c r="B7" s="155"/>
      <c r="C7" s="152" t="s">
        <v>233</v>
      </c>
      <c r="D7" s="152" t="s">
        <v>381</v>
      </c>
      <c r="E7" s="153">
        <v>50942903</v>
      </c>
      <c r="F7" s="153">
        <v>872725</v>
      </c>
      <c r="G7" s="153">
        <v>2837326</v>
      </c>
      <c r="H7" s="153">
        <f t="shared" si="0"/>
        <v>4019457</v>
      </c>
      <c r="I7" s="153">
        <v>58672411</v>
      </c>
      <c r="J7" s="552">
        <v>58672411</v>
      </c>
      <c r="K7" s="392">
        <v>0</v>
      </c>
      <c r="L7" s="153"/>
      <c r="M7" s="153">
        <v>0</v>
      </c>
      <c r="N7" s="153">
        <f t="shared" si="1"/>
        <v>0</v>
      </c>
      <c r="O7" s="393"/>
      <c r="P7" s="394"/>
      <c r="Q7" s="395">
        <f t="shared" si="2"/>
        <v>50942903</v>
      </c>
      <c r="R7" s="153">
        <v>872725</v>
      </c>
      <c r="S7" s="153">
        <v>2837326</v>
      </c>
      <c r="T7" s="153">
        <f t="shared" si="3"/>
        <v>4019457</v>
      </c>
      <c r="U7" s="390">
        <f t="shared" si="4"/>
        <v>58672411</v>
      </c>
      <c r="V7" s="390">
        <f t="shared" si="5"/>
        <v>58672411</v>
      </c>
    </row>
    <row r="8" spans="1:25" ht="14.25" customHeight="1" x14ac:dyDescent="0.25">
      <c r="A8" s="780"/>
      <c r="B8" s="155"/>
      <c r="C8" s="152" t="s">
        <v>234</v>
      </c>
      <c r="D8" s="152" t="s">
        <v>382</v>
      </c>
      <c r="E8" s="153">
        <v>4028090</v>
      </c>
      <c r="F8" s="153">
        <v>0</v>
      </c>
      <c r="G8" s="153">
        <v>136000</v>
      </c>
      <c r="H8" s="153">
        <f t="shared" si="0"/>
        <v>0</v>
      </c>
      <c r="I8" s="153">
        <v>4164090</v>
      </c>
      <c r="J8" s="552">
        <v>4164090</v>
      </c>
      <c r="K8" s="392">
        <v>0</v>
      </c>
      <c r="L8" s="153"/>
      <c r="M8" s="153">
        <v>0</v>
      </c>
      <c r="N8" s="153">
        <f t="shared" si="1"/>
        <v>0</v>
      </c>
      <c r="O8" s="393"/>
      <c r="P8" s="394"/>
      <c r="Q8" s="395">
        <f t="shared" si="2"/>
        <v>4028090</v>
      </c>
      <c r="R8" s="153">
        <v>0</v>
      </c>
      <c r="S8" s="153">
        <v>136000</v>
      </c>
      <c r="T8" s="153">
        <f t="shared" si="3"/>
        <v>0</v>
      </c>
      <c r="U8" s="390">
        <f t="shared" si="4"/>
        <v>4164090</v>
      </c>
      <c r="V8" s="390">
        <f t="shared" si="5"/>
        <v>4164090</v>
      </c>
    </row>
    <row r="9" spans="1:25" ht="14.25" customHeight="1" x14ac:dyDescent="0.25">
      <c r="A9" s="780"/>
      <c r="B9" s="155"/>
      <c r="C9" s="303" t="s">
        <v>352</v>
      </c>
      <c r="D9" s="152" t="s">
        <v>439</v>
      </c>
      <c r="E9" s="296">
        <v>0</v>
      </c>
      <c r="F9" s="296">
        <v>11072000</v>
      </c>
      <c r="G9" s="153">
        <v>1489710</v>
      </c>
      <c r="H9" s="153">
        <f t="shared" si="0"/>
        <v>0</v>
      </c>
      <c r="I9" s="296">
        <v>12561710</v>
      </c>
      <c r="J9" s="553">
        <v>12561710</v>
      </c>
      <c r="K9" s="392"/>
      <c r="L9" s="153"/>
      <c r="M9" s="153">
        <v>0</v>
      </c>
      <c r="N9" s="153">
        <f t="shared" si="1"/>
        <v>0</v>
      </c>
      <c r="O9" s="393"/>
      <c r="P9" s="394"/>
      <c r="Q9" s="395">
        <f t="shared" si="2"/>
        <v>0</v>
      </c>
      <c r="R9" s="153">
        <v>11072000</v>
      </c>
      <c r="S9" s="153">
        <v>1489710</v>
      </c>
      <c r="T9" s="153">
        <f t="shared" si="3"/>
        <v>0</v>
      </c>
      <c r="U9" s="390">
        <f t="shared" si="4"/>
        <v>12561710</v>
      </c>
      <c r="V9" s="390">
        <f t="shared" si="5"/>
        <v>12561710</v>
      </c>
    </row>
    <row r="10" spans="1:25" ht="14.25" customHeight="1" x14ac:dyDescent="0.25">
      <c r="A10" s="780"/>
      <c r="B10" s="155"/>
      <c r="C10" s="303" t="s">
        <v>353</v>
      </c>
      <c r="D10" s="152" t="s">
        <v>440</v>
      </c>
      <c r="E10" s="296">
        <v>0</v>
      </c>
      <c r="F10" s="296">
        <v>612850</v>
      </c>
      <c r="G10" s="153">
        <v>2049693</v>
      </c>
      <c r="H10" s="153">
        <f t="shared" si="0"/>
        <v>0</v>
      </c>
      <c r="I10" s="296">
        <v>2662543</v>
      </c>
      <c r="J10" s="553">
        <v>2662543</v>
      </c>
      <c r="K10" s="392"/>
      <c r="L10" s="153"/>
      <c r="M10" s="153">
        <v>0</v>
      </c>
      <c r="N10" s="153">
        <f t="shared" si="1"/>
        <v>0</v>
      </c>
      <c r="O10" s="393"/>
      <c r="P10" s="394"/>
      <c r="Q10" s="395">
        <f t="shared" si="2"/>
        <v>0</v>
      </c>
      <c r="R10" s="153">
        <v>612850</v>
      </c>
      <c r="S10" s="153">
        <v>2049693</v>
      </c>
      <c r="T10" s="153">
        <f t="shared" si="3"/>
        <v>0</v>
      </c>
      <c r="U10" s="390">
        <f t="shared" si="4"/>
        <v>2662543</v>
      </c>
      <c r="V10" s="390">
        <f t="shared" si="5"/>
        <v>2662543</v>
      </c>
    </row>
    <row r="11" spans="1:25" ht="18" customHeight="1" x14ac:dyDescent="0.25">
      <c r="A11" s="780"/>
      <c r="B11" s="798" t="s">
        <v>235</v>
      </c>
      <c r="C11" s="798"/>
      <c r="D11" s="624" t="s">
        <v>383</v>
      </c>
      <c r="E11" s="169">
        <f>SUM(E5:E10)</f>
        <v>276381087</v>
      </c>
      <c r="F11" s="169">
        <f>SUM(F5:F10)</f>
        <v>12784266</v>
      </c>
      <c r="G11" s="169">
        <f t="shared" ref="G11:H11" si="6">SUM(G5:G10)</f>
        <v>12148369</v>
      </c>
      <c r="H11" s="169">
        <f t="shared" si="6"/>
        <v>4086984</v>
      </c>
      <c r="I11" s="169">
        <f>SUM(I5:I10)</f>
        <v>305400706</v>
      </c>
      <c r="J11" s="554">
        <f>SUM(J5:J10)</f>
        <v>305400706</v>
      </c>
      <c r="K11" s="400">
        <f>SUM(K5:K8)</f>
        <v>0</v>
      </c>
      <c r="L11" s="169">
        <f t="shared" ref="L11:P11" si="7">SUM(L5:L8)</f>
        <v>0</v>
      </c>
      <c r="M11" s="169">
        <v>0</v>
      </c>
      <c r="N11" s="169">
        <f t="shared" si="1"/>
        <v>0</v>
      </c>
      <c r="O11" s="169">
        <f t="shared" si="7"/>
        <v>0</v>
      </c>
      <c r="P11" s="554">
        <f t="shared" si="7"/>
        <v>0</v>
      </c>
      <c r="Q11" s="401">
        <f>SUM(E11+K11)</f>
        <v>276381087</v>
      </c>
      <c r="R11" s="169">
        <v>12784266</v>
      </c>
      <c r="S11" s="169">
        <v>12148369</v>
      </c>
      <c r="T11" s="169">
        <f t="shared" si="3"/>
        <v>4086984</v>
      </c>
      <c r="U11" s="398">
        <f t="shared" si="4"/>
        <v>305400706</v>
      </c>
      <c r="V11" s="398">
        <f t="shared" si="5"/>
        <v>305400706</v>
      </c>
    </row>
    <row r="12" spans="1:25" x14ac:dyDescent="0.25">
      <c r="A12" s="780"/>
      <c r="B12" s="151"/>
      <c r="C12" s="183" t="s">
        <v>447</v>
      </c>
      <c r="D12" s="358" t="s">
        <v>384</v>
      </c>
      <c r="E12" s="153">
        <v>2300000</v>
      </c>
      <c r="F12" s="153">
        <v>0</v>
      </c>
      <c r="G12" s="153">
        <v>0</v>
      </c>
      <c r="H12" s="390">
        <f t="shared" si="0"/>
        <v>-2700</v>
      </c>
      <c r="I12" s="390">
        <v>2297300</v>
      </c>
      <c r="J12" s="391">
        <v>2297300</v>
      </c>
      <c r="K12" s="392">
        <v>0</v>
      </c>
      <c r="L12" s="153">
        <v>2230448</v>
      </c>
      <c r="M12" s="153">
        <v>2420188</v>
      </c>
      <c r="N12" s="153">
        <f t="shared" si="1"/>
        <v>132773</v>
      </c>
      <c r="O12" s="153">
        <v>4783409</v>
      </c>
      <c r="P12" s="552">
        <v>4783409</v>
      </c>
      <c r="Q12" s="395">
        <f t="shared" si="2"/>
        <v>2300000</v>
      </c>
      <c r="R12" s="153">
        <v>2230448</v>
      </c>
      <c r="S12" s="153">
        <v>2420188</v>
      </c>
      <c r="T12" s="153">
        <f t="shared" si="3"/>
        <v>130073</v>
      </c>
      <c r="U12" s="390">
        <f t="shared" si="4"/>
        <v>7080709</v>
      </c>
      <c r="V12" s="390">
        <f t="shared" si="5"/>
        <v>7080709</v>
      </c>
    </row>
    <row r="13" spans="1:25" x14ac:dyDescent="0.25">
      <c r="A13" s="780"/>
      <c r="B13" s="151"/>
      <c r="C13" s="183" t="s">
        <v>354</v>
      </c>
      <c r="D13" s="358" t="s">
        <v>384</v>
      </c>
      <c r="E13" s="153"/>
      <c r="F13" s="153">
        <v>56430</v>
      </c>
      <c r="G13" s="153">
        <v>0</v>
      </c>
      <c r="H13" s="390">
        <f t="shared" si="0"/>
        <v>-56430</v>
      </c>
      <c r="I13" s="390">
        <v>0</v>
      </c>
      <c r="J13" s="391">
        <v>0</v>
      </c>
      <c r="K13" s="392"/>
      <c r="L13" s="153">
        <v>0</v>
      </c>
      <c r="M13" s="153">
        <v>0</v>
      </c>
      <c r="N13" s="153">
        <f t="shared" si="1"/>
        <v>0</v>
      </c>
      <c r="O13" s="153"/>
      <c r="P13" s="552"/>
      <c r="Q13" s="395">
        <f t="shared" si="2"/>
        <v>0</v>
      </c>
      <c r="R13" s="153">
        <v>56430</v>
      </c>
      <c r="S13" s="153">
        <v>0</v>
      </c>
      <c r="T13" s="153">
        <f t="shared" si="3"/>
        <v>-56430</v>
      </c>
      <c r="U13" s="390">
        <f t="shared" si="4"/>
        <v>0</v>
      </c>
      <c r="V13" s="390">
        <f t="shared" si="5"/>
        <v>0</v>
      </c>
    </row>
    <row r="14" spans="1:25" x14ac:dyDescent="0.25">
      <c r="A14" s="780"/>
      <c r="B14" s="151"/>
      <c r="C14" s="183" t="s">
        <v>249</v>
      </c>
      <c r="D14" s="358" t="s">
        <v>384</v>
      </c>
      <c r="E14" s="153">
        <v>14526000</v>
      </c>
      <c r="F14" s="153">
        <v>0</v>
      </c>
      <c r="G14" s="153">
        <v>0</v>
      </c>
      <c r="H14" s="390">
        <f t="shared" si="0"/>
        <v>2750500</v>
      </c>
      <c r="I14" s="390">
        <v>17276500</v>
      </c>
      <c r="J14" s="391">
        <v>17276500</v>
      </c>
      <c r="K14" s="392"/>
      <c r="L14" s="153">
        <v>0</v>
      </c>
      <c r="M14" s="153">
        <v>0</v>
      </c>
      <c r="N14" s="153">
        <f t="shared" si="1"/>
        <v>0</v>
      </c>
      <c r="O14" s="153"/>
      <c r="P14" s="552"/>
      <c r="Q14" s="395">
        <f t="shared" si="2"/>
        <v>14526000</v>
      </c>
      <c r="R14" s="153">
        <v>0</v>
      </c>
      <c r="S14" s="153">
        <v>0</v>
      </c>
      <c r="T14" s="153">
        <f t="shared" si="3"/>
        <v>2750500</v>
      </c>
      <c r="U14" s="390">
        <f t="shared" si="4"/>
        <v>17276500</v>
      </c>
      <c r="V14" s="390">
        <f t="shared" si="5"/>
        <v>17276500</v>
      </c>
    </row>
    <row r="15" spans="1:25" x14ac:dyDescent="0.25">
      <c r="A15" s="780"/>
      <c r="B15" s="151"/>
      <c r="C15" s="183" t="s">
        <v>250</v>
      </c>
      <c r="D15" s="358" t="s">
        <v>384</v>
      </c>
      <c r="E15" s="153">
        <v>4866514</v>
      </c>
      <c r="F15" s="153">
        <v>0</v>
      </c>
      <c r="G15" s="153">
        <v>0</v>
      </c>
      <c r="H15" s="390">
        <f t="shared" si="0"/>
        <v>1771385</v>
      </c>
      <c r="I15" s="390">
        <v>6637899</v>
      </c>
      <c r="J15" s="391">
        <v>6637899</v>
      </c>
      <c r="K15" s="392">
        <v>0</v>
      </c>
      <c r="L15" s="153">
        <v>0</v>
      </c>
      <c r="M15" s="153">
        <v>0</v>
      </c>
      <c r="N15" s="153">
        <f t="shared" si="1"/>
        <v>0</v>
      </c>
      <c r="O15" s="153"/>
      <c r="P15" s="552"/>
      <c r="Q15" s="395">
        <f t="shared" si="2"/>
        <v>4866514</v>
      </c>
      <c r="R15" s="153">
        <v>0</v>
      </c>
      <c r="S15" s="153">
        <v>0</v>
      </c>
      <c r="T15" s="153">
        <f t="shared" si="3"/>
        <v>1771385</v>
      </c>
      <c r="U15" s="390">
        <f t="shared" si="4"/>
        <v>6637899</v>
      </c>
      <c r="V15" s="390">
        <f t="shared" si="5"/>
        <v>6637899</v>
      </c>
    </row>
    <row r="16" spans="1:25" x14ac:dyDescent="0.25">
      <c r="A16" s="780"/>
      <c r="B16" s="151"/>
      <c r="C16" s="183" t="s">
        <v>251</v>
      </c>
      <c r="D16" s="358" t="s">
        <v>384</v>
      </c>
      <c r="E16" s="153">
        <v>16958507</v>
      </c>
      <c r="F16" s="153">
        <v>0</v>
      </c>
      <c r="G16" s="153">
        <v>0</v>
      </c>
      <c r="H16" s="390">
        <f t="shared" si="0"/>
        <v>-3579696</v>
      </c>
      <c r="I16" s="390">
        <v>13378811</v>
      </c>
      <c r="J16" s="391">
        <v>13378811</v>
      </c>
      <c r="K16" s="392">
        <v>0</v>
      </c>
      <c r="L16" s="153">
        <v>0</v>
      </c>
      <c r="M16" s="153">
        <v>0</v>
      </c>
      <c r="N16" s="153">
        <f t="shared" si="1"/>
        <v>0</v>
      </c>
      <c r="O16" s="153"/>
      <c r="P16" s="552"/>
      <c r="Q16" s="395">
        <f t="shared" si="2"/>
        <v>16958507</v>
      </c>
      <c r="R16" s="153">
        <v>0</v>
      </c>
      <c r="S16" s="153">
        <v>0</v>
      </c>
      <c r="T16" s="153">
        <f t="shared" si="3"/>
        <v>-3579696</v>
      </c>
      <c r="U16" s="390">
        <f t="shared" si="4"/>
        <v>13378811</v>
      </c>
      <c r="V16" s="390">
        <f t="shared" si="5"/>
        <v>13378811</v>
      </c>
    </row>
    <row r="17" spans="1:22" s="159" customFormat="1" ht="32.25" customHeight="1" x14ac:dyDescent="0.25">
      <c r="A17" s="780"/>
      <c r="B17" s="802" t="s">
        <v>252</v>
      </c>
      <c r="C17" s="802"/>
      <c r="D17" s="633" t="s">
        <v>384</v>
      </c>
      <c r="E17" s="634">
        <f>SUM(E12:E16)</f>
        <v>38651021</v>
      </c>
      <c r="F17" s="634">
        <f t="shared" ref="F17:H17" si="8">SUM(F12:F16)</f>
        <v>56430</v>
      </c>
      <c r="G17" s="634">
        <f t="shared" si="8"/>
        <v>0</v>
      </c>
      <c r="H17" s="634">
        <f t="shared" si="8"/>
        <v>883059</v>
      </c>
      <c r="I17" s="634">
        <f>SUM(I12:I16)</f>
        <v>39590510</v>
      </c>
      <c r="J17" s="635">
        <f>SUM(J12:J16)</f>
        <v>39590510</v>
      </c>
      <c r="K17" s="636">
        <f>SUM(K12:K16)</f>
        <v>0</v>
      </c>
      <c r="L17" s="634">
        <f t="shared" ref="L17:P17" si="9">SUM(L12:L16)</f>
        <v>2230448</v>
      </c>
      <c r="M17" s="634">
        <v>2420188</v>
      </c>
      <c r="N17" s="634">
        <f t="shared" si="1"/>
        <v>132773</v>
      </c>
      <c r="O17" s="634">
        <f t="shared" si="9"/>
        <v>4783409</v>
      </c>
      <c r="P17" s="635">
        <f t="shared" si="9"/>
        <v>4783409</v>
      </c>
      <c r="Q17" s="637">
        <f>SUM(E17+K17)</f>
        <v>38651021</v>
      </c>
      <c r="R17" s="634">
        <v>2286878</v>
      </c>
      <c r="S17" s="634">
        <v>2420188</v>
      </c>
      <c r="T17" s="634">
        <f t="shared" si="3"/>
        <v>1015832</v>
      </c>
      <c r="U17" s="638">
        <f t="shared" si="4"/>
        <v>44373919</v>
      </c>
      <c r="V17" s="638">
        <f t="shared" si="5"/>
        <v>44373919</v>
      </c>
    </row>
    <row r="18" spans="1:22" s="150" customFormat="1" ht="22.5" customHeight="1" x14ac:dyDescent="0.25">
      <c r="A18" s="780"/>
      <c r="B18" s="797" t="s">
        <v>253</v>
      </c>
      <c r="C18" s="797"/>
      <c r="D18" s="621" t="s">
        <v>385</v>
      </c>
      <c r="E18" s="170">
        <f>E11+E17</f>
        <v>315032108</v>
      </c>
      <c r="F18" s="170">
        <f>F11+F17</f>
        <v>12840696</v>
      </c>
      <c r="G18" s="170">
        <f t="shared" ref="G18:H18" si="10">G11+G17</f>
        <v>12148369</v>
      </c>
      <c r="H18" s="170">
        <f t="shared" si="10"/>
        <v>4970043</v>
      </c>
      <c r="I18" s="402">
        <f>I11+I17</f>
        <v>344991216</v>
      </c>
      <c r="J18" s="403">
        <f>J11+J17</f>
        <v>344991216</v>
      </c>
      <c r="K18" s="404">
        <f>K11+K17</f>
        <v>0</v>
      </c>
      <c r="L18" s="170">
        <f t="shared" ref="L18:P18" si="11">L11+L17</f>
        <v>2230448</v>
      </c>
      <c r="M18" s="170">
        <v>2420188</v>
      </c>
      <c r="N18" s="170">
        <f t="shared" si="1"/>
        <v>132773</v>
      </c>
      <c r="O18" s="170">
        <f t="shared" si="11"/>
        <v>4783409</v>
      </c>
      <c r="P18" s="555">
        <f t="shared" si="11"/>
        <v>4783409</v>
      </c>
      <c r="Q18" s="405">
        <f>E18+K18</f>
        <v>315032108</v>
      </c>
      <c r="R18" s="170">
        <v>15071144</v>
      </c>
      <c r="S18" s="170">
        <v>14568557</v>
      </c>
      <c r="T18" s="170">
        <f t="shared" si="3"/>
        <v>5102816</v>
      </c>
      <c r="U18" s="402">
        <f t="shared" si="4"/>
        <v>349774625</v>
      </c>
      <c r="V18" s="402">
        <f t="shared" si="5"/>
        <v>349774625</v>
      </c>
    </row>
    <row r="19" spans="1:22" x14ac:dyDescent="0.25">
      <c r="A19" s="319"/>
      <c r="B19" s="151"/>
      <c r="C19" s="183" t="s">
        <v>448</v>
      </c>
      <c r="D19" s="385" t="s">
        <v>443</v>
      </c>
      <c r="E19" s="153">
        <v>0</v>
      </c>
      <c r="F19" s="153">
        <v>49996154</v>
      </c>
      <c r="G19" s="153">
        <v>28955408</v>
      </c>
      <c r="H19" s="153">
        <f t="shared" si="0"/>
        <v>51043571</v>
      </c>
      <c r="I19" s="153">
        <v>129995133</v>
      </c>
      <c r="J19" s="552">
        <v>129995133</v>
      </c>
      <c r="K19" s="392">
        <v>0</v>
      </c>
      <c r="L19" s="153">
        <v>0</v>
      </c>
      <c r="M19" s="153">
        <v>0</v>
      </c>
      <c r="N19" s="153">
        <f t="shared" si="1"/>
        <v>0</v>
      </c>
      <c r="O19" s="393"/>
      <c r="P19" s="394"/>
      <c r="Q19" s="395">
        <f t="shared" ref="Q19" si="12">SUM(E19+K19)</f>
        <v>0</v>
      </c>
      <c r="R19" s="153">
        <v>49996154</v>
      </c>
      <c r="S19" s="153">
        <v>28955408</v>
      </c>
      <c r="T19" s="153">
        <f t="shared" si="3"/>
        <v>51043571</v>
      </c>
      <c r="U19" s="390">
        <f t="shared" si="4"/>
        <v>129995133</v>
      </c>
      <c r="V19" s="390">
        <f t="shared" si="5"/>
        <v>129995133</v>
      </c>
    </row>
    <row r="20" spans="1:22" s="159" customFormat="1" ht="18.75" customHeight="1" x14ac:dyDescent="0.25">
      <c r="A20" s="154"/>
      <c r="B20" s="802" t="s">
        <v>357</v>
      </c>
      <c r="C20" s="802"/>
      <c r="D20" s="383" t="s">
        <v>443</v>
      </c>
      <c r="E20" s="634">
        <f>SUM(E19)</f>
        <v>0</v>
      </c>
      <c r="F20" s="634">
        <f t="shared" ref="F20:J20" si="13">SUM(F19)</f>
        <v>49996154</v>
      </c>
      <c r="G20" s="634">
        <f t="shared" si="13"/>
        <v>28955408</v>
      </c>
      <c r="H20" s="634">
        <f t="shared" si="13"/>
        <v>51043571</v>
      </c>
      <c r="I20" s="634">
        <f t="shared" si="13"/>
        <v>129995133</v>
      </c>
      <c r="J20" s="635">
        <f t="shared" si="13"/>
        <v>129995133</v>
      </c>
      <c r="K20" s="636">
        <f>SUM(K19)</f>
        <v>0</v>
      </c>
      <c r="L20" s="634">
        <v>0</v>
      </c>
      <c r="M20" s="634">
        <v>0</v>
      </c>
      <c r="N20" s="634">
        <f t="shared" si="1"/>
        <v>0</v>
      </c>
      <c r="O20" s="634">
        <f t="shared" ref="O20:P20" si="14">SUM(O19)</f>
        <v>0</v>
      </c>
      <c r="P20" s="635">
        <f t="shared" si="14"/>
        <v>0</v>
      </c>
      <c r="Q20" s="637">
        <f>SUM(E20+K20)</f>
        <v>0</v>
      </c>
      <c r="R20" s="634">
        <v>49996154</v>
      </c>
      <c r="S20" s="634">
        <v>28955408</v>
      </c>
      <c r="T20" s="634">
        <f t="shared" si="3"/>
        <v>51043571</v>
      </c>
      <c r="U20" s="638">
        <f t="shared" si="4"/>
        <v>129995133</v>
      </c>
      <c r="V20" s="638">
        <f t="shared" si="5"/>
        <v>129995133</v>
      </c>
    </row>
    <row r="21" spans="1:22" s="150" customFormat="1" ht="22.5" customHeight="1" x14ac:dyDescent="0.25">
      <c r="A21" s="319"/>
      <c r="B21" s="797" t="s">
        <v>358</v>
      </c>
      <c r="C21" s="797"/>
      <c r="D21" s="621" t="s">
        <v>444</v>
      </c>
      <c r="E21" s="170">
        <f t="shared" ref="E21:K21" si="15">E20</f>
        <v>0</v>
      </c>
      <c r="F21" s="170">
        <f t="shared" si="15"/>
        <v>49996154</v>
      </c>
      <c r="G21" s="170">
        <f t="shared" si="15"/>
        <v>28955408</v>
      </c>
      <c r="H21" s="170">
        <f t="shared" si="15"/>
        <v>51043571</v>
      </c>
      <c r="I21" s="170">
        <f t="shared" si="15"/>
        <v>129995133</v>
      </c>
      <c r="J21" s="555">
        <f t="shared" si="15"/>
        <v>129995133</v>
      </c>
      <c r="K21" s="404">
        <f t="shared" si="15"/>
        <v>0</v>
      </c>
      <c r="L21" s="170">
        <v>0</v>
      </c>
      <c r="M21" s="170">
        <v>0</v>
      </c>
      <c r="N21" s="170">
        <f t="shared" si="1"/>
        <v>0</v>
      </c>
      <c r="O21" s="170">
        <f>O20</f>
        <v>0</v>
      </c>
      <c r="P21" s="555">
        <f>P20</f>
        <v>0</v>
      </c>
      <c r="Q21" s="405">
        <f>E21+K21</f>
        <v>0</v>
      </c>
      <c r="R21" s="170">
        <v>49996154</v>
      </c>
      <c r="S21" s="170">
        <v>28955408</v>
      </c>
      <c r="T21" s="170">
        <f t="shared" si="3"/>
        <v>51043571</v>
      </c>
      <c r="U21" s="402">
        <f t="shared" si="4"/>
        <v>129995133</v>
      </c>
      <c r="V21" s="402">
        <f t="shared" si="5"/>
        <v>129995133</v>
      </c>
    </row>
    <row r="22" spans="1:22" s="148" customFormat="1" x14ac:dyDescent="0.25">
      <c r="A22" s="551"/>
      <c r="B22" s="798" t="s">
        <v>456</v>
      </c>
      <c r="C22" s="798"/>
      <c r="D22" s="618" t="s">
        <v>469</v>
      </c>
      <c r="E22" s="169"/>
      <c r="F22" s="169">
        <v>0</v>
      </c>
      <c r="G22" s="169">
        <v>0</v>
      </c>
      <c r="H22" s="169">
        <f t="shared" ref="H22" si="16">I22-E22-F22-G22</f>
        <v>9002</v>
      </c>
      <c r="I22" s="169">
        <v>9002</v>
      </c>
      <c r="J22" s="554">
        <v>9002</v>
      </c>
      <c r="K22" s="400">
        <v>0</v>
      </c>
      <c r="L22" s="556">
        <v>0</v>
      </c>
      <c r="M22" s="556">
        <v>0</v>
      </c>
      <c r="N22" s="556">
        <f t="shared" si="1"/>
        <v>0</v>
      </c>
      <c r="O22" s="169">
        <f t="shared" ref="O22" si="17">P22-K22-L22-M22</f>
        <v>0</v>
      </c>
      <c r="P22" s="169"/>
      <c r="Q22" s="554"/>
      <c r="R22" s="400">
        <f>E22+K22</f>
        <v>0</v>
      </c>
      <c r="S22" s="400">
        <v>0</v>
      </c>
      <c r="T22" s="556">
        <f t="shared" si="3"/>
        <v>9002</v>
      </c>
      <c r="U22" s="556">
        <v>0</v>
      </c>
      <c r="V22" s="398">
        <f t="shared" ref="V22:V48" si="18">J22+P22</f>
        <v>9002</v>
      </c>
    </row>
    <row r="23" spans="1:22" s="148" customFormat="1" x14ac:dyDescent="0.25">
      <c r="A23" s="780" t="s">
        <v>43</v>
      </c>
      <c r="B23" s="804" t="s">
        <v>236</v>
      </c>
      <c r="C23" s="805"/>
      <c r="D23" s="624" t="s">
        <v>386</v>
      </c>
      <c r="E23" s="169">
        <v>6400000</v>
      </c>
      <c r="F23" s="169">
        <v>0</v>
      </c>
      <c r="G23" s="169">
        <v>0</v>
      </c>
      <c r="H23" s="169">
        <f>I23-E23-F23-G23</f>
        <v>740149</v>
      </c>
      <c r="I23" s="398">
        <v>7140149</v>
      </c>
      <c r="J23" s="399">
        <v>6291148</v>
      </c>
      <c r="K23" s="400">
        <v>0</v>
      </c>
      <c r="L23" s="169"/>
      <c r="M23" s="169">
        <v>0</v>
      </c>
      <c r="N23" s="169">
        <f t="shared" si="1"/>
        <v>0</v>
      </c>
      <c r="O23" s="169"/>
      <c r="P23" s="554"/>
      <c r="Q23" s="401">
        <f>SUM(E23+K23)</f>
        <v>6400000</v>
      </c>
      <c r="R23" s="169">
        <v>0</v>
      </c>
      <c r="S23" s="169">
        <v>0</v>
      </c>
      <c r="T23" s="169">
        <f t="shared" si="3"/>
        <v>740149</v>
      </c>
      <c r="U23" s="398">
        <f t="shared" ref="U23:U48" si="19">I23+O23</f>
        <v>7140149</v>
      </c>
      <c r="V23" s="398">
        <f t="shared" si="18"/>
        <v>6291148</v>
      </c>
    </row>
    <row r="24" spans="1:22" x14ac:dyDescent="0.25">
      <c r="A24" s="780"/>
      <c r="B24" s="155" t="s">
        <v>42</v>
      </c>
      <c r="C24" s="152" t="s">
        <v>228</v>
      </c>
      <c r="D24" s="152" t="s">
        <v>387</v>
      </c>
      <c r="E24" s="153">
        <v>150900000</v>
      </c>
      <c r="F24" s="153">
        <v>0</v>
      </c>
      <c r="G24" s="153">
        <v>0</v>
      </c>
      <c r="H24" s="153">
        <f t="shared" si="0"/>
        <v>37804234</v>
      </c>
      <c r="I24" s="390">
        <v>188704234</v>
      </c>
      <c r="J24" s="391">
        <v>179364059</v>
      </c>
      <c r="K24" s="392">
        <v>0</v>
      </c>
      <c r="L24" s="153"/>
      <c r="M24" s="153">
        <v>0</v>
      </c>
      <c r="N24" s="153">
        <f t="shared" si="1"/>
        <v>0</v>
      </c>
      <c r="O24" s="153"/>
      <c r="P24" s="552"/>
      <c r="Q24" s="395">
        <f t="shared" ref="Q24:Q26" si="20">SUM(E24+K24)</f>
        <v>150900000</v>
      </c>
      <c r="R24" s="153">
        <v>0</v>
      </c>
      <c r="S24" s="153">
        <v>0</v>
      </c>
      <c r="T24" s="153">
        <f t="shared" si="3"/>
        <v>37804234</v>
      </c>
      <c r="U24" s="390">
        <f t="shared" si="19"/>
        <v>188704234</v>
      </c>
      <c r="V24" s="390">
        <f t="shared" si="18"/>
        <v>179364059</v>
      </c>
    </row>
    <row r="25" spans="1:22" x14ac:dyDescent="0.25">
      <c r="A25" s="780"/>
      <c r="B25" s="155" t="s">
        <v>43</v>
      </c>
      <c r="C25" s="152" t="s">
        <v>237</v>
      </c>
      <c r="D25" s="152" t="s">
        <v>388</v>
      </c>
      <c r="E25" s="153">
        <v>12900000</v>
      </c>
      <c r="F25" s="153">
        <v>0</v>
      </c>
      <c r="G25" s="153">
        <v>0</v>
      </c>
      <c r="H25" s="153">
        <f t="shared" si="0"/>
        <v>2593841</v>
      </c>
      <c r="I25" s="390">
        <v>15493841</v>
      </c>
      <c r="J25" s="391">
        <v>14105534</v>
      </c>
      <c r="K25" s="392">
        <v>0</v>
      </c>
      <c r="L25" s="153"/>
      <c r="M25" s="153">
        <v>0</v>
      </c>
      <c r="N25" s="153">
        <f t="shared" si="1"/>
        <v>0</v>
      </c>
      <c r="O25" s="153"/>
      <c r="P25" s="552"/>
      <c r="Q25" s="395">
        <f t="shared" si="20"/>
        <v>12900000</v>
      </c>
      <c r="R25" s="153">
        <v>0</v>
      </c>
      <c r="S25" s="153">
        <v>0</v>
      </c>
      <c r="T25" s="153">
        <f t="shared" si="3"/>
        <v>2593841</v>
      </c>
      <c r="U25" s="390">
        <f t="shared" si="19"/>
        <v>15493841</v>
      </c>
      <c r="V25" s="390">
        <f t="shared" si="18"/>
        <v>14105534</v>
      </c>
    </row>
    <row r="26" spans="1:22" x14ac:dyDescent="0.25">
      <c r="A26" s="780"/>
      <c r="B26" s="155" t="s">
        <v>44</v>
      </c>
      <c r="C26" s="152" t="s">
        <v>229</v>
      </c>
      <c r="D26" s="152" t="s">
        <v>389</v>
      </c>
      <c r="E26" s="153">
        <v>600000</v>
      </c>
      <c r="F26" s="153">
        <v>0</v>
      </c>
      <c r="G26" s="153">
        <v>0</v>
      </c>
      <c r="H26" s="153">
        <f t="shared" si="0"/>
        <v>-144000</v>
      </c>
      <c r="I26" s="390">
        <v>456000</v>
      </c>
      <c r="J26" s="391">
        <v>452000</v>
      </c>
      <c r="K26" s="392">
        <v>0</v>
      </c>
      <c r="L26" s="153"/>
      <c r="M26" s="153">
        <v>0</v>
      </c>
      <c r="N26" s="153">
        <f t="shared" si="1"/>
        <v>0</v>
      </c>
      <c r="O26" s="153"/>
      <c r="P26" s="552"/>
      <c r="Q26" s="395">
        <f t="shared" si="20"/>
        <v>600000</v>
      </c>
      <c r="R26" s="153">
        <v>0</v>
      </c>
      <c r="S26" s="153">
        <v>0</v>
      </c>
      <c r="T26" s="153">
        <f t="shared" si="3"/>
        <v>-144000</v>
      </c>
      <c r="U26" s="390">
        <f t="shared" si="19"/>
        <v>456000</v>
      </c>
      <c r="V26" s="390">
        <f t="shared" si="18"/>
        <v>452000</v>
      </c>
    </row>
    <row r="27" spans="1:22" ht="17.25" customHeight="1" x14ac:dyDescent="0.25">
      <c r="A27" s="780"/>
      <c r="B27" s="798" t="s">
        <v>282</v>
      </c>
      <c r="C27" s="798"/>
      <c r="D27" s="624" t="s">
        <v>390</v>
      </c>
      <c r="E27" s="169">
        <f>SUM(E24:E26)</f>
        <v>164400000</v>
      </c>
      <c r="F27" s="169">
        <f t="shared" ref="F27:H27" si="21">SUM(F24:F26)</f>
        <v>0</v>
      </c>
      <c r="G27" s="169">
        <f t="shared" si="21"/>
        <v>0</v>
      </c>
      <c r="H27" s="169">
        <f t="shared" si="21"/>
        <v>40254075</v>
      </c>
      <c r="I27" s="398">
        <f t="shared" ref="I27:J27" si="22">SUM(I24:I26)</f>
        <v>204654075</v>
      </c>
      <c r="J27" s="399">
        <f t="shared" si="22"/>
        <v>193921593</v>
      </c>
      <c r="K27" s="400">
        <f>SUM(K24:K26)</f>
        <v>0</v>
      </c>
      <c r="L27" s="169"/>
      <c r="M27" s="169">
        <v>0</v>
      </c>
      <c r="N27" s="169">
        <f t="shared" si="1"/>
        <v>0</v>
      </c>
      <c r="O27" s="406"/>
      <c r="P27" s="407"/>
      <c r="Q27" s="401">
        <f>SUM(E27+K27)</f>
        <v>164400000</v>
      </c>
      <c r="R27" s="169">
        <v>0</v>
      </c>
      <c r="S27" s="169">
        <v>0</v>
      </c>
      <c r="T27" s="169">
        <f t="shared" si="3"/>
        <v>40254075</v>
      </c>
      <c r="U27" s="398">
        <f t="shared" si="19"/>
        <v>204654075</v>
      </c>
      <c r="V27" s="398">
        <f t="shared" si="18"/>
        <v>193921593</v>
      </c>
    </row>
    <row r="28" spans="1:22" s="148" customFormat="1" ht="18.75" customHeight="1" x14ac:dyDescent="0.25">
      <c r="A28" s="780"/>
      <c r="B28" s="798" t="s">
        <v>230</v>
      </c>
      <c r="C28" s="798"/>
      <c r="D28" s="624" t="s">
        <v>391</v>
      </c>
      <c r="E28" s="169">
        <v>100000</v>
      </c>
      <c r="F28" s="169">
        <v>0</v>
      </c>
      <c r="G28" s="169">
        <v>0</v>
      </c>
      <c r="H28" s="169">
        <f t="shared" si="0"/>
        <v>941576</v>
      </c>
      <c r="I28" s="398">
        <v>1041576</v>
      </c>
      <c r="J28" s="399">
        <v>347987</v>
      </c>
      <c r="K28" s="400">
        <v>0</v>
      </c>
      <c r="L28" s="169"/>
      <c r="M28" s="169">
        <v>0</v>
      </c>
      <c r="N28" s="169">
        <f t="shared" si="1"/>
        <v>0</v>
      </c>
      <c r="O28" s="406"/>
      <c r="P28" s="407"/>
      <c r="Q28" s="401">
        <f>SUM(E28+K28)</f>
        <v>100000</v>
      </c>
      <c r="R28" s="169">
        <v>0</v>
      </c>
      <c r="S28" s="169">
        <v>0</v>
      </c>
      <c r="T28" s="169">
        <f t="shared" si="3"/>
        <v>941576</v>
      </c>
      <c r="U28" s="398">
        <f t="shared" si="19"/>
        <v>1041576</v>
      </c>
      <c r="V28" s="398">
        <f t="shared" si="18"/>
        <v>347987</v>
      </c>
    </row>
    <row r="29" spans="1:22" s="150" customFormat="1" ht="18" customHeight="1" x14ac:dyDescent="0.25">
      <c r="A29" s="780"/>
      <c r="B29" s="797" t="s">
        <v>238</v>
      </c>
      <c r="C29" s="797"/>
      <c r="D29" s="621" t="s">
        <v>392</v>
      </c>
      <c r="E29" s="170">
        <f>E23+E27+E28</f>
        <v>170900000</v>
      </c>
      <c r="F29" s="170">
        <f>F23+F27+F28</f>
        <v>0</v>
      </c>
      <c r="G29" s="170">
        <f>G23+G27+G28</f>
        <v>0</v>
      </c>
      <c r="H29" s="170">
        <f>H23+H27+H28+H22</f>
        <v>41944802</v>
      </c>
      <c r="I29" s="402">
        <f>I23+I27+I28+I22</f>
        <v>212844802</v>
      </c>
      <c r="J29" s="403">
        <f>J23+J27+J28+J22</f>
        <v>200569730</v>
      </c>
      <c r="K29" s="404">
        <f>K23+K27+K28</f>
        <v>0</v>
      </c>
      <c r="L29" s="170"/>
      <c r="M29" s="170">
        <v>0</v>
      </c>
      <c r="N29" s="170">
        <f t="shared" si="1"/>
        <v>0</v>
      </c>
      <c r="O29" s="408"/>
      <c r="P29" s="409"/>
      <c r="Q29" s="405">
        <f>E29+K29</f>
        <v>170900000</v>
      </c>
      <c r="R29" s="170">
        <v>0</v>
      </c>
      <c r="S29" s="170">
        <v>0</v>
      </c>
      <c r="T29" s="170">
        <f t="shared" si="3"/>
        <v>41944802</v>
      </c>
      <c r="U29" s="402">
        <f t="shared" si="19"/>
        <v>212844802</v>
      </c>
      <c r="V29" s="402">
        <f t="shared" si="18"/>
        <v>200569730</v>
      </c>
    </row>
    <row r="30" spans="1:22" x14ac:dyDescent="0.25">
      <c r="A30" s="780" t="s">
        <v>44</v>
      </c>
      <c r="B30" s="156"/>
      <c r="C30" s="152" t="s">
        <v>471</v>
      </c>
      <c r="D30" s="152" t="s">
        <v>393</v>
      </c>
      <c r="E30" s="153">
        <v>3827000</v>
      </c>
      <c r="F30" s="153">
        <v>0</v>
      </c>
      <c r="G30" s="153">
        <v>0</v>
      </c>
      <c r="H30" s="153">
        <f t="shared" si="0"/>
        <v>-461818</v>
      </c>
      <c r="I30" s="390">
        <v>3365182</v>
      </c>
      <c r="J30" s="391">
        <v>3365182</v>
      </c>
      <c r="K30" s="392">
        <v>0</v>
      </c>
      <c r="L30" s="153"/>
      <c r="M30" s="153">
        <v>0</v>
      </c>
      <c r="N30" s="153">
        <f t="shared" si="1"/>
        <v>0</v>
      </c>
      <c r="O30" s="393"/>
      <c r="P30" s="394"/>
      <c r="Q30" s="395">
        <f t="shared" ref="Q30:Q47" si="23">SUM(E30+K30)</f>
        <v>3827000</v>
      </c>
      <c r="R30" s="153">
        <v>0</v>
      </c>
      <c r="S30" s="153">
        <v>0</v>
      </c>
      <c r="T30" s="153">
        <f t="shared" si="3"/>
        <v>-461818</v>
      </c>
      <c r="U30" s="390">
        <f t="shared" si="19"/>
        <v>3365182</v>
      </c>
      <c r="V30" s="390">
        <f t="shared" si="18"/>
        <v>3365182</v>
      </c>
    </row>
    <row r="31" spans="1:22" s="298" customFormat="1" x14ac:dyDescent="0.25">
      <c r="A31" s="780"/>
      <c r="B31" s="410"/>
      <c r="C31" s="303" t="s">
        <v>449</v>
      </c>
      <c r="D31" s="152" t="s">
        <v>470</v>
      </c>
      <c r="E31" s="296">
        <v>0</v>
      </c>
      <c r="F31" s="296">
        <v>0</v>
      </c>
      <c r="G31" s="296">
        <v>0</v>
      </c>
      <c r="H31" s="296">
        <f t="shared" si="0"/>
        <v>0</v>
      </c>
      <c r="I31" s="396">
        <v>0</v>
      </c>
      <c r="J31" s="397">
        <v>0</v>
      </c>
      <c r="K31" s="411">
        <v>0</v>
      </c>
      <c r="L31" s="296">
        <v>0</v>
      </c>
      <c r="M31" s="296">
        <v>555427</v>
      </c>
      <c r="N31" s="296">
        <f t="shared" si="1"/>
        <v>0</v>
      </c>
      <c r="O31" s="296">
        <v>555427</v>
      </c>
      <c r="P31" s="553">
        <v>555427</v>
      </c>
      <c r="Q31" s="412">
        <f t="shared" si="23"/>
        <v>0</v>
      </c>
      <c r="R31" s="296">
        <v>0</v>
      </c>
      <c r="S31" s="296">
        <v>555427</v>
      </c>
      <c r="T31" s="296">
        <f t="shared" si="3"/>
        <v>0</v>
      </c>
      <c r="U31" s="396">
        <f t="shared" si="19"/>
        <v>555427</v>
      </c>
      <c r="V31" s="396">
        <f t="shared" si="18"/>
        <v>555427</v>
      </c>
    </row>
    <row r="32" spans="1:22" x14ac:dyDescent="0.25">
      <c r="A32" s="780"/>
      <c r="B32" s="156"/>
      <c r="C32" s="152" t="s">
        <v>472</v>
      </c>
      <c r="D32" s="152" t="s">
        <v>394</v>
      </c>
      <c r="E32" s="153">
        <v>112778</v>
      </c>
      <c r="F32" s="153">
        <v>606700</v>
      </c>
      <c r="G32" s="153">
        <v>772502</v>
      </c>
      <c r="H32" s="153">
        <f t="shared" si="0"/>
        <v>-237908</v>
      </c>
      <c r="I32" s="390">
        <v>1254072</v>
      </c>
      <c r="J32" s="391">
        <v>1254072</v>
      </c>
      <c r="K32" s="392">
        <v>2000000</v>
      </c>
      <c r="L32" s="153">
        <v>0</v>
      </c>
      <c r="M32" s="153">
        <v>104926</v>
      </c>
      <c r="N32" s="153">
        <f t="shared" si="1"/>
        <v>-156080</v>
      </c>
      <c r="O32" s="153">
        <v>1948846</v>
      </c>
      <c r="P32" s="552">
        <v>1948846</v>
      </c>
      <c r="Q32" s="395">
        <f t="shared" si="23"/>
        <v>2112778</v>
      </c>
      <c r="R32" s="153">
        <v>606700</v>
      </c>
      <c r="S32" s="153">
        <v>877428</v>
      </c>
      <c r="T32" s="153">
        <f t="shared" si="3"/>
        <v>-393988</v>
      </c>
      <c r="U32" s="390">
        <f t="shared" si="19"/>
        <v>3202918</v>
      </c>
      <c r="V32" s="390">
        <f t="shared" si="18"/>
        <v>3202918</v>
      </c>
    </row>
    <row r="33" spans="1:24" x14ac:dyDescent="0.25">
      <c r="A33" s="780"/>
      <c r="B33" s="156"/>
      <c r="C33" s="152" t="s">
        <v>473</v>
      </c>
      <c r="D33" s="152" t="s">
        <v>395</v>
      </c>
      <c r="E33" s="153">
        <v>0</v>
      </c>
      <c r="F33" s="153">
        <v>241671</v>
      </c>
      <c r="G33" s="153">
        <v>120836</v>
      </c>
      <c r="H33" s="153">
        <f t="shared" si="0"/>
        <v>0</v>
      </c>
      <c r="I33" s="390">
        <v>362507</v>
      </c>
      <c r="J33" s="391">
        <v>362507</v>
      </c>
      <c r="K33" s="392">
        <v>0</v>
      </c>
      <c r="L33" s="153">
        <v>0</v>
      </c>
      <c r="M33" s="153">
        <v>0</v>
      </c>
      <c r="N33" s="153">
        <f t="shared" si="1"/>
        <v>0</v>
      </c>
      <c r="O33" s="393"/>
      <c r="P33" s="394"/>
      <c r="Q33" s="395">
        <f t="shared" si="23"/>
        <v>0</v>
      </c>
      <c r="R33" s="153">
        <v>241671</v>
      </c>
      <c r="S33" s="153">
        <v>120836</v>
      </c>
      <c r="T33" s="153">
        <f t="shared" si="3"/>
        <v>0</v>
      </c>
      <c r="U33" s="390">
        <f t="shared" si="19"/>
        <v>362507</v>
      </c>
      <c r="V33" s="390">
        <f t="shared" si="18"/>
        <v>362507</v>
      </c>
    </row>
    <row r="34" spans="1:24" x14ac:dyDescent="0.25">
      <c r="A34" s="780"/>
      <c r="B34" s="156"/>
      <c r="C34" s="152" t="s">
        <v>474</v>
      </c>
      <c r="D34" s="152" t="s">
        <v>396</v>
      </c>
      <c r="E34" s="153">
        <v>6192650</v>
      </c>
      <c r="F34" s="153">
        <v>0</v>
      </c>
      <c r="G34" s="153">
        <v>0</v>
      </c>
      <c r="H34" s="153">
        <f t="shared" si="0"/>
        <v>1412967</v>
      </c>
      <c r="I34" s="390">
        <v>7605617</v>
      </c>
      <c r="J34" s="391">
        <v>7605617</v>
      </c>
      <c r="K34" s="392">
        <v>0</v>
      </c>
      <c r="L34" s="153">
        <v>0</v>
      </c>
      <c r="M34" s="153">
        <v>0</v>
      </c>
      <c r="N34" s="153">
        <f t="shared" si="1"/>
        <v>0</v>
      </c>
      <c r="O34" s="393"/>
      <c r="P34" s="394"/>
      <c r="Q34" s="395">
        <f t="shared" si="23"/>
        <v>6192650</v>
      </c>
      <c r="R34" s="153">
        <v>0</v>
      </c>
      <c r="S34" s="153">
        <v>0</v>
      </c>
      <c r="T34" s="153">
        <f t="shared" si="3"/>
        <v>1412967</v>
      </c>
      <c r="U34" s="390">
        <f t="shared" si="19"/>
        <v>7605617</v>
      </c>
      <c r="V34" s="390">
        <f t="shared" si="18"/>
        <v>7605617</v>
      </c>
    </row>
    <row r="35" spans="1:24" x14ac:dyDescent="0.25">
      <c r="A35" s="780"/>
      <c r="B35" s="156"/>
      <c r="C35" s="152" t="s">
        <v>244</v>
      </c>
      <c r="D35" s="152" t="s">
        <v>397</v>
      </c>
      <c r="E35" s="153">
        <v>1667426</v>
      </c>
      <c r="F35" s="153">
        <v>0</v>
      </c>
      <c r="G35" s="153">
        <v>146215</v>
      </c>
      <c r="H35" s="153">
        <f t="shared" si="0"/>
        <v>539743</v>
      </c>
      <c r="I35" s="390">
        <v>2353384</v>
      </c>
      <c r="J35" s="391">
        <v>2353384</v>
      </c>
      <c r="K35" s="392">
        <v>0</v>
      </c>
      <c r="L35" s="153">
        <v>0</v>
      </c>
      <c r="M35" s="153">
        <v>0</v>
      </c>
      <c r="N35" s="153">
        <f t="shared" si="1"/>
        <v>0</v>
      </c>
      <c r="O35" s="393"/>
      <c r="P35" s="394"/>
      <c r="Q35" s="395">
        <f t="shared" si="23"/>
        <v>1667426</v>
      </c>
      <c r="R35" s="153">
        <v>0</v>
      </c>
      <c r="S35" s="153">
        <v>146215</v>
      </c>
      <c r="T35" s="153">
        <f t="shared" si="3"/>
        <v>539743</v>
      </c>
      <c r="U35" s="390">
        <f t="shared" si="19"/>
        <v>2353384</v>
      </c>
      <c r="V35" s="390">
        <f t="shared" si="18"/>
        <v>2353384</v>
      </c>
    </row>
    <row r="36" spans="1:24" x14ac:dyDescent="0.25">
      <c r="A36" s="780"/>
      <c r="B36" s="156"/>
      <c r="C36" s="152" t="s">
        <v>245</v>
      </c>
      <c r="D36" s="152" t="s">
        <v>398</v>
      </c>
      <c r="E36" s="153">
        <v>3435000</v>
      </c>
      <c r="F36" s="153">
        <v>202990</v>
      </c>
      <c r="G36" s="153">
        <v>593156</v>
      </c>
      <c r="H36" s="153">
        <f t="shared" si="0"/>
        <v>48823</v>
      </c>
      <c r="I36" s="390">
        <v>4279969</v>
      </c>
      <c r="J36" s="391">
        <v>4279969</v>
      </c>
      <c r="K36" s="392">
        <v>0</v>
      </c>
      <c r="L36" s="153">
        <v>0</v>
      </c>
      <c r="M36" s="153">
        <v>0</v>
      </c>
      <c r="N36" s="153">
        <f t="shared" si="1"/>
        <v>0</v>
      </c>
      <c r="O36" s="393"/>
      <c r="P36" s="394"/>
      <c r="Q36" s="395">
        <f t="shared" si="23"/>
        <v>3435000</v>
      </c>
      <c r="R36" s="153">
        <v>202990</v>
      </c>
      <c r="S36" s="153">
        <v>593156</v>
      </c>
      <c r="T36" s="153">
        <f t="shared" si="3"/>
        <v>48823</v>
      </c>
      <c r="U36" s="390">
        <f t="shared" si="19"/>
        <v>4279969</v>
      </c>
      <c r="V36" s="390">
        <f t="shared" si="18"/>
        <v>4279969</v>
      </c>
    </row>
    <row r="37" spans="1:24" s="414" customFormat="1" ht="13.5" customHeight="1" x14ac:dyDescent="0.25">
      <c r="A37" s="780"/>
      <c r="B37" s="413"/>
      <c r="C37" s="152" t="s">
        <v>475</v>
      </c>
      <c r="D37" s="152" t="s">
        <v>399</v>
      </c>
      <c r="E37" s="153">
        <v>250000</v>
      </c>
      <c r="F37" s="153">
        <v>2398832</v>
      </c>
      <c r="G37" s="153">
        <v>1715815</v>
      </c>
      <c r="H37" s="153">
        <f t="shared" si="0"/>
        <v>44353</v>
      </c>
      <c r="I37" s="390">
        <v>4409000</v>
      </c>
      <c r="J37" s="391">
        <v>4409000</v>
      </c>
      <c r="K37" s="392">
        <v>1200</v>
      </c>
      <c r="L37" s="153">
        <v>-20</v>
      </c>
      <c r="M37" s="153">
        <v>0</v>
      </c>
      <c r="N37" s="153">
        <f t="shared" si="1"/>
        <v>874</v>
      </c>
      <c r="O37" s="153">
        <v>2054</v>
      </c>
      <c r="P37" s="552">
        <v>2054</v>
      </c>
      <c r="Q37" s="395">
        <f t="shared" si="23"/>
        <v>251200</v>
      </c>
      <c r="R37" s="153">
        <v>2398812</v>
      </c>
      <c r="S37" s="153">
        <v>1715815</v>
      </c>
      <c r="T37" s="153">
        <f t="shared" si="3"/>
        <v>45227</v>
      </c>
      <c r="U37" s="390">
        <f t="shared" si="19"/>
        <v>4411054</v>
      </c>
      <c r="V37" s="390">
        <f t="shared" si="18"/>
        <v>4411054</v>
      </c>
    </row>
    <row r="38" spans="1:24" x14ac:dyDescent="0.25">
      <c r="A38" s="780"/>
      <c r="B38" s="156"/>
      <c r="C38" s="152" t="s">
        <v>476</v>
      </c>
      <c r="D38" s="152" t="s">
        <v>400</v>
      </c>
      <c r="E38" s="153">
        <v>1000</v>
      </c>
      <c r="F38" s="153">
        <v>286725</v>
      </c>
      <c r="G38" s="153">
        <v>107171</v>
      </c>
      <c r="H38" s="153">
        <f t="shared" si="0"/>
        <v>6924111</v>
      </c>
      <c r="I38" s="390">
        <v>7319007</v>
      </c>
      <c r="J38" s="391">
        <v>7319007</v>
      </c>
      <c r="K38" s="392">
        <v>0</v>
      </c>
      <c r="L38" s="153">
        <v>107</v>
      </c>
      <c r="M38" s="153">
        <v>0</v>
      </c>
      <c r="N38" s="153">
        <f t="shared" si="1"/>
        <v>16</v>
      </c>
      <c r="O38" s="153">
        <v>123</v>
      </c>
      <c r="P38" s="552">
        <v>123</v>
      </c>
      <c r="Q38" s="395">
        <f t="shared" si="23"/>
        <v>1000</v>
      </c>
      <c r="R38" s="153">
        <v>286832</v>
      </c>
      <c r="S38" s="153">
        <v>107171</v>
      </c>
      <c r="T38" s="153">
        <f t="shared" si="3"/>
        <v>6924127</v>
      </c>
      <c r="U38" s="390">
        <f t="shared" si="19"/>
        <v>7319130</v>
      </c>
      <c r="V38" s="390">
        <f t="shared" si="18"/>
        <v>7319130</v>
      </c>
    </row>
    <row r="39" spans="1:24" x14ac:dyDescent="0.25">
      <c r="A39" s="780"/>
      <c r="B39" s="781" t="s">
        <v>239</v>
      </c>
      <c r="C39" s="781"/>
      <c r="D39" s="622" t="s">
        <v>401</v>
      </c>
      <c r="E39" s="171">
        <f>SUM(E30:E38)</f>
        <v>15485854</v>
      </c>
      <c r="F39" s="171">
        <f t="shared" ref="F39:H39" si="24">SUM(F30:F38)</f>
        <v>3736918</v>
      </c>
      <c r="G39" s="171">
        <f t="shared" si="24"/>
        <v>3455695</v>
      </c>
      <c r="H39" s="171">
        <f t="shared" si="24"/>
        <v>8270271</v>
      </c>
      <c r="I39" s="304">
        <f t="shared" ref="I39:J39" si="25">SUM(I30:I38)</f>
        <v>30948738</v>
      </c>
      <c r="J39" s="415">
        <f t="shared" si="25"/>
        <v>30948738</v>
      </c>
      <c r="K39" s="416">
        <f>SUM(K30:K38)</f>
        <v>2001200</v>
      </c>
      <c r="L39" s="171">
        <v>87</v>
      </c>
      <c r="M39" s="171">
        <v>660353</v>
      </c>
      <c r="N39" s="171">
        <f t="shared" si="1"/>
        <v>-155190</v>
      </c>
      <c r="O39" s="171">
        <f t="shared" ref="O39:P39" si="26">SUM(O30:O38)</f>
        <v>2506450</v>
      </c>
      <c r="P39" s="557">
        <f t="shared" si="26"/>
        <v>2506450</v>
      </c>
      <c r="Q39" s="405">
        <f>E39+K39</f>
        <v>17487054</v>
      </c>
      <c r="R39" s="170">
        <v>3737005</v>
      </c>
      <c r="S39" s="170">
        <v>4116048</v>
      </c>
      <c r="T39" s="170">
        <f t="shared" si="3"/>
        <v>8115081</v>
      </c>
      <c r="U39" s="402">
        <f t="shared" si="19"/>
        <v>33455188</v>
      </c>
      <c r="V39" s="402">
        <f t="shared" si="18"/>
        <v>33455188</v>
      </c>
      <c r="X39" s="147"/>
    </row>
    <row r="40" spans="1:24" ht="20.25" customHeight="1" x14ac:dyDescent="0.25">
      <c r="A40" s="780" t="s">
        <v>45</v>
      </c>
      <c r="B40" s="156"/>
      <c r="C40" s="152" t="s">
        <v>247</v>
      </c>
      <c r="D40" s="152" t="s">
        <v>477</v>
      </c>
      <c r="E40" s="153">
        <v>2372880</v>
      </c>
      <c r="F40" s="153">
        <v>0</v>
      </c>
      <c r="G40" s="153">
        <v>0</v>
      </c>
      <c r="H40" s="153">
        <f t="shared" si="0"/>
        <v>0</v>
      </c>
      <c r="I40" s="390">
        <v>2372880</v>
      </c>
      <c r="J40" s="391">
        <v>2372880</v>
      </c>
      <c r="K40" s="392">
        <v>0</v>
      </c>
      <c r="L40" s="153"/>
      <c r="M40" s="153">
        <v>0</v>
      </c>
      <c r="N40" s="153">
        <f t="shared" si="1"/>
        <v>0</v>
      </c>
      <c r="O40" s="393"/>
      <c r="P40" s="394"/>
      <c r="Q40" s="395">
        <f t="shared" si="23"/>
        <v>2372880</v>
      </c>
      <c r="R40" s="153">
        <v>0</v>
      </c>
      <c r="S40" s="153">
        <v>0</v>
      </c>
      <c r="T40" s="153">
        <f t="shared" si="3"/>
        <v>0</v>
      </c>
      <c r="U40" s="390">
        <f t="shared" si="19"/>
        <v>2372880</v>
      </c>
      <c r="V40" s="390">
        <f t="shared" si="18"/>
        <v>2372880</v>
      </c>
    </row>
    <row r="41" spans="1:24" ht="20.25" customHeight="1" x14ac:dyDescent="0.25">
      <c r="A41" s="780"/>
      <c r="B41" s="156"/>
      <c r="C41" s="152" t="s">
        <v>361</v>
      </c>
      <c r="D41" s="152" t="s">
        <v>478</v>
      </c>
      <c r="E41" s="153"/>
      <c r="F41" s="153"/>
      <c r="G41" s="153">
        <v>0</v>
      </c>
      <c r="H41" s="153">
        <f t="shared" si="0"/>
        <v>0</v>
      </c>
      <c r="I41" s="393"/>
      <c r="J41" s="394"/>
      <c r="K41" s="392">
        <v>0</v>
      </c>
      <c r="L41" s="153">
        <v>1797839</v>
      </c>
      <c r="M41" s="153">
        <v>-22697</v>
      </c>
      <c r="N41" s="153">
        <f t="shared" si="1"/>
        <v>0</v>
      </c>
      <c r="O41" s="153">
        <v>1775142</v>
      </c>
      <c r="P41" s="552">
        <v>1775142</v>
      </c>
      <c r="Q41" s="395">
        <f t="shared" si="23"/>
        <v>0</v>
      </c>
      <c r="R41" s="153">
        <v>1797839</v>
      </c>
      <c r="S41" s="153">
        <v>-22697</v>
      </c>
      <c r="T41" s="153">
        <f t="shared" si="3"/>
        <v>0</v>
      </c>
      <c r="U41" s="390">
        <f t="shared" si="19"/>
        <v>1775142</v>
      </c>
      <c r="V41" s="390">
        <f t="shared" si="18"/>
        <v>1775142</v>
      </c>
    </row>
    <row r="42" spans="1:24" ht="16.5" customHeight="1" x14ac:dyDescent="0.25">
      <c r="A42" s="780"/>
      <c r="B42" s="781" t="s">
        <v>225</v>
      </c>
      <c r="C42" s="781"/>
      <c r="D42" s="622" t="s">
        <v>479</v>
      </c>
      <c r="E42" s="171">
        <f>SUM(E40+E41)</f>
        <v>2372880</v>
      </c>
      <c r="F42" s="171">
        <f t="shared" ref="F42:H42" si="27">SUM(F40+F41)</f>
        <v>0</v>
      </c>
      <c r="G42" s="171">
        <f t="shared" si="27"/>
        <v>0</v>
      </c>
      <c r="H42" s="171">
        <f t="shared" si="27"/>
        <v>0</v>
      </c>
      <c r="I42" s="304">
        <f t="shared" ref="I42:P42" si="28">SUM(I40+I41)</f>
        <v>2372880</v>
      </c>
      <c r="J42" s="415">
        <f t="shared" si="28"/>
        <v>2372880</v>
      </c>
      <c r="K42" s="416">
        <f>SUM(K40+K41)</f>
        <v>0</v>
      </c>
      <c r="L42" s="171">
        <v>1797839</v>
      </c>
      <c r="M42" s="171">
        <v>-22697</v>
      </c>
      <c r="N42" s="171">
        <f t="shared" si="1"/>
        <v>0</v>
      </c>
      <c r="O42" s="171">
        <f t="shared" si="28"/>
        <v>1775142</v>
      </c>
      <c r="P42" s="557">
        <f t="shared" si="28"/>
        <v>1775142</v>
      </c>
      <c r="Q42" s="405">
        <f>E42+K42</f>
        <v>2372880</v>
      </c>
      <c r="R42" s="170">
        <v>1797839</v>
      </c>
      <c r="S42" s="170">
        <v>-22697</v>
      </c>
      <c r="T42" s="170">
        <f t="shared" si="3"/>
        <v>0</v>
      </c>
      <c r="U42" s="402">
        <f t="shared" si="19"/>
        <v>4148022</v>
      </c>
      <c r="V42" s="402">
        <f t="shared" si="18"/>
        <v>4148022</v>
      </c>
    </row>
    <row r="43" spans="1:24" x14ac:dyDescent="0.25">
      <c r="A43" s="319"/>
      <c r="B43" s="156"/>
      <c r="C43" s="152" t="s">
        <v>359</v>
      </c>
      <c r="D43" s="303" t="s">
        <v>441</v>
      </c>
      <c r="E43" s="153">
        <v>0</v>
      </c>
      <c r="F43" s="153">
        <v>16654</v>
      </c>
      <c r="G43" s="153">
        <v>0</v>
      </c>
      <c r="H43" s="153">
        <f t="shared" si="0"/>
        <v>0</v>
      </c>
      <c r="I43" s="390">
        <v>16654</v>
      </c>
      <c r="J43" s="391">
        <v>16654</v>
      </c>
      <c r="K43" s="392">
        <v>0</v>
      </c>
      <c r="L43" s="153">
        <v>0</v>
      </c>
      <c r="M43" s="153">
        <v>0</v>
      </c>
      <c r="N43" s="153">
        <f t="shared" si="1"/>
        <v>0</v>
      </c>
      <c r="O43" s="153">
        <v>0</v>
      </c>
      <c r="P43" s="552">
        <v>0</v>
      </c>
      <c r="Q43" s="395">
        <f t="shared" si="23"/>
        <v>0</v>
      </c>
      <c r="R43" s="153">
        <v>16654</v>
      </c>
      <c r="S43" s="153">
        <v>0</v>
      </c>
      <c r="T43" s="153">
        <f t="shared" si="3"/>
        <v>0</v>
      </c>
      <c r="U43" s="390">
        <f t="shared" si="19"/>
        <v>16654</v>
      </c>
      <c r="V43" s="390">
        <f t="shared" si="18"/>
        <v>16654</v>
      </c>
    </row>
    <row r="44" spans="1:24" x14ac:dyDescent="0.25">
      <c r="A44" s="319"/>
      <c r="B44" s="781" t="s">
        <v>360</v>
      </c>
      <c r="C44" s="781"/>
      <c r="D44" s="622" t="s">
        <v>480</v>
      </c>
      <c r="E44" s="171">
        <f>E43</f>
        <v>0</v>
      </c>
      <c r="F44" s="171">
        <f t="shared" ref="F44:H44" si="29">F43</f>
        <v>16654</v>
      </c>
      <c r="G44" s="171">
        <f t="shared" si="29"/>
        <v>0</v>
      </c>
      <c r="H44" s="171">
        <f t="shared" si="29"/>
        <v>0</v>
      </c>
      <c r="I44" s="304">
        <f t="shared" ref="I44" si="30">I43</f>
        <v>16654</v>
      </c>
      <c r="J44" s="415">
        <f>J43</f>
        <v>16654</v>
      </c>
      <c r="K44" s="416">
        <f t="shared" ref="K44:P44" si="31">K43</f>
        <v>0</v>
      </c>
      <c r="L44" s="171">
        <v>0</v>
      </c>
      <c r="M44" s="171">
        <v>0</v>
      </c>
      <c r="N44" s="171">
        <f t="shared" si="1"/>
        <v>0</v>
      </c>
      <c r="O44" s="171">
        <f t="shared" si="31"/>
        <v>0</v>
      </c>
      <c r="P44" s="557">
        <f t="shared" si="31"/>
        <v>0</v>
      </c>
      <c r="Q44" s="405">
        <f>E44+K44</f>
        <v>0</v>
      </c>
      <c r="R44" s="170">
        <v>16654</v>
      </c>
      <c r="S44" s="170">
        <v>0</v>
      </c>
      <c r="T44" s="170">
        <f t="shared" si="3"/>
        <v>0</v>
      </c>
      <c r="U44" s="402">
        <f t="shared" si="19"/>
        <v>16654</v>
      </c>
      <c r="V44" s="402">
        <f t="shared" si="18"/>
        <v>16654</v>
      </c>
    </row>
    <row r="45" spans="1:24" s="298" customFormat="1" ht="26.4" x14ac:dyDescent="0.25">
      <c r="A45" s="301"/>
      <c r="B45" s="417"/>
      <c r="C45" s="303" t="s">
        <v>355</v>
      </c>
      <c r="D45" s="303" t="s">
        <v>442</v>
      </c>
      <c r="E45" s="296">
        <v>0</v>
      </c>
      <c r="F45" s="296">
        <v>1049525</v>
      </c>
      <c r="G45" s="296">
        <v>0</v>
      </c>
      <c r="H45" s="296">
        <f t="shared" si="0"/>
        <v>0</v>
      </c>
      <c r="I45" s="396">
        <v>1049525</v>
      </c>
      <c r="J45" s="397">
        <v>1049525</v>
      </c>
      <c r="K45" s="418"/>
      <c r="L45" s="302"/>
      <c r="M45" s="302">
        <v>0</v>
      </c>
      <c r="N45" s="302">
        <f t="shared" si="1"/>
        <v>0</v>
      </c>
      <c r="O45" s="302"/>
      <c r="P45" s="558"/>
      <c r="Q45" s="395">
        <f t="shared" si="23"/>
        <v>0</v>
      </c>
      <c r="R45" s="153">
        <v>1049525</v>
      </c>
      <c r="S45" s="153">
        <v>0</v>
      </c>
      <c r="T45" s="153">
        <f t="shared" si="3"/>
        <v>0</v>
      </c>
      <c r="U45" s="390">
        <f t="shared" si="19"/>
        <v>1049525</v>
      </c>
      <c r="V45" s="390">
        <f t="shared" si="18"/>
        <v>1049525</v>
      </c>
    </row>
    <row r="46" spans="1:24" ht="26.4" x14ac:dyDescent="0.25">
      <c r="A46" s="780" t="s">
        <v>46</v>
      </c>
      <c r="B46" s="156"/>
      <c r="C46" s="152" t="s">
        <v>248</v>
      </c>
      <c r="D46" s="152" t="s">
        <v>402</v>
      </c>
      <c r="E46" s="153">
        <v>701680</v>
      </c>
      <c r="F46" s="153">
        <v>0</v>
      </c>
      <c r="G46" s="153">
        <v>7280000</v>
      </c>
      <c r="H46" s="153">
        <f t="shared" si="0"/>
        <v>-11670</v>
      </c>
      <c r="I46" s="390">
        <v>7970010</v>
      </c>
      <c r="J46" s="391">
        <v>7970010</v>
      </c>
      <c r="K46" s="392">
        <v>0</v>
      </c>
      <c r="L46" s="153"/>
      <c r="M46" s="153">
        <v>0</v>
      </c>
      <c r="N46" s="153">
        <f t="shared" si="1"/>
        <v>1300000</v>
      </c>
      <c r="O46" s="153">
        <v>1300000</v>
      </c>
      <c r="P46" s="552">
        <v>0</v>
      </c>
      <c r="Q46" s="395">
        <f t="shared" si="23"/>
        <v>701680</v>
      </c>
      <c r="R46" s="153">
        <v>0</v>
      </c>
      <c r="S46" s="153">
        <v>7280000</v>
      </c>
      <c r="T46" s="153">
        <f t="shared" si="3"/>
        <v>1288330</v>
      </c>
      <c r="U46" s="390">
        <f t="shared" si="19"/>
        <v>9270010</v>
      </c>
      <c r="V46" s="390">
        <f t="shared" si="18"/>
        <v>7970010</v>
      </c>
    </row>
    <row r="47" spans="1:24" x14ac:dyDescent="0.25">
      <c r="A47" s="780"/>
      <c r="B47" s="156"/>
      <c r="C47" s="152" t="s">
        <v>322</v>
      </c>
      <c r="D47" s="152" t="s">
        <v>403</v>
      </c>
      <c r="E47" s="153">
        <v>7280000</v>
      </c>
      <c r="F47" s="153">
        <v>0</v>
      </c>
      <c r="G47" s="153">
        <v>-7280000</v>
      </c>
      <c r="H47" s="153">
        <f t="shared" si="0"/>
        <v>3819129</v>
      </c>
      <c r="I47" s="390">
        <v>3819129</v>
      </c>
      <c r="J47" s="391">
        <v>3819129</v>
      </c>
      <c r="K47" s="392"/>
      <c r="L47" s="153"/>
      <c r="M47" s="153">
        <v>0</v>
      </c>
      <c r="N47" s="153">
        <f t="shared" si="1"/>
        <v>0</v>
      </c>
      <c r="O47" s="153"/>
      <c r="P47" s="552"/>
      <c r="Q47" s="395">
        <f t="shared" si="23"/>
        <v>7280000</v>
      </c>
      <c r="R47" s="153">
        <v>0</v>
      </c>
      <c r="S47" s="153">
        <v>-7280000</v>
      </c>
      <c r="T47" s="153">
        <f t="shared" si="3"/>
        <v>3819129</v>
      </c>
      <c r="U47" s="390">
        <f t="shared" si="19"/>
        <v>3819129</v>
      </c>
      <c r="V47" s="390">
        <f t="shared" si="18"/>
        <v>3819129</v>
      </c>
    </row>
    <row r="48" spans="1:24" x14ac:dyDescent="0.25">
      <c r="A48" s="780"/>
      <c r="B48" s="781" t="s">
        <v>226</v>
      </c>
      <c r="C48" s="781"/>
      <c r="D48" s="622" t="s">
        <v>404</v>
      </c>
      <c r="E48" s="171">
        <f>SUM(E45:E47)</f>
        <v>7981680</v>
      </c>
      <c r="F48" s="171">
        <f t="shared" ref="F48:H48" si="32">SUM(F45:F47)</f>
        <v>1049525</v>
      </c>
      <c r="G48" s="171">
        <f t="shared" si="32"/>
        <v>0</v>
      </c>
      <c r="H48" s="171">
        <f t="shared" si="32"/>
        <v>3807459</v>
      </c>
      <c r="I48" s="304">
        <f>SUM(I45:I47)</f>
        <v>12838664</v>
      </c>
      <c r="J48" s="415">
        <f>SUM(J45:J47)</f>
        <v>12838664</v>
      </c>
      <c r="K48" s="416">
        <f>SUM(K46)</f>
        <v>0</v>
      </c>
      <c r="L48" s="171">
        <v>0</v>
      </c>
      <c r="M48" s="171">
        <v>0</v>
      </c>
      <c r="N48" s="171">
        <f t="shared" si="1"/>
        <v>1300000</v>
      </c>
      <c r="O48" s="171">
        <f t="shared" ref="O48:P48" si="33">SUM(O46)</f>
        <v>1300000</v>
      </c>
      <c r="P48" s="557">
        <f t="shared" si="33"/>
        <v>0</v>
      </c>
      <c r="Q48" s="405">
        <f>E48+K48</f>
        <v>7981680</v>
      </c>
      <c r="R48" s="170">
        <v>1049525</v>
      </c>
      <c r="S48" s="170">
        <v>0</v>
      </c>
      <c r="T48" s="170">
        <f t="shared" si="3"/>
        <v>5107459</v>
      </c>
      <c r="U48" s="402">
        <f t="shared" si="19"/>
        <v>14138664</v>
      </c>
      <c r="V48" s="402">
        <f t="shared" si="18"/>
        <v>12838664</v>
      </c>
    </row>
    <row r="49" spans="1:22" s="149" customFormat="1" ht="24.75" customHeight="1" x14ac:dyDescent="0.25">
      <c r="A49" s="806" t="s">
        <v>227</v>
      </c>
      <c r="B49" s="807"/>
      <c r="C49" s="808"/>
      <c r="D49" s="625" t="s">
        <v>405</v>
      </c>
      <c r="E49" s="308">
        <f>E18+E29+E39+E42+E48+E44</f>
        <v>511772522</v>
      </c>
      <c r="F49" s="308">
        <f>F18+F29+F39+F42+F48+F21+F44</f>
        <v>67639947</v>
      </c>
      <c r="G49" s="308">
        <f>G18+G29+G39+G42+G48+G21+G44</f>
        <v>44559472</v>
      </c>
      <c r="H49" s="308">
        <f>H18+H29+H39+H42+H48+H21+H44</f>
        <v>110036146</v>
      </c>
      <c r="I49" s="419">
        <f>I18+I29+I39+I42+I48+I21+I44</f>
        <v>734008087</v>
      </c>
      <c r="J49" s="420">
        <f>J18+J29+J39+J42+J48+J21+J44</f>
        <v>721733015</v>
      </c>
      <c r="K49" s="421">
        <f>K18+K29+K39+K42+K48</f>
        <v>2001200</v>
      </c>
      <c r="L49" s="308">
        <f>L18+L29+L39+L42+L48+L44</f>
        <v>4028374</v>
      </c>
      <c r="M49" s="308">
        <v>3057844</v>
      </c>
      <c r="N49" s="308">
        <f t="shared" si="1"/>
        <v>1277583</v>
      </c>
      <c r="O49" s="308">
        <f>O18+O29+O39+O42+O48</f>
        <v>10365001</v>
      </c>
      <c r="P49" s="559">
        <f>P18+P29+P39+P42+P48</f>
        <v>9065001</v>
      </c>
      <c r="Q49" s="422">
        <f>Q18+Q29+Q39+Q42+Q48+Q44</f>
        <v>513773722</v>
      </c>
      <c r="R49" s="307">
        <v>71668321</v>
      </c>
      <c r="S49" s="307">
        <v>47617316</v>
      </c>
      <c r="T49" s="307">
        <f t="shared" si="3"/>
        <v>111313729</v>
      </c>
      <c r="U49" s="419">
        <f>U18+U29+U39+U42+U48+U21+U44</f>
        <v>744373088</v>
      </c>
      <c r="V49" s="419">
        <f>V18+V29+V39+V42+V48+V44+V21</f>
        <v>730798016</v>
      </c>
    </row>
    <row r="50" spans="1:22" ht="24" customHeight="1" x14ac:dyDescent="0.25">
      <c r="A50" s="366"/>
      <c r="B50" s="156"/>
      <c r="C50" s="152" t="s">
        <v>289</v>
      </c>
      <c r="D50" s="152" t="s">
        <v>406</v>
      </c>
      <c r="E50" s="153">
        <v>400000000</v>
      </c>
      <c r="F50" s="153">
        <v>0</v>
      </c>
      <c r="G50" s="153">
        <v>0</v>
      </c>
      <c r="H50" s="153">
        <f t="shared" ref="H50:H60" si="34">I50-E50-F50-G50</f>
        <v>-400000000</v>
      </c>
      <c r="I50" s="390">
        <v>0</v>
      </c>
      <c r="J50" s="391">
        <v>0</v>
      </c>
      <c r="K50" s="392">
        <v>0</v>
      </c>
      <c r="L50" s="153"/>
      <c r="M50" s="153">
        <v>0</v>
      </c>
      <c r="N50" s="153">
        <f t="shared" si="1"/>
        <v>0</v>
      </c>
      <c r="O50" s="393"/>
      <c r="P50" s="394"/>
      <c r="Q50" s="395">
        <f t="shared" ref="Q50:Q56" si="35">SUM(E50+K50)</f>
        <v>400000000</v>
      </c>
      <c r="R50" s="305">
        <v>0</v>
      </c>
      <c r="S50" s="305">
        <v>0</v>
      </c>
      <c r="T50" s="305">
        <f t="shared" si="3"/>
        <v>-400000000</v>
      </c>
      <c r="U50" s="390">
        <f>I50+O50</f>
        <v>0</v>
      </c>
      <c r="V50" s="390">
        <f>J50+P50</f>
        <v>0</v>
      </c>
    </row>
    <row r="51" spans="1:22" ht="18.75" customHeight="1" x14ac:dyDescent="0.25">
      <c r="A51" s="366"/>
      <c r="B51" s="781" t="s">
        <v>290</v>
      </c>
      <c r="C51" s="781"/>
      <c r="D51" s="622" t="s">
        <v>407</v>
      </c>
      <c r="E51" s="171">
        <f>SUM(E50)</f>
        <v>400000000</v>
      </c>
      <c r="F51" s="171">
        <f t="shared" ref="F51:J51" si="36">SUM(F50)</f>
        <v>0</v>
      </c>
      <c r="G51" s="171">
        <v>0</v>
      </c>
      <c r="H51" s="171">
        <f t="shared" si="34"/>
        <v>-400000000</v>
      </c>
      <c r="I51" s="304">
        <f t="shared" si="36"/>
        <v>0</v>
      </c>
      <c r="J51" s="415">
        <f t="shared" si="36"/>
        <v>0</v>
      </c>
      <c r="K51" s="416">
        <f>SUM(K50)</f>
        <v>0</v>
      </c>
      <c r="L51" s="171"/>
      <c r="M51" s="171">
        <v>0</v>
      </c>
      <c r="N51" s="171">
        <f t="shared" si="1"/>
        <v>0</v>
      </c>
      <c r="O51" s="423"/>
      <c r="P51" s="424"/>
      <c r="Q51" s="425">
        <f>SUM(Q50)</f>
        <v>400000000</v>
      </c>
      <c r="R51" s="306">
        <v>0</v>
      </c>
      <c r="S51" s="306">
        <v>0</v>
      </c>
      <c r="T51" s="306">
        <f t="shared" si="3"/>
        <v>-400000000</v>
      </c>
      <c r="U51" s="304">
        <f t="shared" ref="U51:V51" si="37">SUM(U50)</f>
        <v>0</v>
      </c>
      <c r="V51" s="304">
        <f t="shared" si="37"/>
        <v>0</v>
      </c>
    </row>
    <row r="52" spans="1:22" ht="17.25" customHeight="1" x14ac:dyDescent="0.25">
      <c r="A52" s="780" t="s">
        <v>52</v>
      </c>
      <c r="B52" s="156"/>
      <c r="C52" s="152" t="s">
        <v>255</v>
      </c>
      <c r="D52" s="152" t="s">
        <v>408</v>
      </c>
      <c r="E52" s="153">
        <v>131883904</v>
      </c>
      <c r="F52" s="153">
        <v>0</v>
      </c>
      <c r="G52" s="153">
        <v>0</v>
      </c>
      <c r="H52" s="153">
        <f t="shared" si="34"/>
        <v>-65000000</v>
      </c>
      <c r="I52" s="390">
        <v>66883904</v>
      </c>
      <c r="J52" s="391">
        <v>66883904</v>
      </c>
      <c r="K52" s="392">
        <v>0</v>
      </c>
      <c r="L52" s="153"/>
      <c r="M52" s="153">
        <v>0</v>
      </c>
      <c r="N52" s="153">
        <f t="shared" si="1"/>
        <v>0</v>
      </c>
      <c r="O52" s="393"/>
      <c r="P52" s="394"/>
      <c r="Q52" s="395">
        <f t="shared" si="35"/>
        <v>131883904</v>
      </c>
      <c r="R52" s="305">
        <v>0</v>
      </c>
      <c r="S52" s="305">
        <v>0</v>
      </c>
      <c r="T52" s="305">
        <f t="shared" si="3"/>
        <v>-65000000</v>
      </c>
      <c r="U52" s="390">
        <f>I52+O52</f>
        <v>66883904</v>
      </c>
      <c r="V52" s="390">
        <f>J52+P52</f>
        <v>66883904</v>
      </c>
    </row>
    <row r="53" spans="1:22" ht="18.75" customHeight="1" x14ac:dyDescent="0.25">
      <c r="A53" s="780"/>
      <c r="B53" s="781" t="s">
        <v>254</v>
      </c>
      <c r="C53" s="781"/>
      <c r="D53" s="622" t="s">
        <v>481</v>
      </c>
      <c r="E53" s="171">
        <f>SUM(E52)</f>
        <v>131883904</v>
      </c>
      <c r="F53" s="171">
        <f t="shared" ref="F53:J53" si="38">SUM(F52)</f>
        <v>0</v>
      </c>
      <c r="G53" s="171">
        <v>0</v>
      </c>
      <c r="H53" s="171">
        <f t="shared" si="34"/>
        <v>-65000000</v>
      </c>
      <c r="I53" s="304">
        <f t="shared" si="38"/>
        <v>66883904</v>
      </c>
      <c r="J53" s="415">
        <f t="shared" si="38"/>
        <v>66883904</v>
      </c>
      <c r="K53" s="416">
        <f>SUM(K52)</f>
        <v>0</v>
      </c>
      <c r="L53" s="171"/>
      <c r="M53" s="171">
        <v>0</v>
      </c>
      <c r="N53" s="171">
        <f t="shared" si="1"/>
        <v>0</v>
      </c>
      <c r="O53" s="423"/>
      <c r="P53" s="424"/>
      <c r="Q53" s="425">
        <f>SUM(Q52)</f>
        <v>131883904</v>
      </c>
      <c r="R53" s="306">
        <v>0</v>
      </c>
      <c r="S53" s="306">
        <v>0</v>
      </c>
      <c r="T53" s="306">
        <f t="shared" si="3"/>
        <v>-65000000</v>
      </c>
      <c r="U53" s="304">
        <f t="shared" ref="U53:V53" si="39">SUM(U52)</f>
        <v>66883904</v>
      </c>
      <c r="V53" s="304">
        <f t="shared" si="39"/>
        <v>66883904</v>
      </c>
    </row>
    <row r="54" spans="1:22" ht="15" customHeight="1" x14ac:dyDescent="0.25">
      <c r="A54" s="780" t="s">
        <v>54</v>
      </c>
      <c r="B54" s="156"/>
      <c r="C54" s="152" t="s">
        <v>283</v>
      </c>
      <c r="D54" s="152" t="s">
        <v>482</v>
      </c>
      <c r="E54" s="153">
        <v>47915639</v>
      </c>
      <c r="F54" s="153">
        <v>0</v>
      </c>
      <c r="G54" s="153">
        <v>0</v>
      </c>
      <c r="H54" s="153">
        <f t="shared" si="34"/>
        <v>0</v>
      </c>
      <c r="I54" s="390">
        <v>47915639</v>
      </c>
      <c r="J54" s="391">
        <v>47915639</v>
      </c>
      <c r="K54" s="392">
        <v>357716</v>
      </c>
      <c r="L54" s="153">
        <v>0</v>
      </c>
      <c r="M54" s="153">
        <v>0</v>
      </c>
      <c r="N54" s="153">
        <f t="shared" si="1"/>
        <v>0</v>
      </c>
      <c r="O54" s="153">
        <v>357716</v>
      </c>
      <c r="P54" s="552">
        <v>357716</v>
      </c>
      <c r="Q54" s="395">
        <f t="shared" si="35"/>
        <v>48273355</v>
      </c>
      <c r="R54" s="305">
        <v>0</v>
      </c>
      <c r="S54" s="305">
        <v>0</v>
      </c>
      <c r="T54" s="305">
        <f t="shared" si="3"/>
        <v>0</v>
      </c>
      <c r="U54" s="390">
        <f>I54+O54</f>
        <v>48273355</v>
      </c>
      <c r="V54" s="390">
        <f>J54+P54</f>
        <v>48273355</v>
      </c>
    </row>
    <row r="55" spans="1:22" ht="17.25" customHeight="1" x14ac:dyDescent="0.25">
      <c r="A55" s="780"/>
      <c r="B55" s="781" t="s">
        <v>256</v>
      </c>
      <c r="C55" s="781"/>
      <c r="D55" s="622" t="s">
        <v>483</v>
      </c>
      <c r="E55" s="171">
        <f>SUM(E54)</f>
        <v>47915639</v>
      </c>
      <c r="F55" s="171">
        <f t="shared" ref="F55:J55" si="40">SUM(F54)</f>
        <v>0</v>
      </c>
      <c r="G55" s="171">
        <v>0</v>
      </c>
      <c r="H55" s="171">
        <f t="shared" si="34"/>
        <v>0</v>
      </c>
      <c r="I55" s="304">
        <f t="shared" si="40"/>
        <v>47915639</v>
      </c>
      <c r="J55" s="415">
        <f t="shared" si="40"/>
        <v>47915639</v>
      </c>
      <c r="K55" s="416">
        <f>SUM(K54)</f>
        <v>357716</v>
      </c>
      <c r="L55" s="171">
        <v>0</v>
      </c>
      <c r="M55" s="171">
        <v>0</v>
      </c>
      <c r="N55" s="171">
        <f t="shared" si="1"/>
        <v>0</v>
      </c>
      <c r="O55" s="171">
        <f t="shared" ref="O55:P55" si="41">SUM(O54)</f>
        <v>357716</v>
      </c>
      <c r="P55" s="557">
        <f t="shared" si="41"/>
        <v>357716</v>
      </c>
      <c r="Q55" s="425">
        <f>SUM(Q54)</f>
        <v>48273355</v>
      </c>
      <c r="R55" s="306">
        <v>0</v>
      </c>
      <c r="S55" s="306">
        <v>0</v>
      </c>
      <c r="T55" s="306">
        <f t="shared" si="3"/>
        <v>0</v>
      </c>
      <c r="U55" s="304">
        <f t="shared" ref="U55:V55" si="42">SUM(U54)</f>
        <v>48273355</v>
      </c>
      <c r="V55" s="304">
        <f t="shared" si="42"/>
        <v>48273355</v>
      </c>
    </row>
    <row r="56" spans="1:22" ht="15.75" customHeight="1" x14ac:dyDescent="0.25">
      <c r="A56" s="799" t="s">
        <v>55</v>
      </c>
      <c r="B56" s="156"/>
      <c r="C56" s="152" t="s">
        <v>286</v>
      </c>
      <c r="D56" s="152" t="s">
        <v>409</v>
      </c>
      <c r="E56" s="153">
        <v>0</v>
      </c>
      <c r="F56" s="153"/>
      <c r="G56" s="153">
        <v>0</v>
      </c>
      <c r="H56" s="153">
        <f t="shared" si="34"/>
        <v>0</v>
      </c>
      <c r="I56" s="393"/>
      <c r="J56" s="394"/>
      <c r="K56" s="392">
        <v>102023405</v>
      </c>
      <c r="L56" s="153">
        <v>997200</v>
      </c>
      <c r="M56" s="153">
        <v>1595599</v>
      </c>
      <c r="N56" s="153">
        <f t="shared" si="1"/>
        <v>779440</v>
      </c>
      <c r="O56" s="153">
        <v>105395644</v>
      </c>
      <c r="P56" s="552">
        <v>105395644</v>
      </c>
      <c r="Q56" s="395">
        <f t="shared" si="35"/>
        <v>102023405</v>
      </c>
      <c r="R56" s="305">
        <v>997200</v>
      </c>
      <c r="S56" s="305">
        <v>1595599</v>
      </c>
      <c r="T56" s="305">
        <f t="shared" si="3"/>
        <v>779440</v>
      </c>
      <c r="U56" s="390">
        <f>I56+O56</f>
        <v>105395644</v>
      </c>
      <c r="V56" s="390">
        <f>J56+P56</f>
        <v>105395644</v>
      </c>
    </row>
    <row r="57" spans="1:22" ht="15.75" customHeight="1" x14ac:dyDescent="0.25">
      <c r="A57" s="800"/>
      <c r="B57" s="156"/>
      <c r="C57" s="152" t="s">
        <v>457</v>
      </c>
      <c r="D57" s="152" t="s">
        <v>466</v>
      </c>
      <c r="E57" s="153"/>
      <c r="F57" s="153"/>
      <c r="G57" s="153"/>
      <c r="H57" s="153">
        <f t="shared" si="34"/>
        <v>11319727</v>
      </c>
      <c r="I57" s="390">
        <v>11319727</v>
      </c>
      <c r="J57" s="391">
        <v>11319727</v>
      </c>
      <c r="K57" s="392"/>
      <c r="L57" s="153"/>
      <c r="M57" s="153"/>
      <c r="N57" s="153">
        <f t="shared" si="1"/>
        <v>0</v>
      </c>
      <c r="O57" s="153"/>
      <c r="P57" s="552"/>
      <c r="Q57" s="395"/>
      <c r="R57" s="305"/>
      <c r="S57" s="305"/>
      <c r="T57" s="305">
        <f t="shared" si="3"/>
        <v>11319727</v>
      </c>
      <c r="U57" s="390">
        <f>I57+O57</f>
        <v>11319727</v>
      </c>
      <c r="V57" s="390">
        <f>J57+P57</f>
        <v>11319727</v>
      </c>
    </row>
    <row r="58" spans="1:22" ht="18" customHeight="1" x14ac:dyDescent="0.25">
      <c r="A58" s="801"/>
      <c r="B58" s="781" t="s">
        <v>287</v>
      </c>
      <c r="C58" s="781"/>
      <c r="D58" s="622" t="s">
        <v>410</v>
      </c>
      <c r="E58" s="171">
        <f>SUM(E56)</f>
        <v>0</v>
      </c>
      <c r="F58" s="171">
        <f t="shared" ref="F58" si="43">SUM(F56)</f>
        <v>0</v>
      </c>
      <c r="G58" s="171">
        <v>0</v>
      </c>
      <c r="H58" s="171">
        <f t="shared" si="34"/>
        <v>11319727</v>
      </c>
      <c r="I58" s="304">
        <f>SUM(I56:I57)</f>
        <v>11319727</v>
      </c>
      <c r="J58" s="304">
        <f>SUM(J56:J57)</f>
        <v>11319727</v>
      </c>
      <c r="K58" s="426">
        <f>SUM(K56+K55)</f>
        <v>102381121</v>
      </c>
      <c r="L58" s="304">
        <v>997200</v>
      </c>
      <c r="M58" s="304">
        <v>1595599</v>
      </c>
      <c r="N58" s="304">
        <f t="shared" si="1"/>
        <v>779440</v>
      </c>
      <c r="O58" s="171">
        <f t="shared" ref="O58:P58" si="44">SUM(O56+O55)</f>
        <v>105753360</v>
      </c>
      <c r="P58" s="557">
        <f t="shared" si="44"/>
        <v>105753360</v>
      </c>
      <c r="Q58" s="425">
        <f>SUM(Q56)</f>
        <v>102023405</v>
      </c>
      <c r="R58" s="306">
        <v>997200</v>
      </c>
      <c r="S58" s="306">
        <v>1595599</v>
      </c>
      <c r="T58" s="306">
        <f t="shared" si="3"/>
        <v>12099167</v>
      </c>
      <c r="U58" s="304">
        <f>SUM(U56:U57)</f>
        <v>116715371</v>
      </c>
      <c r="V58" s="304">
        <f>SUM(V56:V57)</f>
        <v>116715371</v>
      </c>
    </row>
    <row r="59" spans="1:22" s="150" customFormat="1" ht="21.75" customHeight="1" x14ac:dyDescent="0.25">
      <c r="A59" s="809" t="s">
        <v>257</v>
      </c>
      <c r="B59" s="809"/>
      <c r="C59" s="809"/>
      <c r="D59" s="626" t="s">
        <v>411</v>
      </c>
      <c r="E59" s="419">
        <f>E53+E55+E58+E51</f>
        <v>579799543</v>
      </c>
      <c r="F59" s="419">
        <f t="shared" ref="F59:G59" si="45">F53+F55+F58+F51</f>
        <v>0</v>
      </c>
      <c r="G59" s="419">
        <f t="shared" si="45"/>
        <v>0</v>
      </c>
      <c r="H59" s="419">
        <f t="shared" si="34"/>
        <v>-453680273</v>
      </c>
      <c r="I59" s="419">
        <f t="shared" ref="I59:J59" si="46">I53+I55+I58+I51</f>
        <v>126119270</v>
      </c>
      <c r="J59" s="420">
        <f t="shared" si="46"/>
        <v>126119270</v>
      </c>
      <c r="K59" s="422">
        <f>K58</f>
        <v>102381121</v>
      </c>
      <c r="L59" s="307">
        <f t="shared" ref="L59:P59" si="47">L58</f>
        <v>997200</v>
      </c>
      <c r="M59" s="307">
        <v>1595599</v>
      </c>
      <c r="N59" s="307">
        <f t="shared" si="1"/>
        <v>779440</v>
      </c>
      <c r="O59" s="308">
        <f t="shared" si="47"/>
        <v>105753360</v>
      </c>
      <c r="P59" s="559">
        <f t="shared" si="47"/>
        <v>105753360</v>
      </c>
      <c r="Q59" s="422">
        <f t="shared" ref="Q59:V59" si="48">Q53+Q55+Q58+Q51</f>
        <v>682180664</v>
      </c>
      <c r="R59" s="307">
        <f t="shared" si="48"/>
        <v>997200</v>
      </c>
      <c r="S59" s="307">
        <v>1595599</v>
      </c>
      <c r="T59" s="307">
        <f t="shared" si="3"/>
        <v>-452900833</v>
      </c>
      <c r="U59" s="419">
        <f t="shared" si="48"/>
        <v>231872630</v>
      </c>
      <c r="V59" s="419">
        <f t="shared" si="48"/>
        <v>231872630</v>
      </c>
    </row>
    <row r="60" spans="1:22" s="158" customFormat="1" ht="22.5" customHeight="1" x14ac:dyDescent="0.25">
      <c r="A60" s="803" t="s">
        <v>258</v>
      </c>
      <c r="B60" s="803"/>
      <c r="C60" s="803"/>
      <c r="D60" s="623"/>
      <c r="E60" s="309">
        <f>E49+E59</f>
        <v>1091572065</v>
      </c>
      <c r="F60" s="309">
        <f t="shared" ref="F60:V60" si="49">F49+F59</f>
        <v>67639947</v>
      </c>
      <c r="G60" s="309">
        <f t="shared" si="49"/>
        <v>44559472</v>
      </c>
      <c r="H60" s="309">
        <f t="shared" si="34"/>
        <v>-343644127</v>
      </c>
      <c r="I60" s="427">
        <f t="shared" si="49"/>
        <v>860127357</v>
      </c>
      <c r="J60" s="428">
        <f t="shared" si="49"/>
        <v>847852285</v>
      </c>
      <c r="K60" s="429">
        <f t="shared" si="49"/>
        <v>104382321</v>
      </c>
      <c r="L60" s="309">
        <f t="shared" si="49"/>
        <v>5025574</v>
      </c>
      <c r="M60" s="309">
        <v>4653443</v>
      </c>
      <c r="N60" s="309">
        <f t="shared" si="1"/>
        <v>2057023</v>
      </c>
      <c r="O60" s="309">
        <f t="shared" si="49"/>
        <v>116118361</v>
      </c>
      <c r="P60" s="560">
        <f t="shared" si="49"/>
        <v>114818361</v>
      </c>
      <c r="Q60" s="430">
        <f t="shared" si="49"/>
        <v>1195954386</v>
      </c>
      <c r="R60" s="310">
        <f t="shared" si="49"/>
        <v>72665521</v>
      </c>
      <c r="S60" s="310">
        <v>49212915</v>
      </c>
      <c r="T60" s="310">
        <f t="shared" si="3"/>
        <v>-341587104</v>
      </c>
      <c r="U60" s="427">
        <f t="shared" si="49"/>
        <v>976245718</v>
      </c>
      <c r="V60" s="427">
        <f t="shared" si="49"/>
        <v>962670646</v>
      </c>
    </row>
    <row r="61" spans="1:22" s="148" customFormat="1" ht="20.25" customHeight="1" x14ac:dyDescent="0.25">
      <c r="E61" s="431"/>
      <c r="F61" s="431"/>
      <c r="G61" s="431"/>
      <c r="H61" s="431"/>
      <c r="I61" s="431"/>
      <c r="J61" s="432">
        <f>J60/I60</f>
        <v>0.98572877388435398</v>
      </c>
      <c r="K61" s="181"/>
      <c r="L61" s="181"/>
      <c r="M61" s="181"/>
      <c r="N61" s="181"/>
      <c r="O61" s="181"/>
      <c r="P61" s="432">
        <f>P60/O60</f>
        <v>0.98880452678797282</v>
      </c>
      <c r="Q61" s="181"/>
      <c r="R61" s="181"/>
      <c r="S61" s="181"/>
      <c r="T61" s="181"/>
      <c r="U61" s="181"/>
      <c r="V61" s="432"/>
    </row>
  </sheetData>
  <mergeCells count="36">
    <mergeCell ref="B18:C18"/>
    <mergeCell ref="B20:C20"/>
    <mergeCell ref="A60:C60"/>
    <mergeCell ref="B23:C23"/>
    <mergeCell ref="B27:C27"/>
    <mergeCell ref="A49:C49"/>
    <mergeCell ref="B22:C22"/>
    <mergeCell ref="B28:C28"/>
    <mergeCell ref="A40:A42"/>
    <mergeCell ref="B42:C42"/>
    <mergeCell ref="A59:C59"/>
    <mergeCell ref="B29:C29"/>
    <mergeCell ref="A23:A29"/>
    <mergeCell ref="A52:A53"/>
    <mergeCell ref="B53:C53"/>
    <mergeCell ref="A54:A55"/>
    <mergeCell ref="B55:C55"/>
    <mergeCell ref="B51:C51"/>
    <mergeCell ref="A56:A58"/>
    <mergeCell ref="B58:C58"/>
    <mergeCell ref="A46:A48"/>
    <mergeCell ref="B48:C48"/>
    <mergeCell ref="A1:V1"/>
    <mergeCell ref="A2:V2"/>
    <mergeCell ref="E3:J3"/>
    <mergeCell ref="K3:P3"/>
    <mergeCell ref="Q3:V3"/>
    <mergeCell ref="A3:C4"/>
    <mergeCell ref="D3:D4"/>
    <mergeCell ref="B21:C21"/>
    <mergeCell ref="B44:C44"/>
    <mergeCell ref="A30:A39"/>
    <mergeCell ref="B39:C39"/>
    <mergeCell ref="B11:C11"/>
    <mergeCell ref="B17:C17"/>
    <mergeCell ref="A5:A18"/>
  </mergeCells>
  <phoneticPr fontId="0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45" firstPageNumber="39" orientation="landscape" r:id="rId1"/>
  <headerFooter alignWithMargins="0">
    <oddHeader>&amp;R&amp;"Times New Roman,Normál"1. számú melléklet</oddHeader>
    <oddFooter>&amp;C&amp;"Times New Roman,Normál"&amp;P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L19" sqref="L19"/>
    </sheetView>
  </sheetViews>
  <sheetFormatPr defaultColWidth="9.109375" defaultRowHeight="15" customHeight="1" x14ac:dyDescent="0.25"/>
  <cols>
    <col min="1" max="1" width="6.5546875" style="62" customWidth="1"/>
    <col min="2" max="2" width="39.33203125" style="2" customWidth="1"/>
    <col min="3" max="3" width="17.88671875" style="2" customWidth="1"/>
    <col min="4" max="4" width="16.33203125" style="2" customWidth="1"/>
    <col min="5" max="5" width="12.33203125" style="2" customWidth="1"/>
    <col min="6" max="6" width="16.5546875" style="64" customWidth="1"/>
    <col min="7" max="7" width="12" style="2" bestFit="1" customWidth="1"/>
    <col min="8" max="8" width="9.109375" style="2"/>
    <col min="9" max="9" width="14.109375" style="2" customWidth="1"/>
    <col min="10" max="10" width="9.5546875" style="2" bestFit="1" customWidth="1"/>
    <col min="11" max="16384" width="9.109375" style="2"/>
  </cols>
  <sheetData>
    <row r="1" spans="1:6" ht="15" customHeight="1" x14ac:dyDescent="0.25">
      <c r="A1" s="782" t="s">
        <v>458</v>
      </c>
      <c r="B1" s="782"/>
      <c r="C1" s="782"/>
      <c r="D1" s="782"/>
      <c r="E1" s="782"/>
      <c r="F1" s="11"/>
    </row>
    <row r="2" spans="1:6" ht="15" customHeight="1" x14ac:dyDescent="0.25">
      <c r="F2" s="63"/>
    </row>
    <row r="3" spans="1:6" ht="15" customHeight="1" thickBot="1" x14ac:dyDescent="0.3"/>
    <row r="4" spans="1:6" ht="42" customHeight="1" thickBot="1" x14ac:dyDescent="0.3">
      <c r="A4" s="913" t="s">
        <v>91</v>
      </c>
      <c r="B4" s="915" t="s">
        <v>92</v>
      </c>
      <c r="C4" s="917" t="s">
        <v>323</v>
      </c>
      <c r="D4" s="918"/>
      <c r="E4" s="65" t="s">
        <v>93</v>
      </c>
    </row>
    <row r="5" spans="1:6" ht="25.5" customHeight="1" thickBot="1" x14ac:dyDescent="0.3">
      <c r="A5" s="914"/>
      <c r="B5" s="916"/>
      <c r="C5" s="66" t="s">
        <v>94</v>
      </c>
      <c r="D5" s="146" t="s">
        <v>95</v>
      </c>
      <c r="E5" s="67"/>
    </row>
    <row r="6" spans="1:6" ht="15" customHeight="1" x14ac:dyDescent="0.25">
      <c r="A6" s="68" t="s">
        <v>42</v>
      </c>
      <c r="B6" s="69" t="s">
        <v>96</v>
      </c>
      <c r="C6" s="70">
        <v>1</v>
      </c>
      <c r="D6" s="71"/>
      <c r="E6" s="71"/>
    </row>
    <row r="7" spans="1:6" ht="15" customHeight="1" x14ac:dyDescent="0.25">
      <c r="A7" s="68" t="s">
        <v>43</v>
      </c>
      <c r="B7" s="72" t="s">
        <v>97</v>
      </c>
      <c r="C7" s="73">
        <v>1</v>
      </c>
      <c r="D7" s="74"/>
      <c r="E7" s="71"/>
    </row>
    <row r="8" spans="1:6" ht="15" customHeight="1" x14ac:dyDescent="0.25">
      <c r="A8" s="68" t="s">
        <v>44</v>
      </c>
      <c r="B8" s="75" t="s">
        <v>98</v>
      </c>
      <c r="C8" s="73">
        <v>2</v>
      </c>
      <c r="D8" s="74"/>
      <c r="E8" s="71"/>
    </row>
    <row r="9" spans="1:6" ht="15" customHeight="1" x14ac:dyDescent="0.25">
      <c r="A9" s="68" t="s">
        <v>45</v>
      </c>
      <c r="B9" s="72" t="s">
        <v>99</v>
      </c>
      <c r="C9" s="73">
        <v>1</v>
      </c>
      <c r="D9" s="74"/>
      <c r="E9" s="71"/>
    </row>
    <row r="10" spans="1:6" ht="15" customHeight="1" x14ac:dyDescent="0.25">
      <c r="A10" s="68" t="s">
        <v>46</v>
      </c>
      <c r="B10" s="72" t="s">
        <v>100</v>
      </c>
      <c r="C10" s="73">
        <v>2</v>
      </c>
      <c r="D10" s="74"/>
      <c r="E10" s="71"/>
    </row>
    <row r="11" spans="1:6" ht="15" customHeight="1" x14ac:dyDescent="0.25">
      <c r="A11" s="68" t="s">
        <v>52</v>
      </c>
      <c r="B11" s="75" t="s">
        <v>101</v>
      </c>
      <c r="C11" s="73">
        <v>1</v>
      </c>
      <c r="D11" s="74"/>
      <c r="E11" s="71"/>
    </row>
    <row r="12" spans="1:6" ht="15" customHeight="1" x14ac:dyDescent="0.25">
      <c r="A12" s="68" t="s">
        <v>54</v>
      </c>
      <c r="B12" s="75" t="s">
        <v>102</v>
      </c>
      <c r="C12" s="73">
        <v>7</v>
      </c>
      <c r="D12" s="74"/>
      <c r="E12" s="71"/>
    </row>
    <row r="13" spans="1:6" ht="15" customHeight="1" x14ac:dyDescent="0.25">
      <c r="A13" s="68" t="s">
        <v>55</v>
      </c>
      <c r="B13" s="11" t="s">
        <v>209</v>
      </c>
      <c r="C13" s="73">
        <v>0</v>
      </c>
      <c r="D13" s="74"/>
      <c r="E13" s="71"/>
    </row>
    <row r="14" spans="1:6" ht="15" customHeight="1" x14ac:dyDescent="0.25">
      <c r="A14" s="68" t="s">
        <v>56</v>
      </c>
      <c r="B14" s="75" t="s">
        <v>103</v>
      </c>
      <c r="C14" s="76"/>
      <c r="D14" s="77">
        <v>16</v>
      </c>
      <c r="E14" s="71"/>
    </row>
    <row r="15" spans="1:6" ht="15" customHeight="1" x14ac:dyDescent="0.25">
      <c r="A15" s="68" t="s">
        <v>57</v>
      </c>
      <c r="B15" s="72" t="s">
        <v>104</v>
      </c>
      <c r="C15" s="76"/>
      <c r="D15" s="77">
        <v>1</v>
      </c>
      <c r="E15" s="71"/>
    </row>
    <row r="16" spans="1:6" ht="15" customHeight="1" x14ac:dyDescent="0.25">
      <c r="A16" s="68" t="s">
        <v>29</v>
      </c>
      <c r="B16" s="72" t="s">
        <v>210</v>
      </c>
      <c r="C16" s="73">
        <v>1</v>
      </c>
      <c r="D16" s="77"/>
      <c r="E16" s="71"/>
    </row>
    <row r="17" spans="1:6" ht="15" customHeight="1" x14ac:dyDescent="0.25">
      <c r="A17" s="68" t="s">
        <v>29</v>
      </c>
      <c r="B17" s="72"/>
      <c r="C17" s="73"/>
      <c r="D17" s="74"/>
      <c r="E17" s="71"/>
    </row>
    <row r="18" spans="1:6" ht="15" customHeight="1" x14ac:dyDescent="0.25">
      <c r="A18" s="68" t="s">
        <v>30</v>
      </c>
      <c r="B18" s="75"/>
      <c r="C18" s="73"/>
      <c r="D18" s="74"/>
      <c r="E18" s="71"/>
    </row>
    <row r="19" spans="1:6" ht="15" customHeight="1" x14ac:dyDescent="0.25">
      <c r="A19" s="68" t="s">
        <v>35</v>
      </c>
      <c r="B19" s="78"/>
      <c r="C19" s="73"/>
      <c r="D19" s="74"/>
      <c r="E19" s="71"/>
    </row>
    <row r="20" spans="1:6" ht="15" customHeight="1" x14ac:dyDescent="0.25">
      <c r="A20" s="68"/>
      <c r="B20" s="78"/>
      <c r="C20" s="73"/>
      <c r="D20" s="74"/>
      <c r="E20" s="71"/>
    </row>
    <row r="21" spans="1:6" ht="15" customHeight="1" x14ac:dyDescent="0.25">
      <c r="A21" s="68" t="s">
        <v>31</v>
      </c>
      <c r="B21" s="75"/>
      <c r="C21" s="73"/>
      <c r="D21" s="74"/>
      <c r="E21" s="71"/>
    </row>
    <row r="22" spans="1:6" ht="15" customHeight="1" thickBot="1" x14ac:dyDescent="0.3">
      <c r="A22" s="68" t="s">
        <v>60</v>
      </c>
      <c r="B22" s="69"/>
      <c r="C22" s="79"/>
      <c r="D22" s="71"/>
      <c r="E22" s="80"/>
    </row>
    <row r="23" spans="1:6" s="11" customFormat="1" ht="18" customHeight="1" thickBot="1" x14ac:dyDescent="0.3">
      <c r="A23" s="911" t="s">
        <v>105</v>
      </c>
      <c r="B23" s="912"/>
      <c r="C23" s="81">
        <f>SUM(C6:C22)</f>
        <v>16</v>
      </c>
      <c r="D23" s="82">
        <f>SUM(D6:D22)</f>
        <v>17</v>
      </c>
      <c r="E23" s="83">
        <f>SUM(C23:D23)</f>
        <v>33</v>
      </c>
    </row>
    <row r="28" spans="1:6" ht="15" customHeight="1" x14ac:dyDescent="0.25">
      <c r="B28" s="11"/>
      <c r="C28" s="11"/>
      <c r="D28" s="11"/>
      <c r="E28" s="11"/>
      <c r="F28" s="84"/>
    </row>
    <row r="29" spans="1:6" ht="15" customHeight="1" x14ac:dyDescent="0.25">
      <c r="B29" s="11"/>
      <c r="C29" s="11"/>
      <c r="D29" s="11"/>
      <c r="E29" s="11"/>
      <c r="F29" s="84"/>
    </row>
    <row r="30" spans="1:6" ht="15" customHeight="1" x14ac:dyDescent="0.25">
      <c r="B30" s="11"/>
      <c r="C30" s="11"/>
      <c r="D30" s="11"/>
      <c r="E30" s="11"/>
      <c r="F30" s="84"/>
    </row>
    <row r="31" spans="1:6" ht="15" customHeight="1" x14ac:dyDescent="0.25">
      <c r="B31" s="11"/>
      <c r="C31" s="11"/>
      <c r="D31" s="11"/>
      <c r="E31" s="11"/>
      <c r="F31" s="84"/>
    </row>
    <row r="36" spans="2:6" ht="15" customHeight="1" x14ac:dyDescent="0.25">
      <c r="B36" s="11"/>
      <c r="C36" s="11"/>
      <c r="D36" s="11"/>
      <c r="E36" s="11"/>
      <c r="F36" s="84"/>
    </row>
    <row r="42" spans="2:6" ht="15" customHeight="1" x14ac:dyDescent="0.25">
      <c r="B42" s="11"/>
      <c r="C42" s="11"/>
      <c r="D42" s="11"/>
      <c r="E42" s="11"/>
      <c r="F42" s="84"/>
    </row>
    <row r="44" spans="2:6" ht="15" customHeight="1" x14ac:dyDescent="0.25">
      <c r="B44" s="11"/>
      <c r="C44" s="11"/>
      <c r="D44" s="11"/>
      <c r="E44" s="11"/>
      <c r="F44" s="84"/>
    </row>
  </sheetData>
  <mergeCells count="5">
    <mergeCell ref="A23:B23"/>
    <mergeCell ref="A1:E1"/>
    <mergeCell ref="A4:A5"/>
    <mergeCell ref="B4:B5"/>
    <mergeCell ref="C4:D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G17"/>
  <sheetViews>
    <sheetView workbookViewId="0">
      <selection activeCell="F36" sqref="F36"/>
    </sheetView>
  </sheetViews>
  <sheetFormatPr defaultRowHeight="13.2" x14ac:dyDescent="0.25"/>
  <cols>
    <col min="1" max="1" width="4.88671875" customWidth="1"/>
    <col min="3" max="3" width="36.109375" customWidth="1"/>
    <col min="4" max="4" width="23.44140625" bestFit="1" customWidth="1"/>
    <col min="5" max="5" width="14.109375" customWidth="1"/>
    <col min="6" max="6" width="16.5546875" customWidth="1"/>
    <col min="7" max="7" width="23.44140625" customWidth="1"/>
  </cols>
  <sheetData>
    <row r="1" spans="1:7" x14ac:dyDescent="0.25">
      <c r="A1" s="782" t="s">
        <v>458</v>
      </c>
      <c r="B1" s="782"/>
      <c r="C1" s="782"/>
      <c r="D1" s="782"/>
      <c r="E1" s="782"/>
      <c r="F1" s="782"/>
      <c r="G1" s="782"/>
    </row>
    <row r="2" spans="1:7" x14ac:dyDescent="0.25">
      <c r="A2" s="3"/>
      <c r="B2" s="3"/>
      <c r="C2" s="3"/>
      <c r="D2" s="137"/>
      <c r="E2" s="137"/>
      <c r="F2" s="137"/>
      <c r="G2" s="137"/>
    </row>
    <row r="3" spans="1:7" x14ac:dyDescent="0.25">
      <c r="A3" s="3"/>
      <c r="B3" s="3"/>
      <c r="C3" s="3"/>
      <c r="D3" s="137"/>
      <c r="E3" s="137"/>
      <c r="F3" s="137"/>
      <c r="G3" s="137"/>
    </row>
    <row r="4" spans="1:7" x14ac:dyDescent="0.25">
      <c r="A4" s="3"/>
      <c r="B4" s="3"/>
      <c r="C4" s="3"/>
      <c r="D4" s="137"/>
      <c r="E4" s="137"/>
      <c r="F4" s="137"/>
      <c r="G4" s="137"/>
    </row>
    <row r="5" spans="1:7" x14ac:dyDescent="0.25">
      <c r="A5" s="3"/>
      <c r="B5" s="3"/>
      <c r="C5" s="3"/>
      <c r="E5" s="14"/>
      <c r="F5" s="14"/>
      <c r="G5" s="14" t="s">
        <v>284</v>
      </c>
    </row>
    <row r="6" spans="1:7" ht="13.8" thickBot="1" x14ac:dyDescent="0.3">
      <c r="A6" s="1"/>
      <c r="B6" s="1"/>
      <c r="C6" s="2"/>
      <c r="D6" s="14"/>
      <c r="E6" s="14"/>
      <c r="F6" s="14"/>
      <c r="G6" s="14"/>
    </row>
    <row r="7" spans="1:7" ht="12.75" customHeight="1" x14ac:dyDescent="0.25">
      <c r="A7" s="919" t="s">
        <v>41</v>
      </c>
      <c r="B7" s="920"/>
      <c r="C7" s="921"/>
      <c r="D7" s="138" t="s">
        <v>304</v>
      </c>
      <c r="E7" s="157" t="s">
        <v>348</v>
      </c>
      <c r="F7" s="157" t="s">
        <v>349</v>
      </c>
      <c r="G7" s="157" t="s">
        <v>350</v>
      </c>
    </row>
    <row r="8" spans="1:7" x14ac:dyDescent="0.25">
      <c r="A8" s="922"/>
      <c r="B8" s="923"/>
      <c r="C8" s="902"/>
      <c r="D8" s="139" t="s">
        <v>94</v>
      </c>
      <c r="E8" s="139" t="s">
        <v>94</v>
      </c>
      <c r="F8" s="139" t="s">
        <v>94</v>
      </c>
      <c r="G8" s="139" t="s">
        <v>94</v>
      </c>
    </row>
    <row r="9" spans="1:7" x14ac:dyDescent="0.25">
      <c r="A9" s="4"/>
      <c r="B9" s="924"/>
      <c r="C9" s="924"/>
      <c r="D9" s="61"/>
      <c r="E9" s="5"/>
      <c r="F9" s="5"/>
      <c r="G9" s="5"/>
    </row>
    <row r="10" spans="1:7" x14ac:dyDescent="0.25">
      <c r="A10" s="4" t="s">
        <v>43</v>
      </c>
      <c r="B10" s="924" t="s">
        <v>205</v>
      </c>
      <c r="C10" s="924"/>
      <c r="D10" s="61">
        <v>157900000</v>
      </c>
      <c r="E10" s="5">
        <f>F10-D10</f>
        <v>38400383</v>
      </c>
      <c r="F10" s="5">
        <v>196300383</v>
      </c>
      <c r="G10" s="5">
        <v>186107207</v>
      </c>
    </row>
    <row r="11" spans="1:7" x14ac:dyDescent="0.25">
      <c r="A11" s="4" t="s">
        <v>44</v>
      </c>
      <c r="B11" s="924" t="s">
        <v>242</v>
      </c>
      <c r="C11" s="924"/>
      <c r="D11" s="61">
        <v>0</v>
      </c>
      <c r="E11" s="5">
        <f t="shared" ref="E11:E13" si="0">F11-D11</f>
        <v>362507</v>
      </c>
      <c r="F11" s="5">
        <v>362507</v>
      </c>
      <c r="G11" s="5">
        <v>362507</v>
      </c>
    </row>
    <row r="12" spans="1:7" x14ac:dyDescent="0.25">
      <c r="A12" s="4" t="s">
        <v>45</v>
      </c>
      <c r="B12" s="924" t="s">
        <v>297</v>
      </c>
      <c r="C12" s="924"/>
      <c r="D12" s="61">
        <v>100000</v>
      </c>
      <c r="E12" s="5">
        <f t="shared" si="0"/>
        <v>941576</v>
      </c>
      <c r="F12" s="5">
        <v>1041576</v>
      </c>
      <c r="G12" s="5">
        <v>347987</v>
      </c>
    </row>
    <row r="13" spans="1:7" ht="13.8" thickBot="1" x14ac:dyDescent="0.3">
      <c r="A13" s="4" t="s">
        <v>46</v>
      </c>
      <c r="B13" s="926" t="s">
        <v>298</v>
      </c>
      <c r="C13" s="926"/>
      <c r="D13" s="293">
        <v>2372880</v>
      </c>
      <c r="E13" s="5">
        <f t="shared" si="0"/>
        <v>0</v>
      </c>
      <c r="F13" s="20">
        <v>2372880</v>
      </c>
      <c r="G13" s="20">
        <v>2372880</v>
      </c>
    </row>
    <row r="14" spans="1:7" ht="13.8" thickBot="1" x14ac:dyDescent="0.3">
      <c r="A14" s="927" t="s">
        <v>206</v>
      </c>
      <c r="B14" s="928"/>
      <c r="C14" s="928"/>
      <c r="D14" s="294">
        <f>SUM(D9:D13)</f>
        <v>160372880</v>
      </c>
      <c r="E14" s="294">
        <f t="shared" ref="E14:G14" si="1">SUM(E9:E13)</f>
        <v>39704466</v>
      </c>
      <c r="F14" s="294">
        <f t="shared" si="1"/>
        <v>200077346</v>
      </c>
      <c r="G14" s="294">
        <f t="shared" si="1"/>
        <v>189190581</v>
      </c>
    </row>
    <row r="15" spans="1:7" ht="13.8" thickBot="1" x14ac:dyDescent="0.3">
      <c r="A15" s="929" t="s">
        <v>207</v>
      </c>
      <c r="B15" s="930"/>
      <c r="C15" s="931"/>
      <c r="D15" s="295">
        <f>D14*0.5</f>
        <v>80186440</v>
      </c>
      <c r="E15" s="295">
        <f t="shared" ref="E15:G15" si="2">E14*0.5</f>
        <v>19852233</v>
      </c>
      <c r="F15" s="295">
        <f t="shared" si="2"/>
        <v>100038673</v>
      </c>
      <c r="G15" s="295">
        <f t="shared" si="2"/>
        <v>94595290.5</v>
      </c>
    </row>
    <row r="16" spans="1:7" x14ac:dyDescent="0.25">
      <c r="A16" s="932"/>
      <c r="B16" s="932"/>
      <c r="C16" s="932"/>
      <c r="D16" s="140"/>
      <c r="E16" s="267"/>
      <c r="F16" s="267"/>
      <c r="G16" s="267"/>
    </row>
    <row r="17" spans="1:7" x14ac:dyDescent="0.25">
      <c r="A17" s="1"/>
      <c r="B17" s="925"/>
      <c r="C17" s="925"/>
      <c r="D17" s="10"/>
      <c r="E17" s="10"/>
      <c r="F17" s="10"/>
      <c r="G17" s="10"/>
    </row>
  </sheetData>
  <mergeCells count="11">
    <mergeCell ref="A1:G1"/>
    <mergeCell ref="A7:C8"/>
    <mergeCell ref="B9:C9"/>
    <mergeCell ref="B10:C10"/>
    <mergeCell ref="B17:C17"/>
    <mergeCell ref="B11:C11"/>
    <mergeCell ref="B12:C12"/>
    <mergeCell ref="B13:C13"/>
    <mergeCell ref="A14:C14"/>
    <mergeCell ref="A15:C15"/>
    <mergeCell ref="A16:C1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&amp;R9.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B13" sqref="B13"/>
    </sheetView>
  </sheetViews>
  <sheetFormatPr defaultRowHeight="13.2" x14ac:dyDescent="0.25"/>
  <cols>
    <col min="1" max="1" width="4.109375" bestFit="1" customWidth="1"/>
    <col min="2" max="2" width="65.44140625" bestFit="1" customWidth="1"/>
    <col min="3" max="3" width="13.33203125" bestFit="1" customWidth="1"/>
    <col min="4" max="4" width="7.44140625" bestFit="1" customWidth="1"/>
    <col min="5" max="5" width="13.33203125" bestFit="1" customWidth="1"/>
    <col min="257" max="257" width="4" bestFit="1" customWidth="1"/>
    <col min="258" max="258" width="63.44140625" customWidth="1"/>
    <col min="259" max="259" width="12.6640625" bestFit="1" customWidth="1"/>
    <col min="260" max="260" width="7.109375" customWidth="1"/>
    <col min="261" max="261" width="12.6640625" bestFit="1" customWidth="1"/>
    <col min="513" max="513" width="4" bestFit="1" customWidth="1"/>
    <col min="514" max="514" width="63.44140625" customWidth="1"/>
    <col min="515" max="515" width="12.6640625" bestFit="1" customWidth="1"/>
    <col min="516" max="516" width="7.109375" customWidth="1"/>
    <col min="517" max="517" width="12.6640625" bestFit="1" customWidth="1"/>
    <col min="769" max="769" width="4" bestFit="1" customWidth="1"/>
    <col min="770" max="770" width="63.44140625" customWidth="1"/>
    <col min="771" max="771" width="12.6640625" bestFit="1" customWidth="1"/>
    <col min="772" max="772" width="7.109375" customWidth="1"/>
    <col min="773" max="773" width="12.6640625" bestFit="1" customWidth="1"/>
    <col min="1025" max="1025" width="4" bestFit="1" customWidth="1"/>
    <col min="1026" max="1026" width="63.44140625" customWidth="1"/>
    <col min="1027" max="1027" width="12.6640625" bestFit="1" customWidth="1"/>
    <col min="1028" max="1028" width="7.109375" customWidth="1"/>
    <col min="1029" max="1029" width="12.6640625" bestFit="1" customWidth="1"/>
    <col min="1281" max="1281" width="4" bestFit="1" customWidth="1"/>
    <col min="1282" max="1282" width="63.44140625" customWidth="1"/>
    <col min="1283" max="1283" width="12.6640625" bestFit="1" customWidth="1"/>
    <col min="1284" max="1284" width="7.109375" customWidth="1"/>
    <col min="1285" max="1285" width="12.6640625" bestFit="1" customWidth="1"/>
    <col min="1537" max="1537" width="4" bestFit="1" customWidth="1"/>
    <col min="1538" max="1538" width="63.44140625" customWidth="1"/>
    <col min="1539" max="1539" width="12.6640625" bestFit="1" customWidth="1"/>
    <col min="1540" max="1540" width="7.109375" customWidth="1"/>
    <col min="1541" max="1541" width="12.6640625" bestFit="1" customWidth="1"/>
    <col min="1793" max="1793" width="4" bestFit="1" customWidth="1"/>
    <col min="1794" max="1794" width="63.44140625" customWidth="1"/>
    <col min="1795" max="1795" width="12.6640625" bestFit="1" customWidth="1"/>
    <col min="1796" max="1796" width="7.109375" customWidth="1"/>
    <col min="1797" max="1797" width="12.6640625" bestFit="1" customWidth="1"/>
    <col min="2049" max="2049" width="4" bestFit="1" customWidth="1"/>
    <col min="2050" max="2050" width="63.44140625" customWidth="1"/>
    <col min="2051" max="2051" width="12.6640625" bestFit="1" customWidth="1"/>
    <col min="2052" max="2052" width="7.109375" customWidth="1"/>
    <col min="2053" max="2053" width="12.6640625" bestFit="1" customWidth="1"/>
    <col min="2305" max="2305" width="4" bestFit="1" customWidth="1"/>
    <col min="2306" max="2306" width="63.44140625" customWidth="1"/>
    <col min="2307" max="2307" width="12.6640625" bestFit="1" customWidth="1"/>
    <col min="2308" max="2308" width="7.109375" customWidth="1"/>
    <col min="2309" max="2309" width="12.6640625" bestFit="1" customWidth="1"/>
    <col min="2561" max="2561" width="4" bestFit="1" customWidth="1"/>
    <col min="2562" max="2562" width="63.44140625" customWidth="1"/>
    <col min="2563" max="2563" width="12.6640625" bestFit="1" customWidth="1"/>
    <col min="2564" max="2564" width="7.109375" customWidth="1"/>
    <col min="2565" max="2565" width="12.6640625" bestFit="1" customWidth="1"/>
    <col min="2817" max="2817" width="4" bestFit="1" customWidth="1"/>
    <col min="2818" max="2818" width="63.44140625" customWidth="1"/>
    <col min="2819" max="2819" width="12.6640625" bestFit="1" customWidth="1"/>
    <col min="2820" max="2820" width="7.109375" customWidth="1"/>
    <col min="2821" max="2821" width="12.6640625" bestFit="1" customWidth="1"/>
    <col min="3073" max="3073" width="4" bestFit="1" customWidth="1"/>
    <col min="3074" max="3074" width="63.44140625" customWidth="1"/>
    <col min="3075" max="3075" width="12.6640625" bestFit="1" customWidth="1"/>
    <col min="3076" max="3076" width="7.109375" customWidth="1"/>
    <col min="3077" max="3077" width="12.6640625" bestFit="1" customWidth="1"/>
    <col min="3329" max="3329" width="4" bestFit="1" customWidth="1"/>
    <col min="3330" max="3330" width="63.44140625" customWidth="1"/>
    <col min="3331" max="3331" width="12.6640625" bestFit="1" customWidth="1"/>
    <col min="3332" max="3332" width="7.109375" customWidth="1"/>
    <col min="3333" max="3333" width="12.6640625" bestFit="1" customWidth="1"/>
    <col min="3585" max="3585" width="4" bestFit="1" customWidth="1"/>
    <col min="3586" max="3586" width="63.44140625" customWidth="1"/>
    <col min="3587" max="3587" width="12.6640625" bestFit="1" customWidth="1"/>
    <col min="3588" max="3588" width="7.109375" customWidth="1"/>
    <col min="3589" max="3589" width="12.6640625" bestFit="1" customWidth="1"/>
    <col min="3841" max="3841" width="4" bestFit="1" customWidth="1"/>
    <col min="3842" max="3842" width="63.44140625" customWidth="1"/>
    <col min="3843" max="3843" width="12.6640625" bestFit="1" customWidth="1"/>
    <col min="3844" max="3844" width="7.109375" customWidth="1"/>
    <col min="3845" max="3845" width="12.6640625" bestFit="1" customWidth="1"/>
    <col min="4097" max="4097" width="4" bestFit="1" customWidth="1"/>
    <col min="4098" max="4098" width="63.44140625" customWidth="1"/>
    <col min="4099" max="4099" width="12.6640625" bestFit="1" customWidth="1"/>
    <col min="4100" max="4100" width="7.109375" customWidth="1"/>
    <col min="4101" max="4101" width="12.6640625" bestFit="1" customWidth="1"/>
    <col min="4353" max="4353" width="4" bestFit="1" customWidth="1"/>
    <col min="4354" max="4354" width="63.44140625" customWidth="1"/>
    <col min="4355" max="4355" width="12.6640625" bestFit="1" customWidth="1"/>
    <col min="4356" max="4356" width="7.109375" customWidth="1"/>
    <col min="4357" max="4357" width="12.6640625" bestFit="1" customWidth="1"/>
    <col min="4609" max="4609" width="4" bestFit="1" customWidth="1"/>
    <col min="4610" max="4610" width="63.44140625" customWidth="1"/>
    <col min="4611" max="4611" width="12.6640625" bestFit="1" customWidth="1"/>
    <col min="4612" max="4612" width="7.109375" customWidth="1"/>
    <col min="4613" max="4613" width="12.6640625" bestFit="1" customWidth="1"/>
    <col min="4865" max="4865" width="4" bestFit="1" customWidth="1"/>
    <col min="4866" max="4866" width="63.44140625" customWidth="1"/>
    <col min="4867" max="4867" width="12.6640625" bestFit="1" customWidth="1"/>
    <col min="4868" max="4868" width="7.109375" customWidth="1"/>
    <col min="4869" max="4869" width="12.6640625" bestFit="1" customWidth="1"/>
    <col min="5121" max="5121" width="4" bestFit="1" customWidth="1"/>
    <col min="5122" max="5122" width="63.44140625" customWidth="1"/>
    <col min="5123" max="5123" width="12.6640625" bestFit="1" customWidth="1"/>
    <col min="5124" max="5124" width="7.109375" customWidth="1"/>
    <col min="5125" max="5125" width="12.6640625" bestFit="1" customWidth="1"/>
    <col min="5377" max="5377" width="4" bestFit="1" customWidth="1"/>
    <col min="5378" max="5378" width="63.44140625" customWidth="1"/>
    <col min="5379" max="5379" width="12.6640625" bestFit="1" customWidth="1"/>
    <col min="5380" max="5380" width="7.109375" customWidth="1"/>
    <col min="5381" max="5381" width="12.6640625" bestFit="1" customWidth="1"/>
    <col min="5633" max="5633" width="4" bestFit="1" customWidth="1"/>
    <col min="5634" max="5634" width="63.44140625" customWidth="1"/>
    <col min="5635" max="5635" width="12.6640625" bestFit="1" customWidth="1"/>
    <col min="5636" max="5636" width="7.109375" customWidth="1"/>
    <col min="5637" max="5637" width="12.6640625" bestFit="1" customWidth="1"/>
    <col min="5889" max="5889" width="4" bestFit="1" customWidth="1"/>
    <col min="5890" max="5890" width="63.44140625" customWidth="1"/>
    <col min="5891" max="5891" width="12.6640625" bestFit="1" customWidth="1"/>
    <col min="5892" max="5892" width="7.109375" customWidth="1"/>
    <col min="5893" max="5893" width="12.6640625" bestFit="1" customWidth="1"/>
    <col min="6145" max="6145" width="4" bestFit="1" customWidth="1"/>
    <col min="6146" max="6146" width="63.44140625" customWidth="1"/>
    <col min="6147" max="6147" width="12.6640625" bestFit="1" customWidth="1"/>
    <col min="6148" max="6148" width="7.109375" customWidth="1"/>
    <col min="6149" max="6149" width="12.6640625" bestFit="1" customWidth="1"/>
    <col min="6401" max="6401" width="4" bestFit="1" customWidth="1"/>
    <col min="6402" max="6402" width="63.44140625" customWidth="1"/>
    <col min="6403" max="6403" width="12.6640625" bestFit="1" customWidth="1"/>
    <col min="6404" max="6404" width="7.109375" customWidth="1"/>
    <col min="6405" max="6405" width="12.6640625" bestFit="1" customWidth="1"/>
    <col min="6657" max="6657" width="4" bestFit="1" customWidth="1"/>
    <col min="6658" max="6658" width="63.44140625" customWidth="1"/>
    <col min="6659" max="6659" width="12.6640625" bestFit="1" customWidth="1"/>
    <col min="6660" max="6660" width="7.109375" customWidth="1"/>
    <col min="6661" max="6661" width="12.6640625" bestFit="1" customWidth="1"/>
    <col min="6913" max="6913" width="4" bestFit="1" customWidth="1"/>
    <col min="6914" max="6914" width="63.44140625" customWidth="1"/>
    <col min="6915" max="6915" width="12.6640625" bestFit="1" customWidth="1"/>
    <col min="6916" max="6916" width="7.109375" customWidth="1"/>
    <col min="6917" max="6917" width="12.6640625" bestFit="1" customWidth="1"/>
    <col min="7169" max="7169" width="4" bestFit="1" customWidth="1"/>
    <col min="7170" max="7170" width="63.44140625" customWidth="1"/>
    <col min="7171" max="7171" width="12.6640625" bestFit="1" customWidth="1"/>
    <col min="7172" max="7172" width="7.109375" customWidth="1"/>
    <col min="7173" max="7173" width="12.6640625" bestFit="1" customWidth="1"/>
    <col min="7425" max="7425" width="4" bestFit="1" customWidth="1"/>
    <col min="7426" max="7426" width="63.44140625" customWidth="1"/>
    <col min="7427" max="7427" width="12.6640625" bestFit="1" customWidth="1"/>
    <col min="7428" max="7428" width="7.109375" customWidth="1"/>
    <col min="7429" max="7429" width="12.6640625" bestFit="1" customWidth="1"/>
    <col min="7681" max="7681" width="4" bestFit="1" customWidth="1"/>
    <col min="7682" max="7682" width="63.44140625" customWidth="1"/>
    <col min="7683" max="7683" width="12.6640625" bestFit="1" customWidth="1"/>
    <col min="7684" max="7684" width="7.109375" customWidth="1"/>
    <col min="7685" max="7685" width="12.6640625" bestFit="1" customWidth="1"/>
    <col min="7937" max="7937" width="4" bestFit="1" customWidth="1"/>
    <col min="7938" max="7938" width="63.44140625" customWidth="1"/>
    <col min="7939" max="7939" width="12.6640625" bestFit="1" customWidth="1"/>
    <col min="7940" max="7940" width="7.109375" customWidth="1"/>
    <col min="7941" max="7941" width="12.6640625" bestFit="1" customWidth="1"/>
    <col min="8193" max="8193" width="4" bestFit="1" customWidth="1"/>
    <col min="8194" max="8194" width="63.44140625" customWidth="1"/>
    <col min="8195" max="8195" width="12.6640625" bestFit="1" customWidth="1"/>
    <col min="8196" max="8196" width="7.109375" customWidth="1"/>
    <col min="8197" max="8197" width="12.6640625" bestFit="1" customWidth="1"/>
    <col min="8449" max="8449" width="4" bestFit="1" customWidth="1"/>
    <col min="8450" max="8450" width="63.44140625" customWidth="1"/>
    <col min="8451" max="8451" width="12.6640625" bestFit="1" customWidth="1"/>
    <col min="8452" max="8452" width="7.109375" customWidth="1"/>
    <col min="8453" max="8453" width="12.6640625" bestFit="1" customWidth="1"/>
    <col min="8705" max="8705" width="4" bestFit="1" customWidth="1"/>
    <col min="8706" max="8706" width="63.44140625" customWidth="1"/>
    <col min="8707" max="8707" width="12.6640625" bestFit="1" customWidth="1"/>
    <col min="8708" max="8708" width="7.109375" customWidth="1"/>
    <col min="8709" max="8709" width="12.6640625" bestFit="1" customWidth="1"/>
    <col min="8961" max="8961" width="4" bestFit="1" customWidth="1"/>
    <col min="8962" max="8962" width="63.44140625" customWidth="1"/>
    <col min="8963" max="8963" width="12.6640625" bestFit="1" customWidth="1"/>
    <col min="8964" max="8964" width="7.109375" customWidth="1"/>
    <col min="8965" max="8965" width="12.6640625" bestFit="1" customWidth="1"/>
    <col min="9217" max="9217" width="4" bestFit="1" customWidth="1"/>
    <col min="9218" max="9218" width="63.44140625" customWidth="1"/>
    <col min="9219" max="9219" width="12.6640625" bestFit="1" customWidth="1"/>
    <col min="9220" max="9220" width="7.109375" customWidth="1"/>
    <col min="9221" max="9221" width="12.6640625" bestFit="1" customWidth="1"/>
    <col min="9473" max="9473" width="4" bestFit="1" customWidth="1"/>
    <col min="9474" max="9474" width="63.44140625" customWidth="1"/>
    <col min="9475" max="9475" width="12.6640625" bestFit="1" customWidth="1"/>
    <col min="9476" max="9476" width="7.109375" customWidth="1"/>
    <col min="9477" max="9477" width="12.6640625" bestFit="1" customWidth="1"/>
    <col min="9729" max="9729" width="4" bestFit="1" customWidth="1"/>
    <col min="9730" max="9730" width="63.44140625" customWidth="1"/>
    <col min="9731" max="9731" width="12.6640625" bestFit="1" customWidth="1"/>
    <col min="9732" max="9732" width="7.109375" customWidth="1"/>
    <col min="9733" max="9733" width="12.6640625" bestFit="1" customWidth="1"/>
    <col min="9985" max="9985" width="4" bestFit="1" customWidth="1"/>
    <col min="9986" max="9986" width="63.44140625" customWidth="1"/>
    <col min="9987" max="9987" width="12.6640625" bestFit="1" customWidth="1"/>
    <col min="9988" max="9988" width="7.109375" customWidth="1"/>
    <col min="9989" max="9989" width="12.6640625" bestFit="1" customWidth="1"/>
    <col min="10241" max="10241" width="4" bestFit="1" customWidth="1"/>
    <col min="10242" max="10242" width="63.44140625" customWidth="1"/>
    <col min="10243" max="10243" width="12.6640625" bestFit="1" customWidth="1"/>
    <col min="10244" max="10244" width="7.109375" customWidth="1"/>
    <col min="10245" max="10245" width="12.6640625" bestFit="1" customWidth="1"/>
    <col min="10497" max="10497" width="4" bestFit="1" customWidth="1"/>
    <col min="10498" max="10498" width="63.44140625" customWidth="1"/>
    <col min="10499" max="10499" width="12.6640625" bestFit="1" customWidth="1"/>
    <col min="10500" max="10500" width="7.109375" customWidth="1"/>
    <col min="10501" max="10501" width="12.6640625" bestFit="1" customWidth="1"/>
    <col min="10753" max="10753" width="4" bestFit="1" customWidth="1"/>
    <col min="10754" max="10754" width="63.44140625" customWidth="1"/>
    <col min="10755" max="10755" width="12.6640625" bestFit="1" customWidth="1"/>
    <col min="10756" max="10756" width="7.109375" customWidth="1"/>
    <col min="10757" max="10757" width="12.6640625" bestFit="1" customWidth="1"/>
    <col min="11009" max="11009" width="4" bestFit="1" customWidth="1"/>
    <col min="11010" max="11010" width="63.44140625" customWidth="1"/>
    <col min="11011" max="11011" width="12.6640625" bestFit="1" customWidth="1"/>
    <col min="11012" max="11012" width="7.109375" customWidth="1"/>
    <col min="11013" max="11013" width="12.6640625" bestFit="1" customWidth="1"/>
    <col min="11265" max="11265" width="4" bestFit="1" customWidth="1"/>
    <col min="11266" max="11266" width="63.44140625" customWidth="1"/>
    <col min="11267" max="11267" width="12.6640625" bestFit="1" customWidth="1"/>
    <col min="11268" max="11268" width="7.109375" customWidth="1"/>
    <col min="11269" max="11269" width="12.6640625" bestFit="1" customWidth="1"/>
    <col min="11521" max="11521" width="4" bestFit="1" customWidth="1"/>
    <col min="11522" max="11522" width="63.44140625" customWidth="1"/>
    <col min="11523" max="11523" width="12.6640625" bestFit="1" customWidth="1"/>
    <col min="11524" max="11524" width="7.109375" customWidth="1"/>
    <col min="11525" max="11525" width="12.6640625" bestFit="1" customWidth="1"/>
    <col min="11777" max="11777" width="4" bestFit="1" customWidth="1"/>
    <col min="11778" max="11778" width="63.44140625" customWidth="1"/>
    <col min="11779" max="11779" width="12.6640625" bestFit="1" customWidth="1"/>
    <col min="11780" max="11780" width="7.109375" customWidth="1"/>
    <col min="11781" max="11781" width="12.6640625" bestFit="1" customWidth="1"/>
    <col min="12033" max="12033" width="4" bestFit="1" customWidth="1"/>
    <col min="12034" max="12034" width="63.44140625" customWidth="1"/>
    <col min="12035" max="12035" width="12.6640625" bestFit="1" customWidth="1"/>
    <col min="12036" max="12036" width="7.109375" customWidth="1"/>
    <col min="12037" max="12037" width="12.6640625" bestFit="1" customWidth="1"/>
    <col min="12289" max="12289" width="4" bestFit="1" customWidth="1"/>
    <col min="12290" max="12290" width="63.44140625" customWidth="1"/>
    <col min="12291" max="12291" width="12.6640625" bestFit="1" customWidth="1"/>
    <col min="12292" max="12292" width="7.109375" customWidth="1"/>
    <col min="12293" max="12293" width="12.6640625" bestFit="1" customWidth="1"/>
    <col min="12545" max="12545" width="4" bestFit="1" customWidth="1"/>
    <col min="12546" max="12546" width="63.44140625" customWidth="1"/>
    <col min="12547" max="12547" width="12.6640625" bestFit="1" customWidth="1"/>
    <col min="12548" max="12548" width="7.109375" customWidth="1"/>
    <col min="12549" max="12549" width="12.6640625" bestFit="1" customWidth="1"/>
    <col min="12801" max="12801" width="4" bestFit="1" customWidth="1"/>
    <col min="12802" max="12802" width="63.44140625" customWidth="1"/>
    <col min="12803" max="12803" width="12.6640625" bestFit="1" customWidth="1"/>
    <col min="12804" max="12804" width="7.109375" customWidth="1"/>
    <col min="12805" max="12805" width="12.6640625" bestFit="1" customWidth="1"/>
    <col min="13057" max="13057" width="4" bestFit="1" customWidth="1"/>
    <col min="13058" max="13058" width="63.44140625" customWidth="1"/>
    <col min="13059" max="13059" width="12.6640625" bestFit="1" customWidth="1"/>
    <col min="13060" max="13060" width="7.109375" customWidth="1"/>
    <col min="13061" max="13061" width="12.6640625" bestFit="1" customWidth="1"/>
    <col min="13313" max="13313" width="4" bestFit="1" customWidth="1"/>
    <col min="13314" max="13314" width="63.44140625" customWidth="1"/>
    <col min="13315" max="13315" width="12.6640625" bestFit="1" customWidth="1"/>
    <col min="13316" max="13316" width="7.109375" customWidth="1"/>
    <col min="13317" max="13317" width="12.6640625" bestFit="1" customWidth="1"/>
    <col min="13569" max="13569" width="4" bestFit="1" customWidth="1"/>
    <col min="13570" max="13570" width="63.44140625" customWidth="1"/>
    <col min="13571" max="13571" width="12.6640625" bestFit="1" customWidth="1"/>
    <col min="13572" max="13572" width="7.109375" customWidth="1"/>
    <col min="13573" max="13573" width="12.6640625" bestFit="1" customWidth="1"/>
    <col min="13825" max="13825" width="4" bestFit="1" customWidth="1"/>
    <col min="13826" max="13826" width="63.44140625" customWidth="1"/>
    <col min="13827" max="13827" width="12.6640625" bestFit="1" customWidth="1"/>
    <col min="13828" max="13828" width="7.109375" customWidth="1"/>
    <col min="13829" max="13829" width="12.6640625" bestFit="1" customWidth="1"/>
    <col min="14081" max="14081" width="4" bestFit="1" customWidth="1"/>
    <col min="14082" max="14082" width="63.44140625" customWidth="1"/>
    <col min="14083" max="14083" width="12.6640625" bestFit="1" customWidth="1"/>
    <col min="14084" max="14084" width="7.109375" customWidth="1"/>
    <col min="14085" max="14085" width="12.6640625" bestFit="1" customWidth="1"/>
    <col min="14337" max="14337" width="4" bestFit="1" customWidth="1"/>
    <col min="14338" max="14338" width="63.44140625" customWidth="1"/>
    <col min="14339" max="14339" width="12.6640625" bestFit="1" customWidth="1"/>
    <col min="14340" max="14340" width="7.109375" customWidth="1"/>
    <col min="14341" max="14341" width="12.6640625" bestFit="1" customWidth="1"/>
    <col min="14593" max="14593" width="4" bestFit="1" customWidth="1"/>
    <col min="14594" max="14594" width="63.44140625" customWidth="1"/>
    <col min="14595" max="14595" width="12.6640625" bestFit="1" customWidth="1"/>
    <col min="14596" max="14596" width="7.109375" customWidth="1"/>
    <col min="14597" max="14597" width="12.6640625" bestFit="1" customWidth="1"/>
    <col min="14849" max="14849" width="4" bestFit="1" customWidth="1"/>
    <col min="14850" max="14850" width="63.44140625" customWidth="1"/>
    <col min="14851" max="14851" width="12.6640625" bestFit="1" customWidth="1"/>
    <col min="14852" max="14852" width="7.109375" customWidth="1"/>
    <col min="14853" max="14853" width="12.6640625" bestFit="1" customWidth="1"/>
    <col min="15105" max="15105" width="4" bestFit="1" customWidth="1"/>
    <col min="15106" max="15106" width="63.44140625" customWidth="1"/>
    <col min="15107" max="15107" width="12.6640625" bestFit="1" customWidth="1"/>
    <col min="15108" max="15108" width="7.109375" customWidth="1"/>
    <col min="15109" max="15109" width="12.6640625" bestFit="1" customWidth="1"/>
    <col min="15361" max="15361" width="4" bestFit="1" customWidth="1"/>
    <col min="15362" max="15362" width="63.44140625" customWidth="1"/>
    <col min="15363" max="15363" width="12.6640625" bestFit="1" customWidth="1"/>
    <col min="15364" max="15364" width="7.109375" customWidth="1"/>
    <col min="15365" max="15365" width="12.6640625" bestFit="1" customWidth="1"/>
    <col min="15617" max="15617" width="4" bestFit="1" customWidth="1"/>
    <col min="15618" max="15618" width="63.44140625" customWidth="1"/>
    <col min="15619" max="15619" width="12.6640625" bestFit="1" customWidth="1"/>
    <col min="15620" max="15620" width="7.109375" customWidth="1"/>
    <col min="15621" max="15621" width="12.6640625" bestFit="1" customWidth="1"/>
    <col min="15873" max="15873" width="4" bestFit="1" customWidth="1"/>
    <col min="15874" max="15874" width="63.44140625" customWidth="1"/>
    <col min="15875" max="15875" width="12.6640625" bestFit="1" customWidth="1"/>
    <col min="15876" max="15876" width="7.109375" customWidth="1"/>
    <col min="15877" max="15877" width="12.6640625" bestFit="1" customWidth="1"/>
    <col min="16129" max="16129" width="4" bestFit="1" customWidth="1"/>
    <col min="16130" max="16130" width="63.44140625" customWidth="1"/>
    <col min="16131" max="16131" width="12.6640625" bestFit="1" customWidth="1"/>
    <col min="16132" max="16132" width="7.109375" customWidth="1"/>
    <col min="16133" max="16133" width="12.6640625" bestFit="1" customWidth="1"/>
  </cols>
  <sheetData>
    <row r="1" spans="1:5" x14ac:dyDescent="0.25">
      <c r="A1" s="933" t="s">
        <v>495</v>
      </c>
      <c r="B1" s="933"/>
      <c r="C1" s="933"/>
      <c r="D1" s="933"/>
      <c r="E1" s="933"/>
    </row>
    <row r="4" spans="1:5" ht="18" customHeight="1" x14ac:dyDescent="0.25">
      <c r="A4" s="934" t="s">
        <v>496</v>
      </c>
      <c r="B4" s="934"/>
      <c r="C4" s="934"/>
      <c r="D4" s="934"/>
      <c r="E4" s="653" t="s">
        <v>284</v>
      </c>
    </row>
    <row r="5" spans="1:5" ht="45" x14ac:dyDescent="0.25">
      <c r="A5" s="654"/>
      <c r="B5" s="655" t="s">
        <v>41</v>
      </c>
      <c r="C5" s="654" t="s">
        <v>497</v>
      </c>
      <c r="D5" s="654" t="s">
        <v>498</v>
      </c>
      <c r="E5" s="654" t="s">
        <v>499</v>
      </c>
    </row>
    <row r="6" spans="1:5" ht="15" x14ac:dyDescent="0.25">
      <c r="A6" s="654"/>
      <c r="B6" s="654"/>
      <c r="C6" s="654"/>
      <c r="D6" s="654"/>
      <c r="E6" s="654"/>
    </row>
    <row r="7" spans="1:5" x14ac:dyDescent="0.25">
      <c r="A7" s="656" t="s">
        <v>500</v>
      </c>
      <c r="B7" s="657" t="s">
        <v>501</v>
      </c>
      <c r="C7" s="658">
        <v>660055</v>
      </c>
      <c r="D7" s="658">
        <v>0</v>
      </c>
      <c r="E7" s="658">
        <v>330055</v>
      </c>
    </row>
    <row r="8" spans="1:5" x14ac:dyDescent="0.25">
      <c r="A8" s="659" t="s">
        <v>502</v>
      </c>
      <c r="B8" s="660" t="s">
        <v>503</v>
      </c>
      <c r="C8" s="661">
        <f>SUM(C7)</f>
        <v>660055</v>
      </c>
      <c r="D8" s="661">
        <f>SUM(D7)</f>
        <v>0</v>
      </c>
      <c r="E8" s="661">
        <f>SUM(E7)</f>
        <v>330055</v>
      </c>
    </row>
    <row r="9" spans="1:5" x14ac:dyDescent="0.25">
      <c r="A9" s="662" t="s">
        <v>504</v>
      </c>
      <c r="B9" s="663" t="s">
        <v>505</v>
      </c>
      <c r="C9" s="664">
        <v>996218387</v>
      </c>
      <c r="D9" s="664">
        <v>0</v>
      </c>
      <c r="E9" s="664">
        <v>1160089366</v>
      </c>
    </row>
    <row r="10" spans="1:5" x14ac:dyDescent="0.25">
      <c r="A10" s="662" t="s">
        <v>506</v>
      </c>
      <c r="B10" s="663" t="s">
        <v>507</v>
      </c>
      <c r="C10" s="664">
        <v>5676830</v>
      </c>
      <c r="D10" s="664">
        <v>0</v>
      </c>
      <c r="E10" s="664">
        <v>12040471</v>
      </c>
    </row>
    <row r="11" spans="1:5" x14ac:dyDescent="0.25">
      <c r="A11" s="662" t="s">
        <v>508</v>
      </c>
      <c r="B11" s="663" t="s">
        <v>509</v>
      </c>
      <c r="C11" s="664">
        <v>134708894</v>
      </c>
      <c r="D11" s="664">
        <v>0</v>
      </c>
      <c r="E11" s="664">
        <v>106735278</v>
      </c>
    </row>
    <row r="12" spans="1:5" x14ac:dyDescent="0.25">
      <c r="A12" s="659" t="s">
        <v>510</v>
      </c>
      <c r="B12" s="660" t="s">
        <v>511</v>
      </c>
      <c r="C12" s="661">
        <f>SUM(C9:C11)</f>
        <v>1136604111</v>
      </c>
      <c r="D12" s="661">
        <f>SUM(D9:D11)</f>
        <v>0</v>
      </c>
      <c r="E12" s="661">
        <f>SUM(E9:E11)</f>
        <v>1278865115</v>
      </c>
    </row>
    <row r="13" spans="1:5" x14ac:dyDescent="0.25">
      <c r="A13" s="662" t="s">
        <v>512</v>
      </c>
      <c r="B13" s="663" t="s">
        <v>513</v>
      </c>
      <c r="C13" s="664">
        <v>7850000</v>
      </c>
      <c r="D13" s="664">
        <v>0</v>
      </c>
      <c r="E13" s="664">
        <v>7850000</v>
      </c>
    </row>
    <row r="14" spans="1:5" x14ac:dyDescent="0.25">
      <c r="A14" s="662" t="s">
        <v>514</v>
      </c>
      <c r="B14" s="663" t="s">
        <v>515</v>
      </c>
      <c r="C14" s="664">
        <v>7850000</v>
      </c>
      <c r="D14" s="664">
        <v>0</v>
      </c>
      <c r="E14" s="664">
        <v>7850000</v>
      </c>
    </row>
    <row r="15" spans="1:5" x14ac:dyDescent="0.25">
      <c r="A15" s="659" t="s">
        <v>516</v>
      </c>
      <c r="B15" s="660" t="s">
        <v>517</v>
      </c>
      <c r="C15" s="661">
        <f>C13</f>
        <v>7850000</v>
      </c>
      <c r="D15" s="661">
        <f>D13</f>
        <v>0</v>
      </c>
      <c r="E15" s="661">
        <f>E13</f>
        <v>7850000</v>
      </c>
    </row>
    <row r="16" spans="1:5" ht="26.4" x14ac:dyDescent="0.25">
      <c r="A16" s="662" t="s">
        <v>518</v>
      </c>
      <c r="B16" s="663" t="s">
        <v>519</v>
      </c>
      <c r="C16" s="664">
        <v>98395840</v>
      </c>
      <c r="D16" s="664">
        <v>0</v>
      </c>
      <c r="E16" s="664">
        <v>213068782</v>
      </c>
    </row>
    <row r="17" spans="1:5" x14ac:dyDescent="0.25">
      <c r="A17" s="662" t="s">
        <v>520</v>
      </c>
      <c r="B17" s="663" t="s">
        <v>521</v>
      </c>
      <c r="C17" s="664">
        <v>98395840</v>
      </c>
      <c r="D17" s="664">
        <v>0</v>
      </c>
      <c r="E17" s="664">
        <v>213068782</v>
      </c>
    </row>
    <row r="18" spans="1:5" x14ac:dyDescent="0.25">
      <c r="A18" s="659" t="s">
        <v>522</v>
      </c>
      <c r="B18" s="660" t="s">
        <v>523</v>
      </c>
      <c r="C18" s="661">
        <f>C16</f>
        <v>98395840</v>
      </c>
      <c r="D18" s="661">
        <f>D16</f>
        <v>0</v>
      </c>
      <c r="E18" s="661">
        <f>E16</f>
        <v>213068782</v>
      </c>
    </row>
    <row r="19" spans="1:5" ht="26.4" x14ac:dyDescent="0.25">
      <c r="A19" s="659" t="s">
        <v>524</v>
      </c>
      <c r="B19" s="660" t="s">
        <v>525</v>
      </c>
      <c r="C19" s="661">
        <f>C8+C12+C15+C18</f>
        <v>1243510006</v>
      </c>
      <c r="D19" s="661">
        <f>D8+D12+D15+D18</f>
        <v>0</v>
      </c>
      <c r="E19" s="661">
        <f>E8+E12+E15+E18</f>
        <v>1500113952</v>
      </c>
    </row>
    <row r="20" spans="1:5" x14ac:dyDescent="0.25">
      <c r="A20" s="659"/>
      <c r="B20" t="s">
        <v>526</v>
      </c>
      <c r="C20" s="664">
        <v>0</v>
      </c>
      <c r="D20" s="664">
        <v>0</v>
      </c>
      <c r="E20" s="664">
        <v>555427</v>
      </c>
    </row>
    <row r="21" spans="1:5" ht="14.25" customHeight="1" x14ac:dyDescent="0.25">
      <c r="A21" s="659"/>
      <c r="B21" s="148" t="s">
        <v>527</v>
      </c>
      <c r="C21" s="661">
        <v>0</v>
      </c>
      <c r="D21" s="661">
        <v>0</v>
      </c>
      <c r="E21" s="661">
        <f>SUM(E20)</f>
        <v>555427</v>
      </c>
    </row>
    <row r="22" spans="1:5" ht="26.4" x14ac:dyDescent="0.25">
      <c r="A22" s="662" t="s">
        <v>528</v>
      </c>
      <c r="B22" s="663" t="s">
        <v>529</v>
      </c>
      <c r="C22" s="664">
        <v>131883904</v>
      </c>
      <c r="D22" s="664">
        <v>0</v>
      </c>
      <c r="E22" s="664">
        <v>65000000</v>
      </c>
    </row>
    <row r="23" spans="1:5" x14ac:dyDescent="0.25">
      <c r="A23" s="662" t="s">
        <v>530</v>
      </c>
      <c r="B23" s="663" t="s">
        <v>531</v>
      </c>
      <c r="C23" s="664">
        <v>131883904</v>
      </c>
      <c r="D23" s="664">
        <v>0</v>
      </c>
      <c r="E23" s="664">
        <v>65000000</v>
      </c>
    </row>
    <row r="24" spans="1:5" x14ac:dyDescent="0.25">
      <c r="A24" s="659" t="s">
        <v>532</v>
      </c>
      <c r="B24" s="660" t="s">
        <v>533</v>
      </c>
      <c r="C24" s="661">
        <f>C22</f>
        <v>131883904</v>
      </c>
      <c r="D24" s="661">
        <f>D22</f>
        <v>0</v>
      </c>
      <c r="E24" s="661">
        <f>E22</f>
        <v>65000000</v>
      </c>
    </row>
    <row r="25" spans="1:5" ht="15.75" customHeight="1" x14ac:dyDescent="0.25">
      <c r="A25" s="659" t="s">
        <v>534</v>
      </c>
      <c r="B25" s="660" t="s">
        <v>535</v>
      </c>
      <c r="C25" s="661">
        <f>C24</f>
        <v>131883904</v>
      </c>
      <c r="D25" s="661">
        <f>D24</f>
        <v>0</v>
      </c>
      <c r="E25" s="661">
        <f>E21+E24</f>
        <v>65555427</v>
      </c>
    </row>
    <row r="26" spans="1:5" x14ac:dyDescent="0.25">
      <c r="A26" s="662">
        <v>53</v>
      </c>
      <c r="B26" s="663" t="s">
        <v>536</v>
      </c>
      <c r="C26" s="664">
        <v>38575537</v>
      </c>
      <c r="D26" s="664">
        <v>0</v>
      </c>
      <c r="E26" s="664">
        <v>109300284</v>
      </c>
    </row>
    <row r="27" spans="1:5" x14ac:dyDescent="0.25">
      <c r="A27" s="662">
        <v>54</v>
      </c>
      <c r="B27" t="s">
        <v>537</v>
      </c>
      <c r="C27" s="664">
        <v>6423906</v>
      </c>
      <c r="D27" s="664"/>
      <c r="E27" s="664">
        <v>32651835</v>
      </c>
    </row>
    <row r="28" spans="1:5" x14ac:dyDescent="0.25">
      <c r="A28" s="659">
        <v>55</v>
      </c>
      <c r="B28" s="660" t="s">
        <v>538</v>
      </c>
      <c r="C28" s="661">
        <f>SUM(C26:C27)</f>
        <v>44999443</v>
      </c>
      <c r="D28" s="661">
        <f>SUM(D26)</f>
        <v>0</v>
      </c>
      <c r="E28" s="661">
        <f>SUM(E26:E27)</f>
        <v>141952119</v>
      </c>
    </row>
    <row r="29" spans="1:5" x14ac:dyDescent="0.25">
      <c r="A29" s="659">
        <v>59</v>
      </c>
      <c r="B29" s="660" t="s">
        <v>539</v>
      </c>
      <c r="C29" s="661">
        <f>C28</f>
        <v>44999443</v>
      </c>
      <c r="D29" s="661">
        <f>D28</f>
        <v>0</v>
      </c>
      <c r="E29" s="661">
        <f>E28</f>
        <v>141952119</v>
      </c>
    </row>
    <row r="30" spans="1:5" ht="26.4" x14ac:dyDescent="0.25">
      <c r="A30" s="662">
        <v>64</v>
      </c>
      <c r="B30" s="663" t="s">
        <v>540</v>
      </c>
      <c r="C30" s="664">
        <f>SUM(C31:C33)</f>
        <v>9340590</v>
      </c>
      <c r="D30" s="664">
        <f>SUM(D31:D32)</f>
        <v>0</v>
      </c>
      <c r="E30" s="664">
        <f>SUM(E31:E33)</f>
        <v>12275072</v>
      </c>
    </row>
    <row r="31" spans="1:5" ht="26.4" x14ac:dyDescent="0.25">
      <c r="A31" s="662">
        <v>68</v>
      </c>
      <c r="B31" s="663" t="s">
        <v>541</v>
      </c>
      <c r="C31" s="664">
        <v>705146</v>
      </c>
      <c r="D31" s="664">
        <v>0</v>
      </c>
      <c r="E31" s="664">
        <v>849001</v>
      </c>
    </row>
    <row r="32" spans="1:5" ht="26.4" x14ac:dyDescent="0.25">
      <c r="A32" s="662">
        <v>69</v>
      </c>
      <c r="B32" s="663" t="s">
        <v>542</v>
      </c>
      <c r="C32" s="664">
        <v>6950372</v>
      </c>
      <c r="D32" s="664">
        <v>0</v>
      </c>
      <c r="E32" s="664">
        <v>10732482</v>
      </c>
    </row>
    <row r="33" spans="1:5" ht="26.4" x14ac:dyDescent="0.25">
      <c r="A33" s="662">
        <v>70</v>
      </c>
      <c r="B33" s="663" t="s">
        <v>543</v>
      </c>
      <c r="C33" s="664">
        <v>1685072</v>
      </c>
      <c r="D33" s="664"/>
      <c r="E33" s="664">
        <v>693589</v>
      </c>
    </row>
    <row r="34" spans="1:5" ht="26.4" x14ac:dyDescent="0.25">
      <c r="A34" s="662">
        <v>71</v>
      </c>
      <c r="B34" s="663" t="s">
        <v>544</v>
      </c>
      <c r="C34" s="664">
        <v>20000</v>
      </c>
      <c r="D34" s="664">
        <f>SUM(D35:D38)</f>
        <v>0</v>
      </c>
      <c r="E34" s="664">
        <f>SUM(E35:E38)</f>
        <v>305960</v>
      </c>
    </row>
    <row r="35" spans="1:5" ht="39.6" x14ac:dyDescent="0.25">
      <c r="A35" s="662">
        <v>72</v>
      </c>
      <c r="B35" s="663" t="s">
        <v>545</v>
      </c>
      <c r="C35" s="664">
        <v>20000</v>
      </c>
      <c r="D35" s="664">
        <v>0</v>
      </c>
      <c r="E35" s="664">
        <v>247908</v>
      </c>
    </row>
    <row r="36" spans="1:5" x14ac:dyDescent="0.25">
      <c r="A36" s="662">
        <v>74</v>
      </c>
      <c r="B36" s="663" t="s">
        <v>546</v>
      </c>
      <c r="C36" s="664">
        <v>0</v>
      </c>
      <c r="D36" s="664"/>
      <c r="E36" s="664">
        <v>0</v>
      </c>
    </row>
    <row r="37" spans="1:5" ht="26.4" x14ac:dyDescent="0.25">
      <c r="A37" s="662">
        <v>75</v>
      </c>
      <c r="B37" s="663" t="s">
        <v>547</v>
      </c>
      <c r="C37" s="664">
        <v>0</v>
      </c>
      <c r="D37" s="664"/>
      <c r="E37" s="664">
        <v>58052</v>
      </c>
    </row>
    <row r="38" spans="1:5" ht="26.4" x14ac:dyDescent="0.25">
      <c r="A38" s="662">
        <v>76</v>
      </c>
      <c r="B38" s="663" t="s">
        <v>548</v>
      </c>
      <c r="C38" s="664">
        <v>0</v>
      </c>
      <c r="D38" s="664">
        <v>0</v>
      </c>
      <c r="E38" s="664">
        <v>0</v>
      </c>
    </row>
    <row r="39" spans="1:5" ht="26.4" x14ac:dyDescent="0.25">
      <c r="A39" s="662">
        <v>81</v>
      </c>
      <c r="B39" s="663" t="s">
        <v>549</v>
      </c>
      <c r="C39" s="664">
        <v>2372880</v>
      </c>
      <c r="D39" s="664">
        <v>0</v>
      </c>
      <c r="E39" s="664">
        <v>2372880</v>
      </c>
    </row>
    <row r="40" spans="1:5" ht="26.4" x14ac:dyDescent="0.25">
      <c r="A40" s="662">
        <v>83</v>
      </c>
      <c r="B40" s="663" t="s">
        <v>550</v>
      </c>
      <c r="C40" s="664">
        <v>2372880</v>
      </c>
      <c r="D40" s="664">
        <v>0</v>
      </c>
      <c r="E40" s="664">
        <v>2372880</v>
      </c>
    </row>
    <row r="41" spans="1:5" ht="26.4" x14ac:dyDescent="0.25">
      <c r="A41" s="662">
        <v>91</v>
      </c>
      <c r="B41" s="663" t="s">
        <v>551</v>
      </c>
      <c r="C41" s="664">
        <v>7981680</v>
      </c>
      <c r="D41" s="664">
        <v>0</v>
      </c>
      <c r="E41" s="664">
        <v>707620</v>
      </c>
    </row>
    <row r="42" spans="1:5" ht="39.6" x14ac:dyDescent="0.25">
      <c r="A42" s="662">
        <v>94</v>
      </c>
      <c r="B42" s="663" t="s">
        <v>552</v>
      </c>
      <c r="C42" s="664">
        <v>7981680</v>
      </c>
      <c r="D42" s="664">
        <v>0</v>
      </c>
      <c r="E42" s="664">
        <v>707620</v>
      </c>
    </row>
    <row r="43" spans="1:5" x14ac:dyDescent="0.25">
      <c r="A43" s="659">
        <v>103</v>
      </c>
      <c r="B43" s="660" t="s">
        <v>553</v>
      </c>
      <c r="C43" s="661">
        <f>C30+C34+C39+C41</f>
        <v>19715150</v>
      </c>
      <c r="D43" s="661">
        <f>D30+D34+D39+D41</f>
        <v>0</v>
      </c>
      <c r="E43" s="661">
        <f>E30+E34+E39+E41</f>
        <v>15661532</v>
      </c>
    </row>
    <row r="44" spans="1:5" ht="26.4" x14ac:dyDescent="0.25">
      <c r="A44" s="662">
        <v>125</v>
      </c>
      <c r="B44" s="663" t="s">
        <v>554</v>
      </c>
      <c r="C44" s="664">
        <v>10875440</v>
      </c>
      <c r="D44" s="664">
        <v>0</v>
      </c>
      <c r="E44" s="664">
        <v>8502560</v>
      </c>
    </row>
    <row r="45" spans="1:5" ht="26.4" x14ac:dyDescent="0.25">
      <c r="A45" s="662">
        <v>127</v>
      </c>
      <c r="B45" s="663" t="s">
        <v>555</v>
      </c>
      <c r="C45" s="664">
        <v>10875440</v>
      </c>
      <c r="D45" s="664">
        <v>0</v>
      </c>
      <c r="E45" s="664">
        <v>8502560</v>
      </c>
    </row>
    <row r="46" spans="1:5" ht="26.4" x14ac:dyDescent="0.25">
      <c r="A46" s="662">
        <v>135</v>
      </c>
      <c r="B46" s="663" t="s">
        <v>556</v>
      </c>
      <c r="C46" s="664">
        <v>7112786</v>
      </c>
      <c r="D46" s="664">
        <v>0</v>
      </c>
      <c r="E46" s="664">
        <v>6683858</v>
      </c>
    </row>
    <row r="47" spans="1:5" ht="39.6" x14ac:dyDescent="0.25">
      <c r="A47" s="662">
        <v>138</v>
      </c>
      <c r="B47" s="663" t="s">
        <v>557</v>
      </c>
      <c r="C47" s="664">
        <v>7112786</v>
      </c>
      <c r="D47" s="664">
        <v>0</v>
      </c>
      <c r="E47" s="664">
        <v>6683858</v>
      </c>
    </row>
    <row r="48" spans="1:5" ht="26.4" x14ac:dyDescent="0.25">
      <c r="A48" s="659">
        <v>144</v>
      </c>
      <c r="B48" s="660" t="s">
        <v>558</v>
      </c>
      <c r="C48" s="661">
        <f>C44+C46</f>
        <v>17988226</v>
      </c>
      <c r="D48" s="661">
        <f>D44+D46</f>
        <v>0</v>
      </c>
      <c r="E48" s="661">
        <f>E44+E46</f>
        <v>15186418</v>
      </c>
    </row>
    <row r="49" spans="1:5" x14ac:dyDescent="0.25">
      <c r="A49" s="662">
        <v>145</v>
      </c>
      <c r="B49" s="663" t="s">
        <v>559</v>
      </c>
      <c r="C49" s="664">
        <v>1706060</v>
      </c>
      <c r="D49" s="664">
        <v>0</v>
      </c>
      <c r="E49" s="664">
        <v>0</v>
      </c>
    </row>
    <row r="50" spans="1:5" x14ac:dyDescent="0.25">
      <c r="A50" s="662">
        <v>146</v>
      </c>
      <c r="B50" t="s">
        <v>560</v>
      </c>
      <c r="C50" s="664">
        <v>1686060</v>
      </c>
      <c r="D50" s="664">
        <v>0</v>
      </c>
      <c r="E50" s="664">
        <v>0</v>
      </c>
    </row>
    <row r="51" spans="1:5" x14ac:dyDescent="0.25">
      <c r="A51" s="662">
        <v>150</v>
      </c>
      <c r="B51" s="663" t="s">
        <v>561</v>
      </c>
      <c r="C51" s="664">
        <v>20000</v>
      </c>
      <c r="D51" s="664">
        <v>0</v>
      </c>
      <c r="E51" s="664">
        <v>0</v>
      </c>
    </row>
    <row r="52" spans="1:5" x14ac:dyDescent="0.25">
      <c r="A52" s="662">
        <v>154</v>
      </c>
      <c r="B52" s="663" t="s">
        <v>562</v>
      </c>
      <c r="C52" s="664">
        <v>155000</v>
      </c>
      <c r="D52" s="664">
        <v>0</v>
      </c>
      <c r="E52" s="664">
        <v>155000</v>
      </c>
    </row>
    <row r="53" spans="1:5" ht="26.4" x14ac:dyDescent="0.25">
      <c r="A53" s="662">
        <v>155</v>
      </c>
      <c r="B53" s="663" t="s">
        <v>563</v>
      </c>
      <c r="C53" s="664">
        <v>160351966</v>
      </c>
      <c r="D53" s="664">
        <v>0</v>
      </c>
      <c r="E53" s="664">
        <v>168601893</v>
      </c>
    </row>
    <row r="54" spans="1:5" x14ac:dyDescent="0.25">
      <c r="A54" s="659">
        <v>160</v>
      </c>
      <c r="B54" s="660" t="s">
        <v>564</v>
      </c>
      <c r="C54" s="661">
        <f>C49+C52+C53</f>
        <v>162213026</v>
      </c>
      <c r="D54" s="661">
        <f>D49+D52</f>
        <v>0</v>
      </c>
      <c r="E54" s="661">
        <f>E49+E52+E53</f>
        <v>168756893</v>
      </c>
    </row>
    <row r="55" spans="1:5" x14ac:dyDescent="0.25">
      <c r="A55" s="659">
        <v>161</v>
      </c>
      <c r="B55" s="660" t="s">
        <v>565</v>
      </c>
      <c r="C55" s="661">
        <f>C43+C48+C54</f>
        <v>199916402</v>
      </c>
      <c r="D55" s="661">
        <f>D43+D48+D54</f>
        <v>0</v>
      </c>
      <c r="E55" s="661">
        <f>E43+E48+E54</f>
        <v>199604843</v>
      </c>
    </row>
    <row r="56" spans="1:5" x14ac:dyDescent="0.25">
      <c r="A56" s="662">
        <v>163</v>
      </c>
      <c r="B56" s="663" t="s">
        <v>566</v>
      </c>
      <c r="C56" s="664">
        <v>1168391</v>
      </c>
      <c r="D56" s="664">
        <v>0</v>
      </c>
      <c r="E56" s="664">
        <v>1304820</v>
      </c>
    </row>
    <row r="57" spans="1:5" x14ac:dyDescent="0.25">
      <c r="A57" s="662">
        <v>168</v>
      </c>
      <c r="B57" t="s">
        <v>567</v>
      </c>
      <c r="C57" s="664">
        <v>-6283786</v>
      </c>
      <c r="D57" s="664">
        <v>0</v>
      </c>
      <c r="E57" s="664">
        <v>-396115</v>
      </c>
    </row>
    <row r="58" spans="1:5" x14ac:dyDescent="0.25">
      <c r="A58" s="659">
        <v>175</v>
      </c>
      <c r="B58" s="660" t="s">
        <v>568</v>
      </c>
      <c r="C58" s="661">
        <f>C56+C57</f>
        <v>-5115395</v>
      </c>
      <c r="D58" s="661">
        <f>D56+D57</f>
        <v>0</v>
      </c>
      <c r="E58" s="661">
        <f>E56+E57</f>
        <v>908705</v>
      </c>
    </row>
    <row r="59" spans="1:5" x14ac:dyDescent="0.25">
      <c r="A59" s="662">
        <v>176</v>
      </c>
      <c r="B59" s="663" t="s">
        <v>569</v>
      </c>
      <c r="C59" s="664">
        <v>715832</v>
      </c>
      <c r="D59" s="664">
        <v>0</v>
      </c>
      <c r="E59" s="664">
        <v>0</v>
      </c>
    </row>
    <row r="60" spans="1:5" x14ac:dyDescent="0.25">
      <c r="A60" s="659">
        <v>179</v>
      </c>
      <c r="B60" s="660" t="s">
        <v>570</v>
      </c>
      <c r="C60" s="661">
        <f>SUM(C59)</f>
        <v>715832</v>
      </c>
      <c r="D60" s="661">
        <f>SUM(D59)</f>
        <v>0</v>
      </c>
      <c r="E60" s="661">
        <f>SUM(E59)</f>
        <v>0</v>
      </c>
    </row>
    <row r="61" spans="1:5" s="150" customFormat="1" ht="27.75" customHeight="1" thickBot="1" x14ac:dyDescent="0.3">
      <c r="A61" s="665">
        <v>180</v>
      </c>
      <c r="B61" s="666" t="s">
        <v>571</v>
      </c>
      <c r="C61" s="667">
        <f>C19+C25+C29+C55+C58+C60</f>
        <v>1615910192</v>
      </c>
      <c r="D61" s="667">
        <f>D19+D25+D29+D55+D58+D60</f>
        <v>0</v>
      </c>
      <c r="E61" s="667">
        <f>E19+E25+E29+E55+E58+E60</f>
        <v>1908135046</v>
      </c>
    </row>
    <row r="62" spans="1:5" ht="13.8" thickTop="1" x14ac:dyDescent="0.25">
      <c r="A62" s="662">
        <v>181</v>
      </c>
      <c r="B62" s="663" t="s">
        <v>572</v>
      </c>
      <c r="C62" s="664">
        <v>1584268935</v>
      </c>
      <c r="D62" s="664">
        <v>0</v>
      </c>
      <c r="E62" s="664">
        <v>1584268935</v>
      </c>
    </row>
    <row r="63" spans="1:5" x14ac:dyDescent="0.25">
      <c r="A63" s="662">
        <v>182</v>
      </c>
      <c r="B63" s="663" t="s">
        <v>573</v>
      </c>
      <c r="C63" s="664">
        <v>100446923</v>
      </c>
      <c r="D63" s="664">
        <v>0</v>
      </c>
      <c r="E63" s="664">
        <v>230049637</v>
      </c>
    </row>
    <row r="64" spans="1:5" x14ac:dyDescent="0.25">
      <c r="A64" s="662">
        <v>186</v>
      </c>
      <c r="B64" s="663" t="s">
        <v>574</v>
      </c>
      <c r="C64" s="664">
        <v>10542799</v>
      </c>
      <c r="D64" s="664">
        <v>0</v>
      </c>
      <c r="E64" s="664">
        <v>10542799</v>
      </c>
    </row>
    <row r="65" spans="1:5" x14ac:dyDescent="0.25">
      <c r="A65" s="662">
        <v>187</v>
      </c>
      <c r="B65" s="663" t="s">
        <v>575</v>
      </c>
      <c r="C65" s="664">
        <v>-194540229</v>
      </c>
      <c r="D65" s="664">
        <v>0</v>
      </c>
      <c r="E65" s="664">
        <v>-211976924</v>
      </c>
    </row>
    <row r="66" spans="1:5" x14ac:dyDescent="0.25">
      <c r="A66" s="662">
        <v>189</v>
      </c>
      <c r="B66" s="663" t="s">
        <v>576</v>
      </c>
      <c r="C66" s="664">
        <v>-17436695</v>
      </c>
      <c r="D66" s="664">
        <v>0</v>
      </c>
      <c r="E66" s="664">
        <v>131661334</v>
      </c>
    </row>
    <row r="67" spans="1:5" x14ac:dyDescent="0.25">
      <c r="A67" s="659">
        <v>190</v>
      </c>
      <c r="B67" s="660" t="s">
        <v>577</v>
      </c>
      <c r="C67" s="661">
        <f>SUM(C62:C66)</f>
        <v>1483281733</v>
      </c>
      <c r="D67" s="661">
        <f>SUM(D62:D66)</f>
        <v>0</v>
      </c>
      <c r="E67" s="661">
        <f>SUM(E62:E66)</f>
        <v>1744545781</v>
      </c>
    </row>
    <row r="68" spans="1:5" x14ac:dyDescent="0.25">
      <c r="A68" s="662">
        <v>193</v>
      </c>
      <c r="B68" t="s">
        <v>578</v>
      </c>
      <c r="C68" s="664">
        <v>885050</v>
      </c>
      <c r="D68" s="664">
        <v>0</v>
      </c>
      <c r="E68" s="664">
        <v>0</v>
      </c>
    </row>
    <row r="69" spans="1:5" ht="26.4" x14ac:dyDescent="0.25">
      <c r="A69" s="662">
        <v>200</v>
      </c>
      <c r="B69" s="663" t="s">
        <v>579</v>
      </c>
      <c r="C69" s="664">
        <v>0</v>
      </c>
      <c r="D69" s="664">
        <v>0</v>
      </c>
      <c r="E69" s="664">
        <v>0</v>
      </c>
    </row>
    <row r="70" spans="1:5" x14ac:dyDescent="0.25">
      <c r="A70" s="659">
        <v>217</v>
      </c>
      <c r="B70" s="660" t="s">
        <v>580</v>
      </c>
      <c r="C70" s="661">
        <f>SUM(C68:C69)</f>
        <v>885050</v>
      </c>
      <c r="D70" s="661">
        <f>SUM(D68:D69)</f>
        <v>0</v>
      </c>
      <c r="E70" s="661">
        <f>SUM(E68:E69)</f>
        <v>0</v>
      </c>
    </row>
    <row r="71" spans="1:5" ht="26.4" x14ac:dyDescent="0.25">
      <c r="A71" s="662">
        <v>222</v>
      </c>
      <c r="B71" s="663" t="s">
        <v>581</v>
      </c>
      <c r="C71" s="664">
        <v>0</v>
      </c>
      <c r="D71" s="664">
        <v>0</v>
      </c>
      <c r="E71" s="664">
        <v>0</v>
      </c>
    </row>
    <row r="72" spans="1:5" ht="26.4" x14ac:dyDescent="0.25">
      <c r="A72" s="662">
        <v>230</v>
      </c>
      <c r="B72" s="663" t="s">
        <v>582</v>
      </c>
      <c r="C72" s="664">
        <v>9110753</v>
      </c>
      <c r="D72" s="664">
        <v>0</v>
      </c>
      <c r="E72" s="664">
        <v>11319727</v>
      </c>
    </row>
    <row r="73" spans="1:5" x14ac:dyDescent="0.25">
      <c r="A73" s="659">
        <v>235</v>
      </c>
      <c r="B73" s="660" t="s">
        <v>583</v>
      </c>
      <c r="C73" s="661">
        <f>SUM(C71:C72)</f>
        <v>9110753</v>
      </c>
      <c r="D73" s="661">
        <f>SUM(D71:D72)</f>
        <v>0</v>
      </c>
      <c r="E73" s="661">
        <f>SUM(E71:E72)</f>
        <v>11319727</v>
      </c>
    </row>
    <row r="74" spans="1:5" x14ac:dyDescent="0.25">
      <c r="A74" s="662">
        <v>242</v>
      </c>
      <c r="B74" s="663" t="s">
        <v>584</v>
      </c>
      <c r="C74" s="664">
        <v>3191883</v>
      </c>
      <c r="D74" s="664">
        <v>0</v>
      </c>
      <c r="E74" s="664">
        <v>4303167</v>
      </c>
    </row>
    <row r="75" spans="1:5" x14ac:dyDescent="0.25">
      <c r="A75" s="662">
        <v>243</v>
      </c>
      <c r="B75" t="s">
        <v>585</v>
      </c>
      <c r="C75" s="664">
        <v>0</v>
      </c>
      <c r="D75" s="664">
        <v>0</v>
      </c>
      <c r="E75" s="664">
        <v>0</v>
      </c>
    </row>
    <row r="76" spans="1:5" x14ac:dyDescent="0.25">
      <c r="A76" s="662">
        <v>244</v>
      </c>
      <c r="B76" s="663" t="s">
        <v>586</v>
      </c>
      <c r="C76" s="664">
        <v>3570</v>
      </c>
      <c r="D76" s="664">
        <v>0</v>
      </c>
      <c r="E76" s="664">
        <v>0</v>
      </c>
    </row>
    <row r="77" spans="1:5" x14ac:dyDescent="0.25">
      <c r="A77" s="659">
        <v>252</v>
      </c>
      <c r="B77" s="660" t="s">
        <v>587</v>
      </c>
      <c r="C77" s="661">
        <f>C74+C76</f>
        <v>3195453</v>
      </c>
      <c r="D77" s="661">
        <f>D74+D76</f>
        <v>0</v>
      </c>
      <c r="E77" s="661">
        <f>E74+E76</f>
        <v>4303167</v>
      </c>
    </row>
    <row r="78" spans="1:5" x14ac:dyDescent="0.25">
      <c r="A78" s="659">
        <v>253</v>
      </c>
      <c r="B78" s="660" t="s">
        <v>588</v>
      </c>
      <c r="C78" s="661">
        <f>C70+C73+C77</f>
        <v>13191256</v>
      </c>
      <c r="D78" s="661">
        <f>D70+D73+D77</f>
        <v>0</v>
      </c>
      <c r="E78" s="661">
        <f>E70+E73+E77</f>
        <v>15622894</v>
      </c>
    </row>
    <row r="79" spans="1:5" x14ac:dyDescent="0.25">
      <c r="A79" s="659">
        <v>255</v>
      </c>
      <c r="B79" t="s">
        <v>589</v>
      </c>
      <c r="C79" s="664">
        <v>24751594</v>
      </c>
      <c r="D79" s="664">
        <v>0</v>
      </c>
      <c r="E79" s="664">
        <v>0</v>
      </c>
    </row>
    <row r="80" spans="1:5" x14ac:dyDescent="0.25">
      <c r="A80" s="662">
        <v>256</v>
      </c>
      <c r="B80" s="663" t="s">
        <v>590</v>
      </c>
      <c r="C80" s="664">
        <v>3013039</v>
      </c>
      <c r="D80" s="664">
        <v>0</v>
      </c>
      <c r="E80" s="664">
        <v>2849130</v>
      </c>
    </row>
    <row r="81" spans="1:5" x14ac:dyDescent="0.25">
      <c r="A81" s="662">
        <v>257</v>
      </c>
      <c r="B81" t="s">
        <v>591</v>
      </c>
      <c r="C81" s="664">
        <v>91672570</v>
      </c>
      <c r="D81" s="664">
        <v>0</v>
      </c>
      <c r="E81" s="664">
        <v>145117241</v>
      </c>
    </row>
    <row r="82" spans="1:5" x14ac:dyDescent="0.25">
      <c r="A82" s="659">
        <v>258</v>
      </c>
      <c r="B82" s="660" t="s">
        <v>592</v>
      </c>
      <c r="C82" s="661">
        <f>SUM(C79:C81)</f>
        <v>119437203</v>
      </c>
      <c r="D82" s="661">
        <f>SUM(D80)</f>
        <v>0</v>
      </c>
      <c r="E82" s="661">
        <f>SUM(E79:E81)</f>
        <v>147966371</v>
      </c>
    </row>
    <row r="83" spans="1:5" s="671" customFormat="1" ht="21.75" customHeight="1" x14ac:dyDescent="0.25">
      <c r="A83" s="668">
        <v>259</v>
      </c>
      <c r="B83" s="669" t="s">
        <v>593</v>
      </c>
      <c r="C83" s="670">
        <f>C67+C78+C82</f>
        <v>1615910192</v>
      </c>
      <c r="D83" s="670">
        <f>D67+D78+D82</f>
        <v>0</v>
      </c>
      <c r="E83" s="670">
        <f>E67+E78+E82</f>
        <v>1908135046</v>
      </c>
    </row>
  </sheetData>
  <mergeCells count="2">
    <mergeCell ref="A1:E1"/>
    <mergeCell ref="A4:D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&amp;R10.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B25" sqref="B25"/>
    </sheetView>
  </sheetViews>
  <sheetFormatPr defaultRowHeight="13.2" x14ac:dyDescent="0.25"/>
  <cols>
    <col min="1" max="1" width="3.88671875" customWidth="1"/>
    <col min="2" max="2" width="58.109375" customWidth="1"/>
    <col min="3" max="3" width="11.109375" bestFit="1" customWidth="1"/>
    <col min="4" max="4" width="14.33203125" style="147" customWidth="1"/>
    <col min="257" max="257" width="3.88671875" customWidth="1"/>
    <col min="258" max="258" width="58.109375" customWidth="1"/>
    <col min="259" max="259" width="11.109375" bestFit="1" customWidth="1"/>
    <col min="260" max="260" width="14.33203125" customWidth="1"/>
    <col min="513" max="513" width="3.88671875" customWidth="1"/>
    <col min="514" max="514" width="58.109375" customWidth="1"/>
    <col min="515" max="515" width="11.109375" bestFit="1" customWidth="1"/>
    <col min="516" max="516" width="14.33203125" customWidth="1"/>
    <col min="769" max="769" width="3.88671875" customWidth="1"/>
    <col min="770" max="770" width="58.109375" customWidth="1"/>
    <col min="771" max="771" width="11.109375" bestFit="1" customWidth="1"/>
    <col min="772" max="772" width="14.33203125" customWidth="1"/>
    <col min="1025" max="1025" width="3.88671875" customWidth="1"/>
    <col min="1026" max="1026" width="58.109375" customWidth="1"/>
    <col min="1027" max="1027" width="11.109375" bestFit="1" customWidth="1"/>
    <col min="1028" max="1028" width="14.33203125" customWidth="1"/>
    <col min="1281" max="1281" width="3.88671875" customWidth="1"/>
    <col min="1282" max="1282" width="58.109375" customWidth="1"/>
    <col min="1283" max="1283" width="11.109375" bestFit="1" customWidth="1"/>
    <col min="1284" max="1284" width="14.33203125" customWidth="1"/>
    <col min="1537" max="1537" width="3.88671875" customWidth="1"/>
    <col min="1538" max="1538" width="58.109375" customWidth="1"/>
    <col min="1539" max="1539" width="11.109375" bestFit="1" customWidth="1"/>
    <col min="1540" max="1540" width="14.33203125" customWidth="1"/>
    <col min="1793" max="1793" width="3.88671875" customWidth="1"/>
    <col min="1794" max="1794" width="58.109375" customWidth="1"/>
    <col min="1795" max="1795" width="11.109375" bestFit="1" customWidth="1"/>
    <col min="1796" max="1796" width="14.33203125" customWidth="1"/>
    <col min="2049" max="2049" width="3.88671875" customWidth="1"/>
    <col min="2050" max="2050" width="58.109375" customWidth="1"/>
    <col min="2051" max="2051" width="11.109375" bestFit="1" customWidth="1"/>
    <col min="2052" max="2052" width="14.33203125" customWidth="1"/>
    <col min="2305" max="2305" width="3.88671875" customWidth="1"/>
    <col min="2306" max="2306" width="58.109375" customWidth="1"/>
    <col min="2307" max="2307" width="11.109375" bestFit="1" customWidth="1"/>
    <col min="2308" max="2308" width="14.33203125" customWidth="1"/>
    <col min="2561" max="2561" width="3.88671875" customWidth="1"/>
    <col min="2562" max="2562" width="58.109375" customWidth="1"/>
    <col min="2563" max="2563" width="11.109375" bestFit="1" customWidth="1"/>
    <col min="2564" max="2564" width="14.33203125" customWidth="1"/>
    <col min="2817" max="2817" width="3.88671875" customWidth="1"/>
    <col min="2818" max="2818" width="58.109375" customWidth="1"/>
    <col min="2819" max="2819" width="11.109375" bestFit="1" customWidth="1"/>
    <col min="2820" max="2820" width="14.33203125" customWidth="1"/>
    <col min="3073" max="3073" width="3.88671875" customWidth="1"/>
    <col min="3074" max="3074" width="58.109375" customWidth="1"/>
    <col min="3075" max="3075" width="11.109375" bestFit="1" customWidth="1"/>
    <col min="3076" max="3076" width="14.33203125" customWidth="1"/>
    <col min="3329" max="3329" width="3.88671875" customWidth="1"/>
    <col min="3330" max="3330" width="58.109375" customWidth="1"/>
    <col min="3331" max="3331" width="11.109375" bestFit="1" customWidth="1"/>
    <col min="3332" max="3332" width="14.33203125" customWidth="1"/>
    <col min="3585" max="3585" width="3.88671875" customWidth="1"/>
    <col min="3586" max="3586" width="58.109375" customWidth="1"/>
    <col min="3587" max="3587" width="11.109375" bestFit="1" customWidth="1"/>
    <col min="3588" max="3588" width="14.33203125" customWidth="1"/>
    <col min="3841" max="3841" width="3.88671875" customWidth="1"/>
    <col min="3842" max="3842" width="58.109375" customWidth="1"/>
    <col min="3843" max="3843" width="11.109375" bestFit="1" customWidth="1"/>
    <col min="3844" max="3844" width="14.33203125" customWidth="1"/>
    <col min="4097" max="4097" width="3.88671875" customWidth="1"/>
    <col min="4098" max="4098" width="58.109375" customWidth="1"/>
    <col min="4099" max="4099" width="11.109375" bestFit="1" customWidth="1"/>
    <col min="4100" max="4100" width="14.33203125" customWidth="1"/>
    <col min="4353" max="4353" width="3.88671875" customWidth="1"/>
    <col min="4354" max="4354" width="58.109375" customWidth="1"/>
    <col min="4355" max="4355" width="11.109375" bestFit="1" customWidth="1"/>
    <col min="4356" max="4356" width="14.33203125" customWidth="1"/>
    <col min="4609" max="4609" width="3.88671875" customWidth="1"/>
    <col min="4610" max="4610" width="58.109375" customWidth="1"/>
    <col min="4611" max="4611" width="11.109375" bestFit="1" customWidth="1"/>
    <col min="4612" max="4612" width="14.33203125" customWidth="1"/>
    <col min="4865" max="4865" width="3.88671875" customWidth="1"/>
    <col min="4866" max="4866" width="58.109375" customWidth="1"/>
    <col min="4867" max="4867" width="11.109375" bestFit="1" customWidth="1"/>
    <col min="4868" max="4868" width="14.33203125" customWidth="1"/>
    <col min="5121" max="5121" width="3.88671875" customWidth="1"/>
    <col min="5122" max="5122" width="58.109375" customWidth="1"/>
    <col min="5123" max="5123" width="11.109375" bestFit="1" customWidth="1"/>
    <col min="5124" max="5124" width="14.33203125" customWidth="1"/>
    <col min="5377" max="5377" width="3.88671875" customWidth="1"/>
    <col min="5378" max="5378" width="58.109375" customWidth="1"/>
    <col min="5379" max="5379" width="11.109375" bestFit="1" customWidth="1"/>
    <col min="5380" max="5380" width="14.33203125" customWidth="1"/>
    <col min="5633" max="5633" width="3.88671875" customWidth="1"/>
    <col min="5634" max="5634" width="58.109375" customWidth="1"/>
    <col min="5635" max="5635" width="11.109375" bestFit="1" customWidth="1"/>
    <col min="5636" max="5636" width="14.33203125" customWidth="1"/>
    <col min="5889" max="5889" width="3.88671875" customWidth="1"/>
    <col min="5890" max="5890" width="58.109375" customWidth="1"/>
    <col min="5891" max="5891" width="11.109375" bestFit="1" customWidth="1"/>
    <col min="5892" max="5892" width="14.33203125" customWidth="1"/>
    <col min="6145" max="6145" width="3.88671875" customWidth="1"/>
    <col min="6146" max="6146" width="58.109375" customWidth="1"/>
    <col min="6147" max="6147" width="11.109375" bestFit="1" customWidth="1"/>
    <col min="6148" max="6148" width="14.33203125" customWidth="1"/>
    <col min="6401" max="6401" width="3.88671875" customWidth="1"/>
    <col min="6402" max="6402" width="58.109375" customWidth="1"/>
    <col min="6403" max="6403" width="11.109375" bestFit="1" customWidth="1"/>
    <col min="6404" max="6404" width="14.33203125" customWidth="1"/>
    <col min="6657" max="6657" width="3.88671875" customWidth="1"/>
    <col min="6658" max="6658" width="58.109375" customWidth="1"/>
    <col min="6659" max="6659" width="11.109375" bestFit="1" customWidth="1"/>
    <col min="6660" max="6660" width="14.33203125" customWidth="1"/>
    <col min="6913" max="6913" width="3.88671875" customWidth="1"/>
    <col min="6914" max="6914" width="58.109375" customWidth="1"/>
    <col min="6915" max="6915" width="11.109375" bestFit="1" customWidth="1"/>
    <col min="6916" max="6916" width="14.33203125" customWidth="1"/>
    <col min="7169" max="7169" width="3.88671875" customWidth="1"/>
    <col min="7170" max="7170" width="58.109375" customWidth="1"/>
    <col min="7171" max="7171" width="11.109375" bestFit="1" customWidth="1"/>
    <col min="7172" max="7172" width="14.33203125" customWidth="1"/>
    <col min="7425" max="7425" width="3.88671875" customWidth="1"/>
    <col min="7426" max="7426" width="58.109375" customWidth="1"/>
    <col min="7427" max="7427" width="11.109375" bestFit="1" customWidth="1"/>
    <col min="7428" max="7428" width="14.33203125" customWidth="1"/>
    <col min="7681" max="7681" width="3.88671875" customWidth="1"/>
    <col min="7682" max="7682" width="58.109375" customWidth="1"/>
    <col min="7683" max="7683" width="11.109375" bestFit="1" customWidth="1"/>
    <col min="7684" max="7684" width="14.33203125" customWidth="1"/>
    <col min="7937" max="7937" width="3.88671875" customWidth="1"/>
    <col min="7938" max="7938" width="58.109375" customWidth="1"/>
    <col min="7939" max="7939" width="11.109375" bestFit="1" customWidth="1"/>
    <col min="7940" max="7940" width="14.33203125" customWidth="1"/>
    <col min="8193" max="8193" width="3.88671875" customWidth="1"/>
    <col min="8194" max="8194" width="58.109375" customWidth="1"/>
    <col min="8195" max="8195" width="11.109375" bestFit="1" customWidth="1"/>
    <col min="8196" max="8196" width="14.33203125" customWidth="1"/>
    <col min="8449" max="8449" width="3.88671875" customWidth="1"/>
    <col min="8450" max="8450" width="58.109375" customWidth="1"/>
    <col min="8451" max="8451" width="11.109375" bestFit="1" customWidth="1"/>
    <col min="8452" max="8452" width="14.33203125" customWidth="1"/>
    <col min="8705" max="8705" width="3.88671875" customWidth="1"/>
    <col min="8706" max="8706" width="58.109375" customWidth="1"/>
    <col min="8707" max="8707" width="11.109375" bestFit="1" customWidth="1"/>
    <col min="8708" max="8708" width="14.33203125" customWidth="1"/>
    <col min="8961" max="8961" width="3.88671875" customWidth="1"/>
    <col min="8962" max="8962" width="58.109375" customWidth="1"/>
    <col min="8963" max="8963" width="11.109375" bestFit="1" customWidth="1"/>
    <col min="8964" max="8964" width="14.33203125" customWidth="1"/>
    <col min="9217" max="9217" width="3.88671875" customWidth="1"/>
    <col min="9218" max="9218" width="58.109375" customWidth="1"/>
    <col min="9219" max="9219" width="11.109375" bestFit="1" customWidth="1"/>
    <col min="9220" max="9220" width="14.33203125" customWidth="1"/>
    <col min="9473" max="9473" width="3.88671875" customWidth="1"/>
    <col min="9474" max="9474" width="58.109375" customWidth="1"/>
    <col min="9475" max="9475" width="11.109375" bestFit="1" customWidth="1"/>
    <col min="9476" max="9476" width="14.33203125" customWidth="1"/>
    <col min="9729" max="9729" width="3.88671875" customWidth="1"/>
    <col min="9730" max="9730" width="58.109375" customWidth="1"/>
    <col min="9731" max="9731" width="11.109375" bestFit="1" customWidth="1"/>
    <col min="9732" max="9732" width="14.33203125" customWidth="1"/>
    <col min="9985" max="9985" width="3.88671875" customWidth="1"/>
    <col min="9986" max="9986" width="58.109375" customWidth="1"/>
    <col min="9987" max="9987" width="11.109375" bestFit="1" customWidth="1"/>
    <col min="9988" max="9988" width="14.33203125" customWidth="1"/>
    <col min="10241" max="10241" width="3.88671875" customWidth="1"/>
    <col min="10242" max="10242" width="58.109375" customWidth="1"/>
    <col min="10243" max="10243" width="11.109375" bestFit="1" customWidth="1"/>
    <col min="10244" max="10244" width="14.33203125" customWidth="1"/>
    <col min="10497" max="10497" width="3.88671875" customWidth="1"/>
    <col min="10498" max="10498" width="58.109375" customWidth="1"/>
    <col min="10499" max="10499" width="11.109375" bestFit="1" customWidth="1"/>
    <col min="10500" max="10500" width="14.33203125" customWidth="1"/>
    <col min="10753" max="10753" width="3.88671875" customWidth="1"/>
    <col min="10754" max="10754" width="58.109375" customWidth="1"/>
    <col min="10755" max="10755" width="11.109375" bestFit="1" customWidth="1"/>
    <col min="10756" max="10756" width="14.33203125" customWidth="1"/>
    <col min="11009" max="11009" width="3.88671875" customWidth="1"/>
    <col min="11010" max="11010" width="58.109375" customWidth="1"/>
    <col min="11011" max="11011" width="11.109375" bestFit="1" customWidth="1"/>
    <col min="11012" max="11012" width="14.33203125" customWidth="1"/>
    <col min="11265" max="11265" width="3.88671875" customWidth="1"/>
    <col min="11266" max="11266" width="58.109375" customWidth="1"/>
    <col min="11267" max="11267" width="11.109375" bestFit="1" customWidth="1"/>
    <col min="11268" max="11268" width="14.33203125" customWidth="1"/>
    <col min="11521" max="11521" width="3.88671875" customWidth="1"/>
    <col min="11522" max="11522" width="58.109375" customWidth="1"/>
    <col min="11523" max="11523" width="11.109375" bestFit="1" customWidth="1"/>
    <col min="11524" max="11524" width="14.33203125" customWidth="1"/>
    <col min="11777" max="11777" width="3.88671875" customWidth="1"/>
    <col min="11778" max="11778" width="58.109375" customWidth="1"/>
    <col min="11779" max="11779" width="11.109375" bestFit="1" customWidth="1"/>
    <col min="11780" max="11780" width="14.33203125" customWidth="1"/>
    <col min="12033" max="12033" width="3.88671875" customWidth="1"/>
    <col min="12034" max="12034" width="58.109375" customWidth="1"/>
    <col min="12035" max="12035" width="11.109375" bestFit="1" customWidth="1"/>
    <col min="12036" max="12036" width="14.33203125" customWidth="1"/>
    <col min="12289" max="12289" width="3.88671875" customWidth="1"/>
    <col min="12290" max="12290" width="58.109375" customWidth="1"/>
    <col min="12291" max="12291" width="11.109375" bestFit="1" customWidth="1"/>
    <col min="12292" max="12292" width="14.33203125" customWidth="1"/>
    <col min="12545" max="12545" width="3.88671875" customWidth="1"/>
    <col min="12546" max="12546" width="58.109375" customWidth="1"/>
    <col min="12547" max="12547" width="11.109375" bestFit="1" customWidth="1"/>
    <col min="12548" max="12548" width="14.33203125" customWidth="1"/>
    <col min="12801" max="12801" width="3.88671875" customWidth="1"/>
    <col min="12802" max="12802" width="58.109375" customWidth="1"/>
    <col min="12803" max="12803" width="11.109375" bestFit="1" customWidth="1"/>
    <col min="12804" max="12804" width="14.33203125" customWidth="1"/>
    <col min="13057" max="13057" width="3.88671875" customWidth="1"/>
    <col min="13058" max="13058" width="58.109375" customWidth="1"/>
    <col min="13059" max="13059" width="11.109375" bestFit="1" customWidth="1"/>
    <col min="13060" max="13060" width="14.33203125" customWidth="1"/>
    <col min="13313" max="13313" width="3.88671875" customWidth="1"/>
    <col min="13314" max="13314" width="58.109375" customWidth="1"/>
    <col min="13315" max="13315" width="11.109375" bestFit="1" customWidth="1"/>
    <col min="13316" max="13316" width="14.33203125" customWidth="1"/>
    <col min="13569" max="13569" width="3.88671875" customWidth="1"/>
    <col min="13570" max="13570" width="58.109375" customWidth="1"/>
    <col min="13571" max="13571" width="11.109375" bestFit="1" customWidth="1"/>
    <col min="13572" max="13572" width="14.33203125" customWidth="1"/>
    <col min="13825" max="13825" width="3.88671875" customWidth="1"/>
    <col min="13826" max="13826" width="58.109375" customWidth="1"/>
    <col min="13827" max="13827" width="11.109375" bestFit="1" customWidth="1"/>
    <col min="13828" max="13828" width="14.33203125" customWidth="1"/>
    <col min="14081" max="14081" width="3.88671875" customWidth="1"/>
    <col min="14082" max="14082" width="58.109375" customWidth="1"/>
    <col min="14083" max="14083" width="11.109375" bestFit="1" customWidth="1"/>
    <col min="14084" max="14084" width="14.33203125" customWidth="1"/>
    <col min="14337" max="14337" width="3.88671875" customWidth="1"/>
    <col min="14338" max="14338" width="58.109375" customWidth="1"/>
    <col min="14339" max="14339" width="11.109375" bestFit="1" customWidth="1"/>
    <col min="14340" max="14340" width="14.33203125" customWidth="1"/>
    <col min="14593" max="14593" width="3.88671875" customWidth="1"/>
    <col min="14594" max="14594" width="58.109375" customWidth="1"/>
    <col min="14595" max="14595" width="11.109375" bestFit="1" customWidth="1"/>
    <col min="14596" max="14596" width="14.33203125" customWidth="1"/>
    <col min="14849" max="14849" width="3.88671875" customWidth="1"/>
    <col min="14850" max="14850" width="58.109375" customWidth="1"/>
    <col min="14851" max="14851" width="11.109375" bestFit="1" customWidth="1"/>
    <col min="14852" max="14852" width="14.33203125" customWidth="1"/>
    <col min="15105" max="15105" width="3.88671875" customWidth="1"/>
    <col min="15106" max="15106" width="58.109375" customWidth="1"/>
    <col min="15107" max="15107" width="11.109375" bestFit="1" customWidth="1"/>
    <col min="15108" max="15108" width="14.33203125" customWidth="1"/>
    <col min="15361" max="15361" width="3.88671875" customWidth="1"/>
    <col min="15362" max="15362" width="58.109375" customWidth="1"/>
    <col min="15363" max="15363" width="11.109375" bestFit="1" customWidth="1"/>
    <col min="15364" max="15364" width="14.33203125" customWidth="1"/>
    <col min="15617" max="15617" width="3.88671875" customWidth="1"/>
    <col min="15618" max="15618" width="58.109375" customWidth="1"/>
    <col min="15619" max="15619" width="11.109375" bestFit="1" customWidth="1"/>
    <col min="15620" max="15620" width="14.33203125" customWidth="1"/>
    <col min="15873" max="15873" width="3.88671875" customWidth="1"/>
    <col min="15874" max="15874" width="58.109375" customWidth="1"/>
    <col min="15875" max="15875" width="11.109375" bestFit="1" customWidth="1"/>
    <col min="15876" max="15876" width="14.33203125" customWidth="1"/>
    <col min="16129" max="16129" width="3.88671875" customWidth="1"/>
    <col min="16130" max="16130" width="58.109375" customWidth="1"/>
    <col min="16131" max="16131" width="11.109375" bestFit="1" customWidth="1"/>
    <col min="16132" max="16132" width="14.33203125" customWidth="1"/>
  </cols>
  <sheetData>
    <row r="1" spans="1:4" ht="31.5" customHeight="1" x14ac:dyDescent="0.25">
      <c r="A1" s="933" t="s">
        <v>495</v>
      </c>
      <c r="B1" s="933"/>
      <c r="C1" s="933"/>
      <c r="D1" s="935"/>
    </row>
    <row r="3" spans="1:4" ht="13.5" customHeight="1" x14ac:dyDescent="0.25"/>
    <row r="4" spans="1:4" ht="15.6" x14ac:dyDescent="0.25">
      <c r="A4" s="672"/>
      <c r="B4" s="673" t="s">
        <v>594</v>
      </c>
      <c r="D4" s="674" t="s">
        <v>284</v>
      </c>
    </row>
    <row r="5" spans="1:4" s="677" customFormat="1" ht="13.8" x14ac:dyDescent="0.25">
      <c r="A5" s="675"/>
      <c r="B5" s="675" t="s">
        <v>41</v>
      </c>
      <c r="C5" s="676" t="s">
        <v>595</v>
      </c>
      <c r="D5" s="676" t="s">
        <v>596</v>
      </c>
    </row>
    <row r="6" spans="1:4" ht="15" x14ac:dyDescent="0.25">
      <c r="A6" s="678"/>
      <c r="B6" s="678"/>
      <c r="C6" s="678"/>
    </row>
    <row r="7" spans="1:4" x14ac:dyDescent="0.25">
      <c r="A7" s="662" t="s">
        <v>500</v>
      </c>
      <c r="B7" s="663" t="s">
        <v>597</v>
      </c>
      <c r="C7" s="147">
        <v>527238878</v>
      </c>
      <c r="D7" s="147">
        <v>721733015</v>
      </c>
    </row>
    <row r="8" spans="1:4" x14ac:dyDescent="0.25">
      <c r="A8" s="662" t="s">
        <v>598</v>
      </c>
      <c r="B8" s="663" t="s">
        <v>599</v>
      </c>
      <c r="C8" s="679">
        <v>552835401</v>
      </c>
      <c r="D8" s="679">
        <v>591746583</v>
      </c>
    </row>
    <row r="9" spans="1:4" x14ac:dyDescent="0.25">
      <c r="A9" s="659" t="s">
        <v>600</v>
      </c>
      <c r="B9" s="660" t="s">
        <v>601</v>
      </c>
      <c r="C9" s="661">
        <f>C7-C8</f>
        <v>-25596523</v>
      </c>
      <c r="D9" s="661">
        <f>D7-D8</f>
        <v>129986432</v>
      </c>
    </row>
    <row r="10" spans="1:4" x14ac:dyDescent="0.25">
      <c r="A10" s="662" t="s">
        <v>502</v>
      </c>
      <c r="B10" s="663" t="s">
        <v>602</v>
      </c>
      <c r="C10" s="147">
        <v>176194613</v>
      </c>
      <c r="D10" s="147">
        <v>126119270</v>
      </c>
    </row>
    <row r="11" spans="1:4" x14ac:dyDescent="0.25">
      <c r="A11" s="662" t="s">
        <v>504</v>
      </c>
      <c r="B11" s="663" t="s">
        <v>603</v>
      </c>
      <c r="C11" s="679">
        <v>102682451</v>
      </c>
      <c r="D11" s="679">
        <v>114506397</v>
      </c>
    </row>
    <row r="12" spans="1:4" x14ac:dyDescent="0.25">
      <c r="A12" s="659" t="s">
        <v>506</v>
      </c>
      <c r="B12" s="660" t="s">
        <v>604</v>
      </c>
      <c r="C12" s="661">
        <f>C10-C11</f>
        <v>73512162</v>
      </c>
      <c r="D12" s="661">
        <f>D10-D11</f>
        <v>11612873</v>
      </c>
    </row>
    <row r="13" spans="1:4" x14ac:dyDescent="0.25">
      <c r="A13" s="659" t="s">
        <v>605</v>
      </c>
      <c r="B13" s="660" t="s">
        <v>606</v>
      </c>
      <c r="C13" s="661">
        <f>C9+C12</f>
        <v>47915639</v>
      </c>
      <c r="D13" s="661">
        <f>D9+D12</f>
        <v>141599305</v>
      </c>
    </row>
    <row r="14" spans="1:4" x14ac:dyDescent="0.25">
      <c r="A14" s="659" t="s">
        <v>607</v>
      </c>
      <c r="B14" s="660" t="s">
        <v>608</v>
      </c>
      <c r="C14" s="661">
        <f>C13</f>
        <v>47915639</v>
      </c>
      <c r="D14" s="661">
        <f>D13</f>
        <v>141599305</v>
      </c>
    </row>
    <row r="15" spans="1:4" ht="27" thickBot="1" x14ac:dyDescent="0.3">
      <c r="A15" s="659" t="s">
        <v>609</v>
      </c>
      <c r="B15" s="680" t="s">
        <v>610</v>
      </c>
      <c r="C15" s="681">
        <v>885050</v>
      </c>
      <c r="D15" s="681">
        <v>4350819</v>
      </c>
    </row>
    <row r="16" spans="1:4" s="150" customFormat="1" x14ac:dyDescent="0.25">
      <c r="A16" s="682" t="s">
        <v>611</v>
      </c>
      <c r="B16" s="683" t="s">
        <v>612</v>
      </c>
      <c r="C16" s="684">
        <f>C14-C15</f>
        <v>47030589</v>
      </c>
      <c r="D16" s="684">
        <f>D14-D15</f>
        <v>137248486</v>
      </c>
    </row>
    <row r="17" ht="12.9" customHeight="1" x14ac:dyDescent="0.25"/>
    <row r="18" ht="12.9" customHeight="1" x14ac:dyDescent="0.25"/>
    <row r="19" ht="15.9" customHeight="1" x14ac:dyDescent="0.25"/>
    <row r="20" ht="12.9" customHeight="1" x14ac:dyDescent="0.25"/>
    <row r="21" ht="12.9" customHeight="1" x14ac:dyDescent="0.25"/>
    <row r="22" ht="12.9" customHeight="1" x14ac:dyDescent="0.25"/>
    <row r="23" ht="12.9" customHeight="1" x14ac:dyDescent="0.25"/>
    <row r="24" ht="12.9" customHeight="1" x14ac:dyDescent="0.25"/>
    <row r="25" ht="12.9" customHeight="1" x14ac:dyDescent="0.25"/>
    <row r="26" ht="12.9" customHeight="1" x14ac:dyDescent="0.25"/>
    <row r="27" ht="12.9" customHeight="1" x14ac:dyDescent="0.25"/>
    <row r="28" ht="12.9" customHeight="1" x14ac:dyDescent="0.25"/>
    <row r="29" ht="12.9" customHeight="1" x14ac:dyDescent="0.25"/>
    <row r="30" ht="12.9" customHeight="1" x14ac:dyDescent="0.25"/>
    <row r="31" ht="12.9" customHeight="1" x14ac:dyDescent="0.25"/>
    <row r="32" ht="21.75" customHeight="1" x14ac:dyDescent="0.25"/>
    <row r="33" ht="18" customHeight="1" x14ac:dyDescent="0.25"/>
    <row r="34" ht="18" customHeight="1" x14ac:dyDescent="0.25"/>
    <row r="35" ht="16.5" customHeight="1" x14ac:dyDescent="0.25"/>
    <row r="36" ht="18.75" customHeight="1" x14ac:dyDescent="0.25"/>
    <row r="37" ht="22.5" customHeight="1" x14ac:dyDescent="0.25"/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&amp;R11.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workbookViewId="0">
      <selection activeCell="H28" sqref="H28"/>
    </sheetView>
  </sheetViews>
  <sheetFormatPr defaultRowHeight="13.2" x14ac:dyDescent="0.25"/>
  <cols>
    <col min="1" max="1" width="40.44140625" style="685" customWidth="1"/>
    <col min="2" max="2" width="16.44140625" style="779" bestFit="1" customWidth="1"/>
    <col min="3" max="3" width="12.88671875" style="779" bestFit="1" customWidth="1"/>
    <col min="4" max="4" width="12.6640625" style="685" bestFit="1" customWidth="1"/>
    <col min="5" max="5" width="14.88671875" style="689" bestFit="1" customWidth="1"/>
    <col min="6" max="6" width="12.6640625" style="685" bestFit="1" customWidth="1"/>
    <col min="7" max="7" width="9.109375" style="685"/>
    <col min="8" max="8" width="16.33203125" style="685" customWidth="1"/>
    <col min="9" max="9" width="10.109375" style="685" bestFit="1" customWidth="1"/>
    <col min="10" max="10" width="9.6640625" style="685" bestFit="1" customWidth="1"/>
    <col min="11" max="12" width="9.109375" style="685"/>
    <col min="13" max="14" width="10.109375" style="685" bestFit="1" customWidth="1"/>
    <col min="15" max="15" width="10.6640625" style="685" bestFit="1" customWidth="1"/>
    <col min="16" max="256" width="9.109375" style="685"/>
    <col min="257" max="257" width="40.44140625" style="685" customWidth="1"/>
    <col min="258" max="259" width="10.88671875" style="685" bestFit="1" customWidth="1"/>
    <col min="260" max="260" width="10" style="685" bestFit="1" customWidth="1"/>
    <col min="261" max="261" width="14.88671875" style="685" bestFit="1" customWidth="1"/>
    <col min="262" max="262" width="12.6640625" style="685" bestFit="1" customWidth="1"/>
    <col min="263" max="263" width="9.109375" style="685"/>
    <col min="264" max="264" width="16.33203125" style="685" customWidth="1"/>
    <col min="265" max="265" width="10.109375" style="685" bestFit="1" customWidth="1"/>
    <col min="266" max="266" width="9.6640625" style="685" bestFit="1" customWidth="1"/>
    <col min="267" max="268" width="9.109375" style="685"/>
    <col min="269" max="270" width="10.109375" style="685" bestFit="1" customWidth="1"/>
    <col min="271" max="271" width="10.6640625" style="685" bestFit="1" customWidth="1"/>
    <col min="272" max="512" width="9.109375" style="685"/>
    <col min="513" max="513" width="40.44140625" style="685" customWidth="1"/>
    <col min="514" max="515" width="10.88671875" style="685" bestFit="1" customWidth="1"/>
    <col min="516" max="516" width="10" style="685" bestFit="1" customWidth="1"/>
    <col min="517" max="517" width="14.88671875" style="685" bestFit="1" customWidth="1"/>
    <col min="518" max="518" width="12.6640625" style="685" bestFit="1" customWidth="1"/>
    <col min="519" max="519" width="9.109375" style="685"/>
    <col min="520" max="520" width="16.33203125" style="685" customWidth="1"/>
    <col min="521" max="521" width="10.109375" style="685" bestFit="1" customWidth="1"/>
    <col min="522" max="522" width="9.6640625" style="685" bestFit="1" customWidth="1"/>
    <col min="523" max="524" width="9.109375" style="685"/>
    <col min="525" max="526" width="10.109375" style="685" bestFit="1" customWidth="1"/>
    <col min="527" max="527" width="10.6640625" style="685" bestFit="1" customWidth="1"/>
    <col min="528" max="768" width="9.109375" style="685"/>
    <col min="769" max="769" width="40.44140625" style="685" customWidth="1"/>
    <col min="770" max="771" width="10.88671875" style="685" bestFit="1" customWidth="1"/>
    <col min="772" max="772" width="10" style="685" bestFit="1" customWidth="1"/>
    <col min="773" max="773" width="14.88671875" style="685" bestFit="1" customWidth="1"/>
    <col min="774" max="774" width="12.6640625" style="685" bestFit="1" customWidth="1"/>
    <col min="775" max="775" width="9.109375" style="685"/>
    <col min="776" max="776" width="16.33203125" style="685" customWidth="1"/>
    <col min="777" max="777" width="10.109375" style="685" bestFit="1" customWidth="1"/>
    <col min="778" max="778" width="9.6640625" style="685" bestFit="1" customWidth="1"/>
    <col min="779" max="780" width="9.109375" style="685"/>
    <col min="781" max="782" width="10.109375" style="685" bestFit="1" customWidth="1"/>
    <col min="783" max="783" width="10.6640625" style="685" bestFit="1" customWidth="1"/>
    <col min="784" max="1024" width="9.109375" style="685"/>
    <col min="1025" max="1025" width="40.44140625" style="685" customWidth="1"/>
    <col min="1026" max="1027" width="10.88671875" style="685" bestFit="1" customWidth="1"/>
    <col min="1028" max="1028" width="10" style="685" bestFit="1" customWidth="1"/>
    <col min="1029" max="1029" width="14.88671875" style="685" bestFit="1" customWidth="1"/>
    <col min="1030" max="1030" width="12.6640625" style="685" bestFit="1" customWidth="1"/>
    <col min="1031" max="1031" width="9.109375" style="685"/>
    <col min="1032" max="1032" width="16.33203125" style="685" customWidth="1"/>
    <col min="1033" max="1033" width="10.109375" style="685" bestFit="1" customWidth="1"/>
    <col min="1034" max="1034" width="9.6640625" style="685" bestFit="1" customWidth="1"/>
    <col min="1035" max="1036" width="9.109375" style="685"/>
    <col min="1037" max="1038" width="10.109375" style="685" bestFit="1" customWidth="1"/>
    <col min="1039" max="1039" width="10.6640625" style="685" bestFit="1" customWidth="1"/>
    <col min="1040" max="1280" width="9.109375" style="685"/>
    <col min="1281" max="1281" width="40.44140625" style="685" customWidth="1"/>
    <col min="1282" max="1283" width="10.88671875" style="685" bestFit="1" customWidth="1"/>
    <col min="1284" max="1284" width="10" style="685" bestFit="1" customWidth="1"/>
    <col min="1285" max="1285" width="14.88671875" style="685" bestFit="1" customWidth="1"/>
    <col min="1286" max="1286" width="12.6640625" style="685" bestFit="1" customWidth="1"/>
    <col min="1287" max="1287" width="9.109375" style="685"/>
    <col min="1288" max="1288" width="16.33203125" style="685" customWidth="1"/>
    <col min="1289" max="1289" width="10.109375" style="685" bestFit="1" customWidth="1"/>
    <col min="1290" max="1290" width="9.6640625" style="685" bestFit="1" customWidth="1"/>
    <col min="1291" max="1292" width="9.109375" style="685"/>
    <col min="1293" max="1294" width="10.109375" style="685" bestFit="1" customWidth="1"/>
    <col min="1295" max="1295" width="10.6640625" style="685" bestFit="1" customWidth="1"/>
    <col min="1296" max="1536" width="9.109375" style="685"/>
    <col min="1537" max="1537" width="40.44140625" style="685" customWidth="1"/>
    <col min="1538" max="1539" width="10.88671875" style="685" bestFit="1" customWidth="1"/>
    <col min="1540" max="1540" width="10" style="685" bestFit="1" customWidth="1"/>
    <col min="1541" max="1541" width="14.88671875" style="685" bestFit="1" customWidth="1"/>
    <col min="1542" max="1542" width="12.6640625" style="685" bestFit="1" customWidth="1"/>
    <col min="1543" max="1543" width="9.109375" style="685"/>
    <col min="1544" max="1544" width="16.33203125" style="685" customWidth="1"/>
    <col min="1545" max="1545" width="10.109375" style="685" bestFit="1" customWidth="1"/>
    <col min="1546" max="1546" width="9.6640625" style="685" bestFit="1" customWidth="1"/>
    <col min="1547" max="1548" width="9.109375" style="685"/>
    <col min="1549" max="1550" width="10.109375" style="685" bestFit="1" customWidth="1"/>
    <col min="1551" max="1551" width="10.6640625" style="685" bestFit="1" customWidth="1"/>
    <col min="1552" max="1792" width="9.109375" style="685"/>
    <col min="1793" max="1793" width="40.44140625" style="685" customWidth="1"/>
    <col min="1794" max="1795" width="10.88671875" style="685" bestFit="1" customWidth="1"/>
    <col min="1796" max="1796" width="10" style="685" bestFit="1" customWidth="1"/>
    <col min="1797" max="1797" width="14.88671875" style="685" bestFit="1" customWidth="1"/>
    <col min="1798" max="1798" width="12.6640625" style="685" bestFit="1" customWidth="1"/>
    <col min="1799" max="1799" width="9.109375" style="685"/>
    <col min="1800" max="1800" width="16.33203125" style="685" customWidth="1"/>
    <col min="1801" max="1801" width="10.109375" style="685" bestFit="1" customWidth="1"/>
    <col min="1802" max="1802" width="9.6640625" style="685" bestFit="1" customWidth="1"/>
    <col min="1803" max="1804" width="9.109375" style="685"/>
    <col min="1805" max="1806" width="10.109375" style="685" bestFit="1" customWidth="1"/>
    <col min="1807" max="1807" width="10.6640625" style="685" bestFit="1" customWidth="1"/>
    <col min="1808" max="2048" width="9.109375" style="685"/>
    <col min="2049" max="2049" width="40.44140625" style="685" customWidth="1"/>
    <col min="2050" max="2051" width="10.88671875" style="685" bestFit="1" customWidth="1"/>
    <col min="2052" max="2052" width="10" style="685" bestFit="1" customWidth="1"/>
    <col min="2053" max="2053" width="14.88671875" style="685" bestFit="1" customWidth="1"/>
    <col min="2054" max="2054" width="12.6640625" style="685" bestFit="1" customWidth="1"/>
    <col min="2055" max="2055" width="9.109375" style="685"/>
    <col min="2056" max="2056" width="16.33203125" style="685" customWidth="1"/>
    <col min="2057" max="2057" width="10.109375" style="685" bestFit="1" customWidth="1"/>
    <col min="2058" max="2058" width="9.6640625" style="685" bestFit="1" customWidth="1"/>
    <col min="2059" max="2060" width="9.109375" style="685"/>
    <col min="2061" max="2062" width="10.109375" style="685" bestFit="1" customWidth="1"/>
    <col min="2063" max="2063" width="10.6640625" style="685" bestFit="1" customWidth="1"/>
    <col min="2064" max="2304" width="9.109375" style="685"/>
    <col min="2305" max="2305" width="40.44140625" style="685" customWidth="1"/>
    <col min="2306" max="2307" width="10.88671875" style="685" bestFit="1" customWidth="1"/>
    <col min="2308" max="2308" width="10" style="685" bestFit="1" customWidth="1"/>
    <col min="2309" max="2309" width="14.88671875" style="685" bestFit="1" customWidth="1"/>
    <col min="2310" max="2310" width="12.6640625" style="685" bestFit="1" customWidth="1"/>
    <col min="2311" max="2311" width="9.109375" style="685"/>
    <col min="2312" max="2312" width="16.33203125" style="685" customWidth="1"/>
    <col min="2313" max="2313" width="10.109375" style="685" bestFit="1" customWidth="1"/>
    <col min="2314" max="2314" width="9.6640625" style="685" bestFit="1" customWidth="1"/>
    <col min="2315" max="2316" width="9.109375" style="685"/>
    <col min="2317" max="2318" width="10.109375" style="685" bestFit="1" customWidth="1"/>
    <col min="2319" max="2319" width="10.6640625" style="685" bestFit="1" customWidth="1"/>
    <col min="2320" max="2560" width="9.109375" style="685"/>
    <col min="2561" max="2561" width="40.44140625" style="685" customWidth="1"/>
    <col min="2562" max="2563" width="10.88671875" style="685" bestFit="1" customWidth="1"/>
    <col min="2564" max="2564" width="10" style="685" bestFit="1" customWidth="1"/>
    <col min="2565" max="2565" width="14.88671875" style="685" bestFit="1" customWidth="1"/>
    <col min="2566" max="2566" width="12.6640625" style="685" bestFit="1" customWidth="1"/>
    <col min="2567" max="2567" width="9.109375" style="685"/>
    <col min="2568" max="2568" width="16.33203125" style="685" customWidth="1"/>
    <col min="2569" max="2569" width="10.109375" style="685" bestFit="1" customWidth="1"/>
    <col min="2570" max="2570" width="9.6640625" style="685" bestFit="1" customWidth="1"/>
    <col min="2571" max="2572" width="9.109375" style="685"/>
    <col min="2573" max="2574" width="10.109375" style="685" bestFit="1" customWidth="1"/>
    <col min="2575" max="2575" width="10.6640625" style="685" bestFit="1" customWidth="1"/>
    <col min="2576" max="2816" width="9.109375" style="685"/>
    <col min="2817" max="2817" width="40.44140625" style="685" customWidth="1"/>
    <col min="2818" max="2819" width="10.88671875" style="685" bestFit="1" customWidth="1"/>
    <col min="2820" max="2820" width="10" style="685" bestFit="1" customWidth="1"/>
    <col min="2821" max="2821" width="14.88671875" style="685" bestFit="1" customWidth="1"/>
    <col min="2822" max="2822" width="12.6640625" style="685" bestFit="1" customWidth="1"/>
    <col min="2823" max="2823" width="9.109375" style="685"/>
    <col min="2824" max="2824" width="16.33203125" style="685" customWidth="1"/>
    <col min="2825" max="2825" width="10.109375" style="685" bestFit="1" customWidth="1"/>
    <col min="2826" max="2826" width="9.6640625" style="685" bestFit="1" customWidth="1"/>
    <col min="2827" max="2828" width="9.109375" style="685"/>
    <col min="2829" max="2830" width="10.109375" style="685" bestFit="1" customWidth="1"/>
    <col min="2831" max="2831" width="10.6640625" style="685" bestFit="1" customWidth="1"/>
    <col min="2832" max="3072" width="9.109375" style="685"/>
    <col min="3073" max="3073" width="40.44140625" style="685" customWidth="1"/>
    <col min="3074" max="3075" width="10.88671875" style="685" bestFit="1" customWidth="1"/>
    <col min="3076" max="3076" width="10" style="685" bestFit="1" customWidth="1"/>
    <col min="3077" max="3077" width="14.88671875" style="685" bestFit="1" customWidth="1"/>
    <col min="3078" max="3078" width="12.6640625" style="685" bestFit="1" customWidth="1"/>
    <col min="3079" max="3079" width="9.109375" style="685"/>
    <col min="3080" max="3080" width="16.33203125" style="685" customWidth="1"/>
    <col min="3081" max="3081" width="10.109375" style="685" bestFit="1" customWidth="1"/>
    <col min="3082" max="3082" width="9.6640625" style="685" bestFit="1" customWidth="1"/>
    <col min="3083" max="3084" width="9.109375" style="685"/>
    <col min="3085" max="3086" width="10.109375" style="685" bestFit="1" customWidth="1"/>
    <col min="3087" max="3087" width="10.6640625" style="685" bestFit="1" customWidth="1"/>
    <col min="3088" max="3328" width="9.109375" style="685"/>
    <col min="3329" max="3329" width="40.44140625" style="685" customWidth="1"/>
    <col min="3330" max="3331" width="10.88671875" style="685" bestFit="1" customWidth="1"/>
    <col min="3332" max="3332" width="10" style="685" bestFit="1" customWidth="1"/>
    <col min="3333" max="3333" width="14.88671875" style="685" bestFit="1" customWidth="1"/>
    <col min="3334" max="3334" width="12.6640625" style="685" bestFit="1" customWidth="1"/>
    <col min="3335" max="3335" width="9.109375" style="685"/>
    <col min="3336" max="3336" width="16.33203125" style="685" customWidth="1"/>
    <col min="3337" max="3337" width="10.109375" style="685" bestFit="1" customWidth="1"/>
    <col min="3338" max="3338" width="9.6640625" style="685" bestFit="1" customWidth="1"/>
    <col min="3339" max="3340" width="9.109375" style="685"/>
    <col min="3341" max="3342" width="10.109375" style="685" bestFit="1" customWidth="1"/>
    <col min="3343" max="3343" width="10.6640625" style="685" bestFit="1" customWidth="1"/>
    <col min="3344" max="3584" width="9.109375" style="685"/>
    <col min="3585" max="3585" width="40.44140625" style="685" customWidth="1"/>
    <col min="3586" max="3587" width="10.88671875" style="685" bestFit="1" customWidth="1"/>
    <col min="3588" max="3588" width="10" style="685" bestFit="1" customWidth="1"/>
    <col min="3589" max="3589" width="14.88671875" style="685" bestFit="1" customWidth="1"/>
    <col min="3590" max="3590" width="12.6640625" style="685" bestFit="1" customWidth="1"/>
    <col min="3591" max="3591" width="9.109375" style="685"/>
    <col min="3592" max="3592" width="16.33203125" style="685" customWidth="1"/>
    <col min="3593" max="3593" width="10.109375" style="685" bestFit="1" customWidth="1"/>
    <col min="3594" max="3594" width="9.6640625" style="685" bestFit="1" customWidth="1"/>
    <col min="3595" max="3596" width="9.109375" style="685"/>
    <col min="3597" max="3598" width="10.109375" style="685" bestFit="1" customWidth="1"/>
    <col min="3599" max="3599" width="10.6640625" style="685" bestFit="1" customWidth="1"/>
    <col min="3600" max="3840" width="9.109375" style="685"/>
    <col min="3841" max="3841" width="40.44140625" style="685" customWidth="1"/>
    <col min="3842" max="3843" width="10.88671875" style="685" bestFit="1" customWidth="1"/>
    <col min="3844" max="3844" width="10" style="685" bestFit="1" customWidth="1"/>
    <col min="3845" max="3845" width="14.88671875" style="685" bestFit="1" customWidth="1"/>
    <col min="3846" max="3846" width="12.6640625" style="685" bestFit="1" customWidth="1"/>
    <col min="3847" max="3847" width="9.109375" style="685"/>
    <col min="3848" max="3848" width="16.33203125" style="685" customWidth="1"/>
    <col min="3849" max="3849" width="10.109375" style="685" bestFit="1" customWidth="1"/>
    <col min="3850" max="3850" width="9.6640625" style="685" bestFit="1" customWidth="1"/>
    <col min="3851" max="3852" width="9.109375" style="685"/>
    <col min="3853" max="3854" width="10.109375" style="685" bestFit="1" customWidth="1"/>
    <col min="3855" max="3855" width="10.6640625" style="685" bestFit="1" customWidth="1"/>
    <col min="3856" max="4096" width="9.109375" style="685"/>
    <col min="4097" max="4097" width="40.44140625" style="685" customWidth="1"/>
    <col min="4098" max="4099" width="10.88671875" style="685" bestFit="1" customWidth="1"/>
    <col min="4100" max="4100" width="10" style="685" bestFit="1" customWidth="1"/>
    <col min="4101" max="4101" width="14.88671875" style="685" bestFit="1" customWidth="1"/>
    <col min="4102" max="4102" width="12.6640625" style="685" bestFit="1" customWidth="1"/>
    <col min="4103" max="4103" width="9.109375" style="685"/>
    <col min="4104" max="4104" width="16.33203125" style="685" customWidth="1"/>
    <col min="4105" max="4105" width="10.109375" style="685" bestFit="1" customWidth="1"/>
    <col min="4106" max="4106" width="9.6640625" style="685" bestFit="1" customWidth="1"/>
    <col min="4107" max="4108" width="9.109375" style="685"/>
    <col min="4109" max="4110" width="10.109375" style="685" bestFit="1" customWidth="1"/>
    <col min="4111" max="4111" width="10.6640625" style="685" bestFit="1" customWidth="1"/>
    <col min="4112" max="4352" width="9.109375" style="685"/>
    <col min="4353" max="4353" width="40.44140625" style="685" customWidth="1"/>
    <col min="4354" max="4355" width="10.88671875" style="685" bestFit="1" customWidth="1"/>
    <col min="4356" max="4356" width="10" style="685" bestFit="1" customWidth="1"/>
    <col min="4357" max="4357" width="14.88671875" style="685" bestFit="1" customWidth="1"/>
    <col min="4358" max="4358" width="12.6640625" style="685" bestFit="1" customWidth="1"/>
    <col min="4359" max="4359" width="9.109375" style="685"/>
    <col min="4360" max="4360" width="16.33203125" style="685" customWidth="1"/>
    <col min="4361" max="4361" width="10.109375" style="685" bestFit="1" customWidth="1"/>
    <col min="4362" max="4362" width="9.6640625" style="685" bestFit="1" customWidth="1"/>
    <col min="4363" max="4364" width="9.109375" style="685"/>
    <col min="4365" max="4366" width="10.109375" style="685" bestFit="1" customWidth="1"/>
    <col min="4367" max="4367" width="10.6640625" style="685" bestFit="1" customWidth="1"/>
    <col min="4368" max="4608" width="9.109375" style="685"/>
    <col min="4609" max="4609" width="40.44140625" style="685" customWidth="1"/>
    <col min="4610" max="4611" width="10.88671875" style="685" bestFit="1" customWidth="1"/>
    <col min="4612" max="4612" width="10" style="685" bestFit="1" customWidth="1"/>
    <col min="4613" max="4613" width="14.88671875" style="685" bestFit="1" customWidth="1"/>
    <col min="4614" max="4614" width="12.6640625" style="685" bestFit="1" customWidth="1"/>
    <col min="4615" max="4615" width="9.109375" style="685"/>
    <col min="4616" max="4616" width="16.33203125" style="685" customWidth="1"/>
    <col min="4617" max="4617" width="10.109375" style="685" bestFit="1" customWidth="1"/>
    <col min="4618" max="4618" width="9.6640625" style="685" bestFit="1" customWidth="1"/>
    <col min="4619" max="4620" width="9.109375" style="685"/>
    <col min="4621" max="4622" width="10.109375" style="685" bestFit="1" customWidth="1"/>
    <col min="4623" max="4623" width="10.6640625" style="685" bestFit="1" customWidth="1"/>
    <col min="4624" max="4864" width="9.109375" style="685"/>
    <col min="4865" max="4865" width="40.44140625" style="685" customWidth="1"/>
    <col min="4866" max="4867" width="10.88671875" style="685" bestFit="1" customWidth="1"/>
    <col min="4868" max="4868" width="10" style="685" bestFit="1" customWidth="1"/>
    <col min="4869" max="4869" width="14.88671875" style="685" bestFit="1" customWidth="1"/>
    <col min="4870" max="4870" width="12.6640625" style="685" bestFit="1" customWidth="1"/>
    <col min="4871" max="4871" width="9.109375" style="685"/>
    <col min="4872" max="4872" width="16.33203125" style="685" customWidth="1"/>
    <col min="4873" max="4873" width="10.109375" style="685" bestFit="1" customWidth="1"/>
    <col min="4874" max="4874" width="9.6640625" style="685" bestFit="1" customWidth="1"/>
    <col min="4875" max="4876" width="9.109375" style="685"/>
    <col min="4877" max="4878" width="10.109375" style="685" bestFit="1" customWidth="1"/>
    <col min="4879" max="4879" width="10.6640625" style="685" bestFit="1" customWidth="1"/>
    <col min="4880" max="5120" width="9.109375" style="685"/>
    <col min="5121" max="5121" width="40.44140625" style="685" customWidth="1"/>
    <col min="5122" max="5123" width="10.88671875" style="685" bestFit="1" customWidth="1"/>
    <col min="5124" max="5124" width="10" style="685" bestFit="1" customWidth="1"/>
    <col min="5125" max="5125" width="14.88671875" style="685" bestFit="1" customWidth="1"/>
    <col min="5126" max="5126" width="12.6640625" style="685" bestFit="1" customWidth="1"/>
    <col min="5127" max="5127" width="9.109375" style="685"/>
    <col min="5128" max="5128" width="16.33203125" style="685" customWidth="1"/>
    <col min="5129" max="5129" width="10.109375" style="685" bestFit="1" customWidth="1"/>
    <col min="5130" max="5130" width="9.6640625" style="685" bestFit="1" customWidth="1"/>
    <col min="5131" max="5132" width="9.109375" style="685"/>
    <col min="5133" max="5134" width="10.109375" style="685" bestFit="1" customWidth="1"/>
    <col min="5135" max="5135" width="10.6640625" style="685" bestFit="1" customWidth="1"/>
    <col min="5136" max="5376" width="9.109375" style="685"/>
    <col min="5377" max="5377" width="40.44140625" style="685" customWidth="1"/>
    <col min="5378" max="5379" width="10.88671875" style="685" bestFit="1" customWidth="1"/>
    <col min="5380" max="5380" width="10" style="685" bestFit="1" customWidth="1"/>
    <col min="5381" max="5381" width="14.88671875" style="685" bestFit="1" customWidth="1"/>
    <col min="5382" max="5382" width="12.6640625" style="685" bestFit="1" customWidth="1"/>
    <col min="5383" max="5383" width="9.109375" style="685"/>
    <col min="5384" max="5384" width="16.33203125" style="685" customWidth="1"/>
    <col min="5385" max="5385" width="10.109375" style="685" bestFit="1" customWidth="1"/>
    <col min="5386" max="5386" width="9.6640625" style="685" bestFit="1" customWidth="1"/>
    <col min="5387" max="5388" width="9.109375" style="685"/>
    <col min="5389" max="5390" width="10.109375" style="685" bestFit="1" customWidth="1"/>
    <col min="5391" max="5391" width="10.6640625" style="685" bestFit="1" customWidth="1"/>
    <col min="5392" max="5632" width="9.109375" style="685"/>
    <col min="5633" max="5633" width="40.44140625" style="685" customWidth="1"/>
    <col min="5634" max="5635" width="10.88671875" style="685" bestFit="1" customWidth="1"/>
    <col min="5636" max="5636" width="10" style="685" bestFit="1" customWidth="1"/>
    <col min="5637" max="5637" width="14.88671875" style="685" bestFit="1" customWidth="1"/>
    <col min="5638" max="5638" width="12.6640625" style="685" bestFit="1" customWidth="1"/>
    <col min="5639" max="5639" width="9.109375" style="685"/>
    <col min="5640" max="5640" width="16.33203125" style="685" customWidth="1"/>
    <col min="5641" max="5641" width="10.109375" style="685" bestFit="1" customWidth="1"/>
    <col min="5642" max="5642" width="9.6640625" style="685" bestFit="1" customWidth="1"/>
    <col min="5643" max="5644" width="9.109375" style="685"/>
    <col min="5645" max="5646" width="10.109375" style="685" bestFit="1" customWidth="1"/>
    <col min="5647" max="5647" width="10.6640625" style="685" bestFit="1" customWidth="1"/>
    <col min="5648" max="5888" width="9.109375" style="685"/>
    <col min="5889" max="5889" width="40.44140625" style="685" customWidth="1"/>
    <col min="5890" max="5891" width="10.88671875" style="685" bestFit="1" customWidth="1"/>
    <col min="5892" max="5892" width="10" style="685" bestFit="1" customWidth="1"/>
    <col min="5893" max="5893" width="14.88671875" style="685" bestFit="1" customWidth="1"/>
    <col min="5894" max="5894" width="12.6640625" style="685" bestFit="1" customWidth="1"/>
    <col min="5895" max="5895" width="9.109375" style="685"/>
    <col min="5896" max="5896" width="16.33203125" style="685" customWidth="1"/>
    <col min="5897" max="5897" width="10.109375" style="685" bestFit="1" customWidth="1"/>
    <col min="5898" max="5898" width="9.6640625" style="685" bestFit="1" customWidth="1"/>
    <col min="5899" max="5900" width="9.109375" style="685"/>
    <col min="5901" max="5902" width="10.109375" style="685" bestFit="1" customWidth="1"/>
    <col min="5903" max="5903" width="10.6640625" style="685" bestFit="1" customWidth="1"/>
    <col min="5904" max="6144" width="9.109375" style="685"/>
    <col min="6145" max="6145" width="40.44140625" style="685" customWidth="1"/>
    <col min="6146" max="6147" width="10.88671875" style="685" bestFit="1" customWidth="1"/>
    <col min="6148" max="6148" width="10" style="685" bestFit="1" customWidth="1"/>
    <col min="6149" max="6149" width="14.88671875" style="685" bestFit="1" customWidth="1"/>
    <col min="6150" max="6150" width="12.6640625" style="685" bestFit="1" customWidth="1"/>
    <col min="6151" max="6151" width="9.109375" style="685"/>
    <col min="6152" max="6152" width="16.33203125" style="685" customWidth="1"/>
    <col min="6153" max="6153" width="10.109375" style="685" bestFit="1" customWidth="1"/>
    <col min="6154" max="6154" width="9.6640625" style="685" bestFit="1" customWidth="1"/>
    <col min="6155" max="6156" width="9.109375" style="685"/>
    <col min="6157" max="6158" width="10.109375" style="685" bestFit="1" customWidth="1"/>
    <col min="6159" max="6159" width="10.6640625" style="685" bestFit="1" customWidth="1"/>
    <col min="6160" max="6400" width="9.109375" style="685"/>
    <col min="6401" max="6401" width="40.44140625" style="685" customWidth="1"/>
    <col min="6402" max="6403" width="10.88671875" style="685" bestFit="1" customWidth="1"/>
    <col min="6404" max="6404" width="10" style="685" bestFit="1" customWidth="1"/>
    <col min="6405" max="6405" width="14.88671875" style="685" bestFit="1" customWidth="1"/>
    <col min="6406" max="6406" width="12.6640625" style="685" bestFit="1" customWidth="1"/>
    <col min="6407" max="6407" width="9.109375" style="685"/>
    <col min="6408" max="6408" width="16.33203125" style="685" customWidth="1"/>
    <col min="6409" max="6409" width="10.109375" style="685" bestFit="1" customWidth="1"/>
    <col min="6410" max="6410" width="9.6640625" style="685" bestFit="1" customWidth="1"/>
    <col min="6411" max="6412" width="9.109375" style="685"/>
    <col min="6413" max="6414" width="10.109375" style="685" bestFit="1" customWidth="1"/>
    <col min="6415" max="6415" width="10.6640625" style="685" bestFit="1" customWidth="1"/>
    <col min="6416" max="6656" width="9.109375" style="685"/>
    <col min="6657" max="6657" width="40.44140625" style="685" customWidth="1"/>
    <col min="6658" max="6659" width="10.88671875" style="685" bestFit="1" customWidth="1"/>
    <col min="6660" max="6660" width="10" style="685" bestFit="1" customWidth="1"/>
    <col min="6661" max="6661" width="14.88671875" style="685" bestFit="1" customWidth="1"/>
    <col min="6662" max="6662" width="12.6640625" style="685" bestFit="1" customWidth="1"/>
    <col min="6663" max="6663" width="9.109375" style="685"/>
    <col min="6664" max="6664" width="16.33203125" style="685" customWidth="1"/>
    <col min="6665" max="6665" width="10.109375" style="685" bestFit="1" customWidth="1"/>
    <col min="6666" max="6666" width="9.6640625" style="685" bestFit="1" customWidth="1"/>
    <col min="6667" max="6668" width="9.109375" style="685"/>
    <col min="6669" max="6670" width="10.109375" style="685" bestFit="1" customWidth="1"/>
    <col min="6671" max="6671" width="10.6640625" style="685" bestFit="1" customWidth="1"/>
    <col min="6672" max="6912" width="9.109375" style="685"/>
    <col min="6913" max="6913" width="40.44140625" style="685" customWidth="1"/>
    <col min="6914" max="6915" width="10.88671875" style="685" bestFit="1" customWidth="1"/>
    <col min="6916" max="6916" width="10" style="685" bestFit="1" customWidth="1"/>
    <col min="6917" max="6917" width="14.88671875" style="685" bestFit="1" customWidth="1"/>
    <col min="6918" max="6918" width="12.6640625" style="685" bestFit="1" customWidth="1"/>
    <col min="6919" max="6919" width="9.109375" style="685"/>
    <col min="6920" max="6920" width="16.33203125" style="685" customWidth="1"/>
    <col min="6921" max="6921" width="10.109375" style="685" bestFit="1" customWidth="1"/>
    <col min="6922" max="6922" width="9.6640625" style="685" bestFit="1" customWidth="1"/>
    <col min="6923" max="6924" width="9.109375" style="685"/>
    <col min="6925" max="6926" width="10.109375" style="685" bestFit="1" customWidth="1"/>
    <col min="6927" max="6927" width="10.6640625" style="685" bestFit="1" customWidth="1"/>
    <col min="6928" max="7168" width="9.109375" style="685"/>
    <col min="7169" max="7169" width="40.44140625" style="685" customWidth="1"/>
    <col min="7170" max="7171" width="10.88671875" style="685" bestFit="1" customWidth="1"/>
    <col min="7172" max="7172" width="10" style="685" bestFit="1" customWidth="1"/>
    <col min="7173" max="7173" width="14.88671875" style="685" bestFit="1" customWidth="1"/>
    <col min="7174" max="7174" width="12.6640625" style="685" bestFit="1" customWidth="1"/>
    <col min="7175" max="7175" width="9.109375" style="685"/>
    <col min="7176" max="7176" width="16.33203125" style="685" customWidth="1"/>
    <col min="7177" max="7177" width="10.109375" style="685" bestFit="1" customWidth="1"/>
    <col min="7178" max="7178" width="9.6640625" style="685" bestFit="1" customWidth="1"/>
    <col min="7179" max="7180" width="9.109375" style="685"/>
    <col min="7181" max="7182" width="10.109375" style="685" bestFit="1" customWidth="1"/>
    <col min="7183" max="7183" width="10.6640625" style="685" bestFit="1" customWidth="1"/>
    <col min="7184" max="7424" width="9.109375" style="685"/>
    <col min="7425" max="7425" width="40.44140625" style="685" customWidth="1"/>
    <col min="7426" max="7427" width="10.88671875" style="685" bestFit="1" customWidth="1"/>
    <col min="7428" max="7428" width="10" style="685" bestFit="1" customWidth="1"/>
    <col min="7429" max="7429" width="14.88671875" style="685" bestFit="1" customWidth="1"/>
    <col min="7430" max="7430" width="12.6640625" style="685" bestFit="1" customWidth="1"/>
    <col min="7431" max="7431" width="9.109375" style="685"/>
    <col min="7432" max="7432" width="16.33203125" style="685" customWidth="1"/>
    <col min="7433" max="7433" width="10.109375" style="685" bestFit="1" customWidth="1"/>
    <col min="7434" max="7434" width="9.6640625" style="685" bestFit="1" customWidth="1"/>
    <col min="7435" max="7436" width="9.109375" style="685"/>
    <col min="7437" max="7438" width="10.109375" style="685" bestFit="1" customWidth="1"/>
    <col min="7439" max="7439" width="10.6640625" style="685" bestFit="1" customWidth="1"/>
    <col min="7440" max="7680" width="9.109375" style="685"/>
    <col min="7681" max="7681" width="40.44140625" style="685" customWidth="1"/>
    <col min="7682" max="7683" width="10.88671875" style="685" bestFit="1" customWidth="1"/>
    <col min="7684" max="7684" width="10" style="685" bestFit="1" customWidth="1"/>
    <col min="7685" max="7685" width="14.88671875" style="685" bestFit="1" customWidth="1"/>
    <col min="7686" max="7686" width="12.6640625" style="685" bestFit="1" customWidth="1"/>
    <col min="7687" max="7687" width="9.109375" style="685"/>
    <col min="7688" max="7688" width="16.33203125" style="685" customWidth="1"/>
    <col min="7689" max="7689" width="10.109375" style="685" bestFit="1" customWidth="1"/>
    <col min="7690" max="7690" width="9.6640625" style="685" bestFit="1" customWidth="1"/>
    <col min="7691" max="7692" width="9.109375" style="685"/>
    <col min="7693" max="7694" width="10.109375" style="685" bestFit="1" customWidth="1"/>
    <col min="7695" max="7695" width="10.6640625" style="685" bestFit="1" customWidth="1"/>
    <col min="7696" max="7936" width="9.109375" style="685"/>
    <col min="7937" max="7937" width="40.44140625" style="685" customWidth="1"/>
    <col min="7938" max="7939" width="10.88671875" style="685" bestFit="1" customWidth="1"/>
    <col min="7940" max="7940" width="10" style="685" bestFit="1" customWidth="1"/>
    <col min="7941" max="7941" width="14.88671875" style="685" bestFit="1" customWidth="1"/>
    <col min="7942" max="7942" width="12.6640625" style="685" bestFit="1" customWidth="1"/>
    <col min="7943" max="7943" width="9.109375" style="685"/>
    <col min="7944" max="7944" width="16.33203125" style="685" customWidth="1"/>
    <col min="7945" max="7945" width="10.109375" style="685" bestFit="1" customWidth="1"/>
    <col min="7946" max="7946" width="9.6640625" style="685" bestFit="1" customWidth="1"/>
    <col min="7947" max="7948" width="9.109375" style="685"/>
    <col min="7949" max="7950" width="10.109375" style="685" bestFit="1" customWidth="1"/>
    <col min="7951" max="7951" width="10.6640625" style="685" bestFit="1" customWidth="1"/>
    <col min="7952" max="8192" width="9.109375" style="685"/>
    <col min="8193" max="8193" width="40.44140625" style="685" customWidth="1"/>
    <col min="8194" max="8195" width="10.88671875" style="685" bestFit="1" customWidth="1"/>
    <col min="8196" max="8196" width="10" style="685" bestFit="1" customWidth="1"/>
    <col min="8197" max="8197" width="14.88671875" style="685" bestFit="1" customWidth="1"/>
    <col min="8198" max="8198" width="12.6640625" style="685" bestFit="1" customWidth="1"/>
    <col min="8199" max="8199" width="9.109375" style="685"/>
    <col min="8200" max="8200" width="16.33203125" style="685" customWidth="1"/>
    <col min="8201" max="8201" width="10.109375" style="685" bestFit="1" customWidth="1"/>
    <col min="8202" max="8202" width="9.6640625" style="685" bestFit="1" customWidth="1"/>
    <col min="8203" max="8204" width="9.109375" style="685"/>
    <col min="8205" max="8206" width="10.109375" style="685" bestFit="1" customWidth="1"/>
    <col min="8207" max="8207" width="10.6640625" style="685" bestFit="1" customWidth="1"/>
    <col min="8208" max="8448" width="9.109375" style="685"/>
    <col min="8449" max="8449" width="40.44140625" style="685" customWidth="1"/>
    <col min="8450" max="8451" width="10.88671875" style="685" bestFit="1" customWidth="1"/>
    <col min="8452" max="8452" width="10" style="685" bestFit="1" customWidth="1"/>
    <col min="8453" max="8453" width="14.88671875" style="685" bestFit="1" customWidth="1"/>
    <col min="8454" max="8454" width="12.6640625" style="685" bestFit="1" customWidth="1"/>
    <col min="8455" max="8455" width="9.109375" style="685"/>
    <col min="8456" max="8456" width="16.33203125" style="685" customWidth="1"/>
    <col min="8457" max="8457" width="10.109375" style="685" bestFit="1" customWidth="1"/>
    <col min="8458" max="8458" width="9.6640625" style="685" bestFit="1" customWidth="1"/>
    <col min="8459" max="8460" width="9.109375" style="685"/>
    <col min="8461" max="8462" width="10.109375" style="685" bestFit="1" customWidth="1"/>
    <col min="8463" max="8463" width="10.6640625" style="685" bestFit="1" customWidth="1"/>
    <col min="8464" max="8704" width="9.109375" style="685"/>
    <col min="8705" max="8705" width="40.44140625" style="685" customWidth="1"/>
    <col min="8706" max="8707" width="10.88671875" style="685" bestFit="1" customWidth="1"/>
    <col min="8708" max="8708" width="10" style="685" bestFit="1" customWidth="1"/>
    <col min="8709" max="8709" width="14.88671875" style="685" bestFit="1" customWidth="1"/>
    <col min="8710" max="8710" width="12.6640625" style="685" bestFit="1" customWidth="1"/>
    <col min="8711" max="8711" width="9.109375" style="685"/>
    <col min="8712" max="8712" width="16.33203125" style="685" customWidth="1"/>
    <col min="8713" max="8713" width="10.109375" style="685" bestFit="1" customWidth="1"/>
    <col min="8714" max="8714" width="9.6640625" style="685" bestFit="1" customWidth="1"/>
    <col min="8715" max="8716" width="9.109375" style="685"/>
    <col min="8717" max="8718" width="10.109375" style="685" bestFit="1" customWidth="1"/>
    <col min="8719" max="8719" width="10.6640625" style="685" bestFit="1" customWidth="1"/>
    <col min="8720" max="8960" width="9.109375" style="685"/>
    <col min="8961" max="8961" width="40.44140625" style="685" customWidth="1"/>
    <col min="8962" max="8963" width="10.88671875" style="685" bestFit="1" customWidth="1"/>
    <col min="8964" max="8964" width="10" style="685" bestFit="1" customWidth="1"/>
    <col min="8965" max="8965" width="14.88671875" style="685" bestFit="1" customWidth="1"/>
    <col min="8966" max="8966" width="12.6640625" style="685" bestFit="1" customWidth="1"/>
    <col min="8967" max="8967" width="9.109375" style="685"/>
    <col min="8968" max="8968" width="16.33203125" style="685" customWidth="1"/>
    <col min="8969" max="8969" width="10.109375" style="685" bestFit="1" customWidth="1"/>
    <col min="8970" max="8970" width="9.6640625" style="685" bestFit="1" customWidth="1"/>
    <col min="8971" max="8972" width="9.109375" style="685"/>
    <col min="8973" max="8974" width="10.109375" style="685" bestFit="1" customWidth="1"/>
    <col min="8975" max="8975" width="10.6640625" style="685" bestFit="1" customWidth="1"/>
    <col min="8976" max="9216" width="9.109375" style="685"/>
    <col min="9217" max="9217" width="40.44140625" style="685" customWidth="1"/>
    <col min="9218" max="9219" width="10.88671875" style="685" bestFit="1" customWidth="1"/>
    <col min="9220" max="9220" width="10" style="685" bestFit="1" customWidth="1"/>
    <col min="9221" max="9221" width="14.88671875" style="685" bestFit="1" customWidth="1"/>
    <col min="9222" max="9222" width="12.6640625" style="685" bestFit="1" customWidth="1"/>
    <col min="9223" max="9223" width="9.109375" style="685"/>
    <col min="9224" max="9224" width="16.33203125" style="685" customWidth="1"/>
    <col min="9225" max="9225" width="10.109375" style="685" bestFit="1" customWidth="1"/>
    <col min="9226" max="9226" width="9.6640625" style="685" bestFit="1" customWidth="1"/>
    <col min="9227" max="9228" width="9.109375" style="685"/>
    <col min="9229" max="9230" width="10.109375" style="685" bestFit="1" customWidth="1"/>
    <col min="9231" max="9231" width="10.6640625" style="685" bestFit="1" customWidth="1"/>
    <col min="9232" max="9472" width="9.109375" style="685"/>
    <col min="9473" max="9473" width="40.44140625" style="685" customWidth="1"/>
    <col min="9474" max="9475" width="10.88671875" style="685" bestFit="1" customWidth="1"/>
    <col min="9476" max="9476" width="10" style="685" bestFit="1" customWidth="1"/>
    <col min="9477" max="9477" width="14.88671875" style="685" bestFit="1" customWidth="1"/>
    <col min="9478" max="9478" width="12.6640625" style="685" bestFit="1" customWidth="1"/>
    <col min="9479" max="9479" width="9.109375" style="685"/>
    <col min="9480" max="9480" width="16.33203125" style="685" customWidth="1"/>
    <col min="9481" max="9481" width="10.109375" style="685" bestFit="1" customWidth="1"/>
    <col min="9482" max="9482" width="9.6640625" style="685" bestFit="1" customWidth="1"/>
    <col min="9483" max="9484" width="9.109375" style="685"/>
    <col min="9485" max="9486" width="10.109375" style="685" bestFit="1" customWidth="1"/>
    <col min="9487" max="9487" width="10.6640625" style="685" bestFit="1" customWidth="1"/>
    <col min="9488" max="9728" width="9.109375" style="685"/>
    <col min="9729" max="9729" width="40.44140625" style="685" customWidth="1"/>
    <col min="9730" max="9731" width="10.88671875" style="685" bestFit="1" customWidth="1"/>
    <col min="9732" max="9732" width="10" style="685" bestFit="1" customWidth="1"/>
    <col min="9733" max="9733" width="14.88671875" style="685" bestFit="1" customWidth="1"/>
    <col min="9734" max="9734" width="12.6640625" style="685" bestFit="1" customWidth="1"/>
    <col min="9735" max="9735" width="9.109375" style="685"/>
    <col min="9736" max="9736" width="16.33203125" style="685" customWidth="1"/>
    <col min="9737" max="9737" width="10.109375" style="685" bestFit="1" customWidth="1"/>
    <col min="9738" max="9738" width="9.6640625" style="685" bestFit="1" customWidth="1"/>
    <col min="9739" max="9740" width="9.109375" style="685"/>
    <col min="9741" max="9742" width="10.109375" style="685" bestFit="1" customWidth="1"/>
    <col min="9743" max="9743" width="10.6640625" style="685" bestFit="1" customWidth="1"/>
    <col min="9744" max="9984" width="9.109375" style="685"/>
    <col min="9985" max="9985" width="40.44140625" style="685" customWidth="1"/>
    <col min="9986" max="9987" width="10.88671875" style="685" bestFit="1" customWidth="1"/>
    <col min="9988" max="9988" width="10" style="685" bestFit="1" customWidth="1"/>
    <col min="9989" max="9989" width="14.88671875" style="685" bestFit="1" customWidth="1"/>
    <col min="9990" max="9990" width="12.6640625" style="685" bestFit="1" customWidth="1"/>
    <col min="9991" max="9991" width="9.109375" style="685"/>
    <col min="9992" max="9992" width="16.33203125" style="685" customWidth="1"/>
    <col min="9993" max="9993" width="10.109375" style="685" bestFit="1" customWidth="1"/>
    <col min="9994" max="9994" width="9.6640625" style="685" bestFit="1" customWidth="1"/>
    <col min="9995" max="9996" width="9.109375" style="685"/>
    <col min="9997" max="9998" width="10.109375" style="685" bestFit="1" customWidth="1"/>
    <col min="9999" max="9999" width="10.6640625" style="685" bestFit="1" customWidth="1"/>
    <col min="10000" max="10240" width="9.109375" style="685"/>
    <col min="10241" max="10241" width="40.44140625" style="685" customWidth="1"/>
    <col min="10242" max="10243" width="10.88671875" style="685" bestFit="1" customWidth="1"/>
    <col min="10244" max="10244" width="10" style="685" bestFit="1" customWidth="1"/>
    <col min="10245" max="10245" width="14.88671875" style="685" bestFit="1" customWidth="1"/>
    <col min="10246" max="10246" width="12.6640625" style="685" bestFit="1" customWidth="1"/>
    <col min="10247" max="10247" width="9.109375" style="685"/>
    <col min="10248" max="10248" width="16.33203125" style="685" customWidth="1"/>
    <col min="10249" max="10249" width="10.109375" style="685" bestFit="1" customWidth="1"/>
    <col min="10250" max="10250" width="9.6640625" style="685" bestFit="1" customWidth="1"/>
    <col min="10251" max="10252" width="9.109375" style="685"/>
    <col min="10253" max="10254" width="10.109375" style="685" bestFit="1" customWidth="1"/>
    <col min="10255" max="10255" width="10.6640625" style="685" bestFit="1" customWidth="1"/>
    <col min="10256" max="10496" width="9.109375" style="685"/>
    <col min="10497" max="10497" width="40.44140625" style="685" customWidth="1"/>
    <col min="10498" max="10499" width="10.88671875" style="685" bestFit="1" customWidth="1"/>
    <col min="10500" max="10500" width="10" style="685" bestFit="1" customWidth="1"/>
    <col min="10501" max="10501" width="14.88671875" style="685" bestFit="1" customWidth="1"/>
    <col min="10502" max="10502" width="12.6640625" style="685" bestFit="1" customWidth="1"/>
    <col min="10503" max="10503" width="9.109375" style="685"/>
    <col min="10504" max="10504" width="16.33203125" style="685" customWidth="1"/>
    <col min="10505" max="10505" width="10.109375" style="685" bestFit="1" customWidth="1"/>
    <col min="10506" max="10506" width="9.6640625" style="685" bestFit="1" customWidth="1"/>
    <col min="10507" max="10508" width="9.109375" style="685"/>
    <col min="10509" max="10510" width="10.109375" style="685" bestFit="1" customWidth="1"/>
    <col min="10511" max="10511" width="10.6640625" style="685" bestFit="1" customWidth="1"/>
    <col min="10512" max="10752" width="9.109375" style="685"/>
    <col min="10753" max="10753" width="40.44140625" style="685" customWidth="1"/>
    <col min="10754" max="10755" width="10.88671875" style="685" bestFit="1" customWidth="1"/>
    <col min="10756" max="10756" width="10" style="685" bestFit="1" customWidth="1"/>
    <col min="10757" max="10757" width="14.88671875" style="685" bestFit="1" customWidth="1"/>
    <col min="10758" max="10758" width="12.6640625" style="685" bestFit="1" customWidth="1"/>
    <col min="10759" max="10759" width="9.109375" style="685"/>
    <col min="10760" max="10760" width="16.33203125" style="685" customWidth="1"/>
    <col min="10761" max="10761" width="10.109375" style="685" bestFit="1" customWidth="1"/>
    <col min="10762" max="10762" width="9.6640625" style="685" bestFit="1" customWidth="1"/>
    <col min="10763" max="10764" width="9.109375" style="685"/>
    <col min="10765" max="10766" width="10.109375" style="685" bestFit="1" customWidth="1"/>
    <col min="10767" max="10767" width="10.6640625" style="685" bestFit="1" customWidth="1"/>
    <col min="10768" max="11008" width="9.109375" style="685"/>
    <col min="11009" max="11009" width="40.44140625" style="685" customWidth="1"/>
    <col min="11010" max="11011" width="10.88671875" style="685" bestFit="1" customWidth="1"/>
    <col min="11012" max="11012" width="10" style="685" bestFit="1" customWidth="1"/>
    <col min="11013" max="11013" width="14.88671875" style="685" bestFit="1" customWidth="1"/>
    <col min="11014" max="11014" width="12.6640625" style="685" bestFit="1" customWidth="1"/>
    <col min="11015" max="11015" width="9.109375" style="685"/>
    <col min="11016" max="11016" width="16.33203125" style="685" customWidth="1"/>
    <col min="11017" max="11017" width="10.109375" style="685" bestFit="1" customWidth="1"/>
    <col min="11018" max="11018" width="9.6640625" style="685" bestFit="1" customWidth="1"/>
    <col min="11019" max="11020" width="9.109375" style="685"/>
    <col min="11021" max="11022" width="10.109375" style="685" bestFit="1" customWidth="1"/>
    <col min="11023" max="11023" width="10.6640625" style="685" bestFit="1" customWidth="1"/>
    <col min="11024" max="11264" width="9.109375" style="685"/>
    <col min="11265" max="11265" width="40.44140625" style="685" customWidth="1"/>
    <col min="11266" max="11267" width="10.88671875" style="685" bestFit="1" customWidth="1"/>
    <col min="11268" max="11268" width="10" style="685" bestFit="1" customWidth="1"/>
    <col min="11269" max="11269" width="14.88671875" style="685" bestFit="1" customWidth="1"/>
    <col min="11270" max="11270" width="12.6640625" style="685" bestFit="1" customWidth="1"/>
    <col min="11271" max="11271" width="9.109375" style="685"/>
    <col min="11272" max="11272" width="16.33203125" style="685" customWidth="1"/>
    <col min="11273" max="11273" width="10.109375" style="685" bestFit="1" customWidth="1"/>
    <col min="11274" max="11274" width="9.6640625" style="685" bestFit="1" customWidth="1"/>
    <col min="11275" max="11276" width="9.109375" style="685"/>
    <col min="11277" max="11278" width="10.109375" style="685" bestFit="1" customWidth="1"/>
    <col min="11279" max="11279" width="10.6640625" style="685" bestFit="1" customWidth="1"/>
    <col min="11280" max="11520" width="9.109375" style="685"/>
    <col min="11521" max="11521" width="40.44140625" style="685" customWidth="1"/>
    <col min="11522" max="11523" width="10.88671875" style="685" bestFit="1" customWidth="1"/>
    <col min="11524" max="11524" width="10" style="685" bestFit="1" customWidth="1"/>
    <col min="11525" max="11525" width="14.88671875" style="685" bestFit="1" customWidth="1"/>
    <col min="11526" max="11526" width="12.6640625" style="685" bestFit="1" customWidth="1"/>
    <col min="11527" max="11527" width="9.109375" style="685"/>
    <col min="11528" max="11528" width="16.33203125" style="685" customWidth="1"/>
    <col min="11529" max="11529" width="10.109375" style="685" bestFit="1" customWidth="1"/>
    <col min="11530" max="11530" width="9.6640625" style="685" bestFit="1" customWidth="1"/>
    <col min="11531" max="11532" width="9.109375" style="685"/>
    <col min="11533" max="11534" width="10.109375" style="685" bestFit="1" customWidth="1"/>
    <col min="11535" max="11535" width="10.6640625" style="685" bestFit="1" customWidth="1"/>
    <col min="11536" max="11776" width="9.109375" style="685"/>
    <col min="11777" max="11777" width="40.44140625" style="685" customWidth="1"/>
    <col min="11778" max="11779" width="10.88671875" style="685" bestFit="1" customWidth="1"/>
    <col min="11780" max="11780" width="10" style="685" bestFit="1" customWidth="1"/>
    <col min="11781" max="11781" width="14.88671875" style="685" bestFit="1" customWidth="1"/>
    <col min="11782" max="11782" width="12.6640625" style="685" bestFit="1" customWidth="1"/>
    <col min="11783" max="11783" width="9.109375" style="685"/>
    <col min="11784" max="11784" width="16.33203125" style="685" customWidth="1"/>
    <col min="11785" max="11785" width="10.109375" style="685" bestFit="1" customWidth="1"/>
    <col min="11786" max="11786" width="9.6640625" style="685" bestFit="1" customWidth="1"/>
    <col min="11787" max="11788" width="9.109375" style="685"/>
    <col min="11789" max="11790" width="10.109375" style="685" bestFit="1" customWidth="1"/>
    <col min="11791" max="11791" width="10.6640625" style="685" bestFit="1" customWidth="1"/>
    <col min="11792" max="12032" width="9.109375" style="685"/>
    <col min="12033" max="12033" width="40.44140625" style="685" customWidth="1"/>
    <col min="12034" max="12035" width="10.88671875" style="685" bestFit="1" customWidth="1"/>
    <col min="12036" max="12036" width="10" style="685" bestFit="1" customWidth="1"/>
    <col min="12037" max="12037" width="14.88671875" style="685" bestFit="1" customWidth="1"/>
    <col min="12038" max="12038" width="12.6640625" style="685" bestFit="1" customWidth="1"/>
    <col min="12039" max="12039" width="9.109375" style="685"/>
    <col min="12040" max="12040" width="16.33203125" style="685" customWidth="1"/>
    <col min="12041" max="12041" width="10.109375" style="685" bestFit="1" customWidth="1"/>
    <col min="12042" max="12042" width="9.6640625" style="685" bestFit="1" customWidth="1"/>
    <col min="12043" max="12044" width="9.109375" style="685"/>
    <col min="12045" max="12046" width="10.109375" style="685" bestFit="1" customWidth="1"/>
    <col min="12047" max="12047" width="10.6640625" style="685" bestFit="1" customWidth="1"/>
    <col min="12048" max="12288" width="9.109375" style="685"/>
    <col min="12289" max="12289" width="40.44140625" style="685" customWidth="1"/>
    <col min="12290" max="12291" width="10.88671875" style="685" bestFit="1" customWidth="1"/>
    <col min="12292" max="12292" width="10" style="685" bestFit="1" customWidth="1"/>
    <col min="12293" max="12293" width="14.88671875" style="685" bestFit="1" customWidth="1"/>
    <col min="12294" max="12294" width="12.6640625" style="685" bestFit="1" customWidth="1"/>
    <col min="12295" max="12295" width="9.109375" style="685"/>
    <col min="12296" max="12296" width="16.33203125" style="685" customWidth="1"/>
    <col min="12297" max="12297" width="10.109375" style="685" bestFit="1" customWidth="1"/>
    <col min="12298" max="12298" width="9.6640625" style="685" bestFit="1" customWidth="1"/>
    <col min="12299" max="12300" width="9.109375" style="685"/>
    <col min="12301" max="12302" width="10.109375" style="685" bestFit="1" customWidth="1"/>
    <col min="12303" max="12303" width="10.6640625" style="685" bestFit="1" customWidth="1"/>
    <col min="12304" max="12544" width="9.109375" style="685"/>
    <col min="12545" max="12545" width="40.44140625" style="685" customWidth="1"/>
    <col min="12546" max="12547" width="10.88671875" style="685" bestFit="1" customWidth="1"/>
    <col min="12548" max="12548" width="10" style="685" bestFit="1" customWidth="1"/>
    <col min="12549" max="12549" width="14.88671875" style="685" bestFit="1" customWidth="1"/>
    <col min="12550" max="12550" width="12.6640625" style="685" bestFit="1" customWidth="1"/>
    <col min="12551" max="12551" width="9.109375" style="685"/>
    <col min="12552" max="12552" width="16.33203125" style="685" customWidth="1"/>
    <col min="12553" max="12553" width="10.109375" style="685" bestFit="1" customWidth="1"/>
    <col min="12554" max="12554" width="9.6640625" style="685" bestFit="1" customWidth="1"/>
    <col min="12555" max="12556" width="9.109375" style="685"/>
    <col min="12557" max="12558" width="10.109375" style="685" bestFit="1" customWidth="1"/>
    <col min="12559" max="12559" width="10.6640625" style="685" bestFit="1" customWidth="1"/>
    <col min="12560" max="12800" width="9.109375" style="685"/>
    <col min="12801" max="12801" width="40.44140625" style="685" customWidth="1"/>
    <col min="12802" max="12803" width="10.88671875" style="685" bestFit="1" customWidth="1"/>
    <col min="12804" max="12804" width="10" style="685" bestFit="1" customWidth="1"/>
    <col min="12805" max="12805" width="14.88671875" style="685" bestFit="1" customWidth="1"/>
    <col min="12806" max="12806" width="12.6640625" style="685" bestFit="1" customWidth="1"/>
    <col min="12807" max="12807" width="9.109375" style="685"/>
    <col min="12808" max="12808" width="16.33203125" style="685" customWidth="1"/>
    <col min="12809" max="12809" width="10.109375" style="685" bestFit="1" customWidth="1"/>
    <col min="12810" max="12810" width="9.6640625" style="685" bestFit="1" customWidth="1"/>
    <col min="12811" max="12812" width="9.109375" style="685"/>
    <col min="12813" max="12814" width="10.109375" style="685" bestFit="1" customWidth="1"/>
    <col min="12815" max="12815" width="10.6640625" style="685" bestFit="1" customWidth="1"/>
    <col min="12816" max="13056" width="9.109375" style="685"/>
    <col min="13057" max="13057" width="40.44140625" style="685" customWidth="1"/>
    <col min="13058" max="13059" width="10.88671875" style="685" bestFit="1" customWidth="1"/>
    <col min="13060" max="13060" width="10" style="685" bestFit="1" customWidth="1"/>
    <col min="13061" max="13061" width="14.88671875" style="685" bestFit="1" customWidth="1"/>
    <col min="13062" max="13062" width="12.6640625" style="685" bestFit="1" customWidth="1"/>
    <col min="13063" max="13063" width="9.109375" style="685"/>
    <col min="13064" max="13064" width="16.33203125" style="685" customWidth="1"/>
    <col min="13065" max="13065" width="10.109375" style="685" bestFit="1" customWidth="1"/>
    <col min="13066" max="13066" width="9.6640625" style="685" bestFit="1" customWidth="1"/>
    <col min="13067" max="13068" width="9.109375" style="685"/>
    <col min="13069" max="13070" width="10.109375" style="685" bestFit="1" customWidth="1"/>
    <col min="13071" max="13071" width="10.6640625" style="685" bestFit="1" customWidth="1"/>
    <col min="13072" max="13312" width="9.109375" style="685"/>
    <col min="13313" max="13313" width="40.44140625" style="685" customWidth="1"/>
    <col min="13314" max="13315" width="10.88671875" style="685" bestFit="1" customWidth="1"/>
    <col min="13316" max="13316" width="10" style="685" bestFit="1" customWidth="1"/>
    <col min="13317" max="13317" width="14.88671875" style="685" bestFit="1" customWidth="1"/>
    <col min="13318" max="13318" width="12.6640625" style="685" bestFit="1" customWidth="1"/>
    <col min="13319" max="13319" width="9.109375" style="685"/>
    <col min="13320" max="13320" width="16.33203125" style="685" customWidth="1"/>
    <col min="13321" max="13321" width="10.109375" style="685" bestFit="1" customWidth="1"/>
    <col min="13322" max="13322" width="9.6640625" style="685" bestFit="1" customWidth="1"/>
    <col min="13323" max="13324" width="9.109375" style="685"/>
    <col min="13325" max="13326" width="10.109375" style="685" bestFit="1" customWidth="1"/>
    <col min="13327" max="13327" width="10.6640625" style="685" bestFit="1" customWidth="1"/>
    <col min="13328" max="13568" width="9.109375" style="685"/>
    <col min="13569" max="13569" width="40.44140625" style="685" customWidth="1"/>
    <col min="13570" max="13571" width="10.88671875" style="685" bestFit="1" customWidth="1"/>
    <col min="13572" max="13572" width="10" style="685" bestFit="1" customWidth="1"/>
    <col min="13573" max="13573" width="14.88671875" style="685" bestFit="1" customWidth="1"/>
    <col min="13574" max="13574" width="12.6640625" style="685" bestFit="1" customWidth="1"/>
    <col min="13575" max="13575" width="9.109375" style="685"/>
    <col min="13576" max="13576" width="16.33203125" style="685" customWidth="1"/>
    <col min="13577" max="13577" width="10.109375" style="685" bestFit="1" customWidth="1"/>
    <col min="13578" max="13578" width="9.6640625" style="685" bestFit="1" customWidth="1"/>
    <col min="13579" max="13580" width="9.109375" style="685"/>
    <col min="13581" max="13582" width="10.109375" style="685" bestFit="1" customWidth="1"/>
    <col min="13583" max="13583" width="10.6640625" style="685" bestFit="1" customWidth="1"/>
    <col min="13584" max="13824" width="9.109375" style="685"/>
    <col min="13825" max="13825" width="40.44140625" style="685" customWidth="1"/>
    <col min="13826" max="13827" width="10.88671875" style="685" bestFit="1" customWidth="1"/>
    <col min="13828" max="13828" width="10" style="685" bestFit="1" customWidth="1"/>
    <col min="13829" max="13829" width="14.88671875" style="685" bestFit="1" customWidth="1"/>
    <col min="13830" max="13830" width="12.6640625" style="685" bestFit="1" customWidth="1"/>
    <col min="13831" max="13831" width="9.109375" style="685"/>
    <col min="13832" max="13832" width="16.33203125" style="685" customWidth="1"/>
    <col min="13833" max="13833" width="10.109375" style="685" bestFit="1" customWidth="1"/>
    <col min="13834" max="13834" width="9.6640625" style="685" bestFit="1" customWidth="1"/>
    <col min="13835" max="13836" width="9.109375" style="685"/>
    <col min="13837" max="13838" width="10.109375" style="685" bestFit="1" customWidth="1"/>
    <col min="13839" max="13839" width="10.6640625" style="685" bestFit="1" customWidth="1"/>
    <col min="13840" max="14080" width="9.109375" style="685"/>
    <col min="14081" max="14081" width="40.44140625" style="685" customWidth="1"/>
    <col min="14082" max="14083" width="10.88671875" style="685" bestFit="1" customWidth="1"/>
    <col min="14084" max="14084" width="10" style="685" bestFit="1" customWidth="1"/>
    <col min="14085" max="14085" width="14.88671875" style="685" bestFit="1" customWidth="1"/>
    <col min="14086" max="14086" width="12.6640625" style="685" bestFit="1" customWidth="1"/>
    <col min="14087" max="14087" width="9.109375" style="685"/>
    <col min="14088" max="14088" width="16.33203125" style="685" customWidth="1"/>
    <col min="14089" max="14089" width="10.109375" style="685" bestFit="1" customWidth="1"/>
    <col min="14090" max="14090" width="9.6640625" style="685" bestFit="1" customWidth="1"/>
    <col min="14091" max="14092" width="9.109375" style="685"/>
    <col min="14093" max="14094" width="10.109375" style="685" bestFit="1" customWidth="1"/>
    <col min="14095" max="14095" width="10.6640625" style="685" bestFit="1" customWidth="1"/>
    <col min="14096" max="14336" width="9.109375" style="685"/>
    <col min="14337" max="14337" width="40.44140625" style="685" customWidth="1"/>
    <col min="14338" max="14339" width="10.88671875" style="685" bestFit="1" customWidth="1"/>
    <col min="14340" max="14340" width="10" style="685" bestFit="1" customWidth="1"/>
    <col min="14341" max="14341" width="14.88671875" style="685" bestFit="1" customWidth="1"/>
    <col min="14342" max="14342" width="12.6640625" style="685" bestFit="1" customWidth="1"/>
    <col min="14343" max="14343" width="9.109375" style="685"/>
    <col min="14344" max="14344" width="16.33203125" style="685" customWidth="1"/>
    <col min="14345" max="14345" width="10.109375" style="685" bestFit="1" customWidth="1"/>
    <col min="14346" max="14346" width="9.6640625" style="685" bestFit="1" customWidth="1"/>
    <col min="14347" max="14348" width="9.109375" style="685"/>
    <col min="14349" max="14350" width="10.109375" style="685" bestFit="1" customWidth="1"/>
    <col min="14351" max="14351" width="10.6640625" style="685" bestFit="1" customWidth="1"/>
    <col min="14352" max="14592" width="9.109375" style="685"/>
    <col min="14593" max="14593" width="40.44140625" style="685" customWidth="1"/>
    <col min="14594" max="14595" width="10.88671875" style="685" bestFit="1" customWidth="1"/>
    <col min="14596" max="14596" width="10" style="685" bestFit="1" customWidth="1"/>
    <col min="14597" max="14597" width="14.88671875" style="685" bestFit="1" customWidth="1"/>
    <col min="14598" max="14598" width="12.6640625" style="685" bestFit="1" customWidth="1"/>
    <col min="14599" max="14599" width="9.109375" style="685"/>
    <col min="14600" max="14600" width="16.33203125" style="685" customWidth="1"/>
    <col min="14601" max="14601" width="10.109375" style="685" bestFit="1" customWidth="1"/>
    <col min="14602" max="14602" width="9.6640625" style="685" bestFit="1" customWidth="1"/>
    <col min="14603" max="14604" width="9.109375" style="685"/>
    <col min="14605" max="14606" width="10.109375" style="685" bestFit="1" customWidth="1"/>
    <col min="14607" max="14607" width="10.6640625" style="685" bestFit="1" customWidth="1"/>
    <col min="14608" max="14848" width="9.109375" style="685"/>
    <col min="14849" max="14849" width="40.44140625" style="685" customWidth="1"/>
    <col min="14850" max="14851" width="10.88671875" style="685" bestFit="1" customWidth="1"/>
    <col min="14852" max="14852" width="10" style="685" bestFit="1" customWidth="1"/>
    <col min="14853" max="14853" width="14.88671875" style="685" bestFit="1" customWidth="1"/>
    <col min="14854" max="14854" width="12.6640625" style="685" bestFit="1" customWidth="1"/>
    <col min="14855" max="14855" width="9.109375" style="685"/>
    <col min="14856" max="14856" width="16.33203125" style="685" customWidth="1"/>
    <col min="14857" max="14857" width="10.109375" style="685" bestFit="1" customWidth="1"/>
    <col min="14858" max="14858" width="9.6640625" style="685" bestFit="1" customWidth="1"/>
    <col min="14859" max="14860" width="9.109375" style="685"/>
    <col min="14861" max="14862" width="10.109375" style="685" bestFit="1" customWidth="1"/>
    <col min="14863" max="14863" width="10.6640625" style="685" bestFit="1" customWidth="1"/>
    <col min="14864" max="15104" width="9.109375" style="685"/>
    <col min="15105" max="15105" width="40.44140625" style="685" customWidth="1"/>
    <col min="15106" max="15107" width="10.88671875" style="685" bestFit="1" customWidth="1"/>
    <col min="15108" max="15108" width="10" style="685" bestFit="1" customWidth="1"/>
    <col min="15109" max="15109" width="14.88671875" style="685" bestFit="1" customWidth="1"/>
    <col min="15110" max="15110" width="12.6640625" style="685" bestFit="1" customWidth="1"/>
    <col min="15111" max="15111" width="9.109375" style="685"/>
    <col min="15112" max="15112" width="16.33203125" style="685" customWidth="1"/>
    <col min="15113" max="15113" width="10.109375" style="685" bestFit="1" customWidth="1"/>
    <col min="15114" max="15114" width="9.6640625" style="685" bestFit="1" customWidth="1"/>
    <col min="15115" max="15116" width="9.109375" style="685"/>
    <col min="15117" max="15118" width="10.109375" style="685" bestFit="1" customWidth="1"/>
    <col min="15119" max="15119" width="10.6640625" style="685" bestFit="1" customWidth="1"/>
    <col min="15120" max="15360" width="9.109375" style="685"/>
    <col min="15361" max="15361" width="40.44140625" style="685" customWidth="1"/>
    <col min="15362" max="15363" width="10.88671875" style="685" bestFit="1" customWidth="1"/>
    <col min="15364" max="15364" width="10" style="685" bestFit="1" customWidth="1"/>
    <col min="15365" max="15365" width="14.88671875" style="685" bestFit="1" customWidth="1"/>
    <col min="15366" max="15366" width="12.6640625" style="685" bestFit="1" customWidth="1"/>
    <col min="15367" max="15367" width="9.109375" style="685"/>
    <col min="15368" max="15368" width="16.33203125" style="685" customWidth="1"/>
    <col min="15369" max="15369" width="10.109375" style="685" bestFit="1" customWidth="1"/>
    <col min="15370" max="15370" width="9.6640625" style="685" bestFit="1" customWidth="1"/>
    <col min="15371" max="15372" width="9.109375" style="685"/>
    <col min="15373" max="15374" width="10.109375" style="685" bestFit="1" customWidth="1"/>
    <col min="15375" max="15375" width="10.6640625" style="685" bestFit="1" customWidth="1"/>
    <col min="15376" max="15616" width="9.109375" style="685"/>
    <col min="15617" max="15617" width="40.44140625" style="685" customWidth="1"/>
    <col min="15618" max="15619" width="10.88671875" style="685" bestFit="1" customWidth="1"/>
    <col min="15620" max="15620" width="10" style="685" bestFit="1" customWidth="1"/>
    <col min="15621" max="15621" width="14.88671875" style="685" bestFit="1" customWidth="1"/>
    <col min="15622" max="15622" width="12.6640625" style="685" bestFit="1" customWidth="1"/>
    <col min="15623" max="15623" width="9.109375" style="685"/>
    <col min="15624" max="15624" width="16.33203125" style="685" customWidth="1"/>
    <col min="15625" max="15625" width="10.109375" style="685" bestFit="1" customWidth="1"/>
    <col min="15626" max="15626" width="9.6640625" style="685" bestFit="1" customWidth="1"/>
    <col min="15627" max="15628" width="9.109375" style="685"/>
    <col min="15629" max="15630" width="10.109375" style="685" bestFit="1" customWidth="1"/>
    <col min="15631" max="15631" width="10.6640625" style="685" bestFit="1" customWidth="1"/>
    <col min="15632" max="15872" width="9.109375" style="685"/>
    <col min="15873" max="15873" width="40.44140625" style="685" customWidth="1"/>
    <col min="15874" max="15875" width="10.88671875" style="685" bestFit="1" customWidth="1"/>
    <col min="15876" max="15876" width="10" style="685" bestFit="1" customWidth="1"/>
    <col min="15877" max="15877" width="14.88671875" style="685" bestFit="1" customWidth="1"/>
    <col min="15878" max="15878" width="12.6640625" style="685" bestFit="1" customWidth="1"/>
    <col min="15879" max="15879" width="9.109375" style="685"/>
    <col min="15880" max="15880" width="16.33203125" style="685" customWidth="1"/>
    <col min="15881" max="15881" width="10.109375" style="685" bestFit="1" customWidth="1"/>
    <col min="15882" max="15882" width="9.6640625" style="685" bestFit="1" customWidth="1"/>
    <col min="15883" max="15884" width="9.109375" style="685"/>
    <col min="15885" max="15886" width="10.109375" style="685" bestFit="1" customWidth="1"/>
    <col min="15887" max="15887" width="10.6640625" style="685" bestFit="1" customWidth="1"/>
    <col min="15888" max="16128" width="9.109375" style="685"/>
    <col min="16129" max="16129" width="40.44140625" style="685" customWidth="1"/>
    <col min="16130" max="16131" width="10.88671875" style="685" bestFit="1" customWidth="1"/>
    <col min="16132" max="16132" width="10" style="685" bestFit="1" customWidth="1"/>
    <col min="16133" max="16133" width="14.88671875" style="685" bestFit="1" customWidth="1"/>
    <col min="16134" max="16134" width="12.6640625" style="685" bestFit="1" customWidth="1"/>
    <col min="16135" max="16135" width="9.109375" style="685"/>
    <col min="16136" max="16136" width="16.33203125" style="685" customWidth="1"/>
    <col min="16137" max="16137" width="10.109375" style="685" bestFit="1" customWidth="1"/>
    <col min="16138" max="16138" width="9.6640625" style="685" bestFit="1" customWidth="1"/>
    <col min="16139" max="16140" width="9.109375" style="685"/>
    <col min="16141" max="16142" width="10.109375" style="685" bestFit="1" customWidth="1"/>
    <col min="16143" max="16143" width="10.6640625" style="685" bestFit="1" customWidth="1"/>
    <col min="16144" max="16384" width="9.109375" style="685"/>
  </cols>
  <sheetData>
    <row r="1" spans="1:5" ht="15.6" x14ac:dyDescent="0.3">
      <c r="A1" s="936" t="s">
        <v>613</v>
      </c>
      <c r="B1" s="937"/>
      <c r="C1" s="937"/>
      <c r="D1" s="937"/>
      <c r="E1" s="937"/>
    </row>
    <row r="2" spans="1:5" ht="10.5" customHeight="1" x14ac:dyDescent="0.3">
      <c r="A2" s="686"/>
      <c r="B2" s="687"/>
      <c r="C2" s="687"/>
      <c r="D2" s="688"/>
    </row>
    <row r="3" spans="1:5" s="693" customFormat="1" ht="24.75" customHeight="1" x14ac:dyDescent="0.25">
      <c r="A3" s="690"/>
      <c r="B3" s="691" t="s">
        <v>614</v>
      </c>
      <c r="C3" s="691" t="s">
        <v>615</v>
      </c>
      <c r="D3" s="691" t="s">
        <v>616</v>
      </c>
      <c r="E3" s="692" t="s">
        <v>617</v>
      </c>
    </row>
    <row r="4" spans="1:5" ht="16.5" customHeight="1" x14ac:dyDescent="0.25">
      <c r="A4" s="694" t="s">
        <v>618</v>
      </c>
      <c r="B4" s="695"/>
      <c r="C4" s="695"/>
      <c r="D4" s="696"/>
      <c r="E4" s="697">
        <f>SUM(D8+D14)</f>
        <v>330055</v>
      </c>
    </row>
    <row r="5" spans="1:5" ht="16.5" customHeight="1" x14ac:dyDescent="0.25">
      <c r="A5" s="698" t="s">
        <v>619</v>
      </c>
      <c r="B5" s="699">
        <v>0</v>
      </c>
      <c r="C5" s="699"/>
      <c r="D5" s="695"/>
      <c r="E5" s="700"/>
    </row>
    <row r="6" spans="1:5" x14ac:dyDescent="0.25">
      <c r="A6" s="698" t="s">
        <v>620</v>
      </c>
      <c r="B6" s="699">
        <v>1289346</v>
      </c>
      <c r="C6" s="699"/>
      <c r="D6" s="695"/>
      <c r="E6" s="700"/>
    </row>
    <row r="7" spans="1:5" x14ac:dyDescent="0.25">
      <c r="A7" s="698" t="s">
        <v>621</v>
      </c>
      <c r="B7" s="699"/>
      <c r="C7" s="699">
        <v>1289346</v>
      </c>
      <c r="D7" s="695"/>
      <c r="E7" s="700"/>
    </row>
    <row r="8" spans="1:5" x14ac:dyDescent="0.25">
      <c r="A8" s="701" t="s">
        <v>622</v>
      </c>
      <c r="B8" s="699"/>
      <c r="C8" s="699"/>
      <c r="D8" s="702">
        <f>B6-C7</f>
        <v>0</v>
      </c>
      <c r="E8" s="700"/>
    </row>
    <row r="9" spans="1:5" x14ac:dyDescent="0.25">
      <c r="A9" s="698" t="s">
        <v>623</v>
      </c>
      <c r="B9" s="699">
        <v>1000000</v>
      </c>
      <c r="C9" s="695"/>
      <c r="D9" s="695"/>
      <c r="E9" s="700"/>
    </row>
    <row r="10" spans="1:5" x14ac:dyDescent="0.25">
      <c r="A10" s="698" t="s">
        <v>624</v>
      </c>
      <c r="B10" s="699">
        <v>341000</v>
      </c>
      <c r="C10" s="695"/>
      <c r="D10" s="695"/>
      <c r="E10" s="700"/>
    </row>
    <row r="11" spans="1:5" x14ac:dyDescent="0.25">
      <c r="A11" s="698" t="s">
        <v>625</v>
      </c>
      <c r="B11" s="699">
        <v>108135</v>
      </c>
      <c r="C11" s="695"/>
      <c r="D11" s="695"/>
      <c r="E11" s="700"/>
    </row>
    <row r="12" spans="1:5" x14ac:dyDescent="0.25">
      <c r="A12" s="698" t="s">
        <v>626</v>
      </c>
      <c r="B12" s="699"/>
      <c r="C12" s="699">
        <v>1010945</v>
      </c>
      <c r="D12" s="695"/>
      <c r="E12" s="700"/>
    </row>
    <row r="13" spans="1:5" x14ac:dyDescent="0.25">
      <c r="A13" s="698" t="s">
        <v>627</v>
      </c>
      <c r="B13" s="699"/>
      <c r="C13" s="699">
        <v>108135</v>
      </c>
      <c r="D13" s="695"/>
      <c r="E13" s="700"/>
    </row>
    <row r="14" spans="1:5" x14ac:dyDescent="0.25">
      <c r="A14" s="701" t="s">
        <v>628</v>
      </c>
      <c r="B14" s="699"/>
      <c r="C14" s="699"/>
      <c r="D14" s="702">
        <f>B9+B10-C12+B11-C13</f>
        <v>330055</v>
      </c>
      <c r="E14" s="700"/>
    </row>
    <row r="15" spans="1:5" ht="7.5" customHeight="1" x14ac:dyDescent="0.25">
      <c r="A15" s="698"/>
      <c r="B15" s="703"/>
      <c r="C15" s="703"/>
      <c r="D15" s="704"/>
      <c r="E15" s="705"/>
    </row>
    <row r="16" spans="1:5" x14ac:dyDescent="0.25">
      <c r="A16" s="694" t="s">
        <v>629</v>
      </c>
      <c r="B16" s="703"/>
      <c r="C16" s="703"/>
      <c r="D16" s="704"/>
      <c r="E16" s="697">
        <f>D43+D65+D67</f>
        <v>1278865115</v>
      </c>
    </row>
    <row r="17" spans="1:8" ht="10.5" customHeight="1" x14ac:dyDescent="0.25">
      <c r="A17" s="694"/>
      <c r="B17" s="703"/>
      <c r="C17" s="703"/>
      <c r="D17" s="704"/>
      <c r="E17" s="705"/>
    </row>
    <row r="18" spans="1:8" x14ac:dyDescent="0.25">
      <c r="A18" s="698" t="s">
        <v>630</v>
      </c>
      <c r="B18" s="699">
        <v>133338393</v>
      </c>
      <c r="C18" s="706"/>
      <c r="D18" s="704"/>
      <c r="E18" s="705"/>
      <c r="H18" s="688"/>
    </row>
    <row r="19" spans="1:8" x14ac:dyDescent="0.25">
      <c r="A19" s="698" t="s">
        <v>631</v>
      </c>
      <c r="B19" s="699">
        <v>16177800</v>
      </c>
      <c r="C19" s="706"/>
      <c r="D19" s="704"/>
      <c r="E19" s="705"/>
      <c r="H19" s="688"/>
    </row>
    <row r="20" spans="1:8" x14ac:dyDescent="0.25">
      <c r="A20" s="698" t="s">
        <v>632</v>
      </c>
      <c r="B20" s="699">
        <v>15227500</v>
      </c>
      <c r="C20" s="706"/>
      <c r="D20" s="704"/>
      <c r="E20" s="705"/>
      <c r="H20" s="688"/>
    </row>
    <row r="21" spans="1:8" x14ac:dyDescent="0.25">
      <c r="A21" s="698" t="s">
        <v>633</v>
      </c>
      <c r="B21" s="699">
        <v>12454621</v>
      </c>
      <c r="C21" s="706"/>
      <c r="D21" s="704"/>
      <c r="E21" s="705"/>
      <c r="H21" s="688"/>
    </row>
    <row r="22" spans="1:8" x14ac:dyDescent="0.25">
      <c r="A22" s="698" t="s">
        <v>634</v>
      </c>
      <c r="B22" s="699">
        <v>11416250</v>
      </c>
      <c r="C22" s="706"/>
      <c r="D22" s="704"/>
      <c r="E22" s="705"/>
      <c r="H22" s="688"/>
    </row>
    <row r="23" spans="1:8" x14ac:dyDescent="0.25">
      <c r="A23" s="698" t="s">
        <v>635</v>
      </c>
      <c r="B23" s="699">
        <v>13438114</v>
      </c>
      <c r="C23" s="706"/>
      <c r="D23" s="704"/>
      <c r="E23" s="705"/>
      <c r="H23" s="688"/>
    </row>
    <row r="24" spans="1:8" x14ac:dyDescent="0.25">
      <c r="A24" s="698" t="s">
        <v>636</v>
      </c>
      <c r="B24" s="699">
        <v>82925</v>
      </c>
      <c r="C24" s="706"/>
      <c r="D24" s="704"/>
      <c r="E24" s="705"/>
    </row>
    <row r="25" spans="1:8" x14ac:dyDescent="0.25">
      <c r="A25" s="698" t="s">
        <v>637</v>
      </c>
      <c r="B25" s="707"/>
      <c r="C25" s="699">
        <v>788155</v>
      </c>
      <c r="D25" s="704"/>
      <c r="E25" s="705"/>
    </row>
    <row r="26" spans="1:8" x14ac:dyDescent="0.25">
      <c r="A26" s="698" t="s">
        <v>638</v>
      </c>
      <c r="B26" s="699">
        <v>15676637</v>
      </c>
      <c r="C26" s="706"/>
      <c r="D26" s="704"/>
      <c r="E26" s="705"/>
    </row>
    <row r="27" spans="1:8" x14ac:dyDescent="0.25">
      <c r="A27" s="698" t="s">
        <v>639</v>
      </c>
      <c r="B27" s="699">
        <v>598531837</v>
      </c>
      <c r="C27" s="707"/>
      <c r="D27" s="704"/>
      <c r="E27" s="705"/>
    </row>
    <row r="28" spans="1:8" x14ac:dyDescent="0.25">
      <c r="A28" s="698" t="s">
        <v>640</v>
      </c>
      <c r="B28" s="707"/>
      <c r="C28" s="699">
        <v>100922045</v>
      </c>
      <c r="D28" s="704"/>
      <c r="E28" s="705"/>
    </row>
    <row r="29" spans="1:8" x14ac:dyDescent="0.25">
      <c r="A29" s="698" t="s">
        <v>641</v>
      </c>
      <c r="B29" s="699">
        <v>21484486</v>
      </c>
      <c r="C29" s="707"/>
      <c r="D29" s="704"/>
      <c r="E29" s="705"/>
    </row>
    <row r="30" spans="1:8" x14ac:dyDescent="0.25">
      <c r="A30" s="698" t="s">
        <v>642</v>
      </c>
      <c r="B30" s="707"/>
      <c r="C30" s="699">
        <v>6667375</v>
      </c>
      <c r="D30" s="704"/>
      <c r="E30" s="705"/>
      <c r="F30" s="708"/>
    </row>
    <row r="31" spans="1:8" ht="24" x14ac:dyDescent="0.25">
      <c r="A31" s="709" t="s">
        <v>643</v>
      </c>
      <c r="B31" s="699">
        <v>671897</v>
      </c>
      <c r="C31" s="707"/>
      <c r="D31" s="704"/>
      <c r="E31" s="705"/>
    </row>
    <row r="32" spans="1:8" x14ac:dyDescent="0.25">
      <c r="A32" s="698" t="s">
        <v>644</v>
      </c>
      <c r="B32" s="699">
        <v>218911</v>
      </c>
      <c r="C32" s="707"/>
      <c r="D32" s="704"/>
      <c r="E32" s="705"/>
    </row>
    <row r="33" spans="1:12" ht="10.5" customHeight="1" x14ac:dyDescent="0.25">
      <c r="A33" s="710"/>
      <c r="B33" s="707"/>
      <c r="C33" s="711"/>
      <c r="D33" s="704"/>
      <c r="E33" s="705"/>
    </row>
    <row r="34" spans="1:12" x14ac:dyDescent="0.25">
      <c r="A34" s="698" t="s">
        <v>645</v>
      </c>
      <c r="B34" s="699">
        <v>584111111</v>
      </c>
      <c r="C34" s="707"/>
      <c r="D34" s="704"/>
      <c r="E34" s="705"/>
    </row>
    <row r="35" spans="1:12" x14ac:dyDescent="0.25">
      <c r="A35" s="698" t="s">
        <v>646</v>
      </c>
      <c r="B35" s="707"/>
      <c r="C35" s="699">
        <v>171513801</v>
      </c>
      <c r="D35" s="704"/>
      <c r="E35" s="705"/>
    </row>
    <row r="36" spans="1:12" x14ac:dyDescent="0.25">
      <c r="A36" s="698" t="s">
        <v>647</v>
      </c>
      <c r="B36" s="699">
        <v>25742109</v>
      </c>
      <c r="C36" s="707"/>
      <c r="D36" s="704"/>
      <c r="E36" s="705"/>
    </row>
    <row r="37" spans="1:12" x14ac:dyDescent="0.25">
      <c r="A37" s="698" t="s">
        <v>648</v>
      </c>
      <c r="B37" s="707"/>
      <c r="C37" s="699">
        <v>8732560</v>
      </c>
      <c r="D37" s="704"/>
      <c r="E37" s="705"/>
    </row>
    <row r="38" spans="1:12" x14ac:dyDescent="0.25">
      <c r="A38" s="698" t="s">
        <v>649</v>
      </c>
      <c r="B38" s="699">
        <v>140711</v>
      </c>
      <c r="C38" s="707"/>
      <c r="D38" s="704"/>
      <c r="E38" s="705"/>
    </row>
    <row r="39" spans="1:12" x14ac:dyDescent="0.25">
      <c r="A39" s="710"/>
      <c r="B39" s="707"/>
      <c r="C39" s="711"/>
      <c r="D39" s="695"/>
      <c r="E39" s="705"/>
      <c r="H39" s="712"/>
    </row>
    <row r="40" spans="1:12" x14ac:dyDescent="0.25">
      <c r="A40" s="698" t="s">
        <v>650</v>
      </c>
      <c r="B40" s="699">
        <v>1539298</v>
      </c>
      <c r="C40" s="711"/>
      <c r="D40" s="695"/>
      <c r="E40" s="705"/>
      <c r="G40" s="708"/>
      <c r="H40" s="708"/>
      <c r="I40" s="708"/>
      <c r="J40" s="708"/>
      <c r="K40" s="708"/>
      <c r="L40" s="708"/>
    </row>
    <row r="41" spans="1:12" ht="15" customHeight="1" x14ac:dyDescent="0.25">
      <c r="A41" s="698" t="s">
        <v>651</v>
      </c>
      <c r="B41" s="707"/>
      <c r="C41" s="699">
        <v>1539298</v>
      </c>
      <c r="D41" s="695"/>
      <c r="E41" s="705"/>
      <c r="G41" s="708"/>
      <c r="H41" s="708"/>
      <c r="I41" s="708"/>
      <c r="J41" s="708"/>
      <c r="K41" s="708"/>
      <c r="L41" s="708"/>
    </row>
    <row r="42" spans="1:12" ht="14.25" customHeight="1" x14ac:dyDescent="0.25">
      <c r="A42" s="710"/>
      <c r="B42" s="711"/>
      <c r="C42" s="711"/>
      <c r="D42" s="695"/>
      <c r="E42" s="700"/>
      <c r="G42" s="708"/>
      <c r="H42" s="708"/>
      <c r="I42" s="708"/>
      <c r="J42" s="708"/>
      <c r="K42" s="708"/>
      <c r="L42" s="708"/>
    </row>
    <row r="43" spans="1:12" s="716" customFormat="1" x14ac:dyDescent="0.25">
      <c r="A43" s="713" t="s">
        <v>652</v>
      </c>
      <c r="B43" s="714">
        <f>SUM(B18:B42)</f>
        <v>1450252600</v>
      </c>
      <c r="C43" s="714">
        <f>SUM(C18:C42)</f>
        <v>290163234</v>
      </c>
      <c r="D43" s="697">
        <f>B43-C43</f>
        <v>1160089366</v>
      </c>
      <c r="E43" s="715"/>
      <c r="G43" s="717"/>
      <c r="H43" s="717"/>
      <c r="I43" s="717"/>
      <c r="J43" s="717"/>
      <c r="K43" s="717"/>
      <c r="L43" s="717"/>
    </row>
    <row r="44" spans="1:12" s="716" customFormat="1" x14ac:dyDescent="0.25">
      <c r="A44" s="713"/>
      <c r="B44" s="714"/>
      <c r="C44" s="714"/>
      <c r="D44" s="697"/>
      <c r="E44" s="715"/>
      <c r="G44" s="717"/>
      <c r="H44" s="717"/>
      <c r="I44" s="717"/>
      <c r="J44" s="717"/>
      <c r="K44" s="717"/>
      <c r="L44" s="717"/>
    </row>
    <row r="45" spans="1:12" ht="21" customHeight="1" x14ac:dyDescent="0.25">
      <c r="A45" s="698" t="s">
        <v>653</v>
      </c>
      <c r="B45" s="699">
        <v>255000</v>
      </c>
      <c r="C45" s="699"/>
      <c r="D45" s="695"/>
      <c r="E45" s="705"/>
      <c r="G45" s="708"/>
      <c r="H45" s="708"/>
      <c r="I45" s="708"/>
      <c r="J45" s="708"/>
      <c r="K45" s="708"/>
      <c r="L45" s="708"/>
    </row>
    <row r="46" spans="1:12" ht="24.6" x14ac:dyDescent="0.3">
      <c r="A46" s="709" t="s">
        <v>654</v>
      </c>
      <c r="B46" s="699">
        <v>2616701</v>
      </c>
      <c r="C46" s="700"/>
      <c r="D46" s="700"/>
      <c r="E46" s="705"/>
      <c r="F46" s="686"/>
      <c r="G46" s="708"/>
      <c r="H46" s="708"/>
      <c r="I46" s="708"/>
      <c r="J46" s="708"/>
      <c r="K46" s="708"/>
      <c r="L46" s="708"/>
    </row>
    <row r="47" spans="1:12" ht="24.6" x14ac:dyDescent="0.3">
      <c r="A47" s="709" t="s">
        <v>655</v>
      </c>
      <c r="B47" s="699">
        <v>1094500</v>
      </c>
      <c r="C47" s="700"/>
      <c r="D47" s="700"/>
      <c r="E47" s="705"/>
      <c r="F47" s="686"/>
      <c r="G47" s="708"/>
      <c r="H47" s="708"/>
      <c r="I47" s="708"/>
      <c r="J47" s="708"/>
      <c r="K47" s="708"/>
      <c r="L47" s="708"/>
    </row>
    <row r="48" spans="1:12" x14ac:dyDescent="0.25">
      <c r="A48" s="698" t="s">
        <v>656</v>
      </c>
      <c r="B48" s="699"/>
      <c r="C48" s="699">
        <v>2749034</v>
      </c>
      <c r="D48" s="695"/>
      <c r="E48" s="705"/>
      <c r="G48" s="708"/>
      <c r="H48" s="708"/>
      <c r="I48" s="708"/>
      <c r="J48" s="708"/>
      <c r="K48" s="708"/>
      <c r="L48" s="708"/>
    </row>
    <row r="49" spans="1:12" x14ac:dyDescent="0.25">
      <c r="A49" s="698" t="s">
        <v>657</v>
      </c>
      <c r="B49" s="699"/>
      <c r="C49" s="699">
        <v>1094500</v>
      </c>
      <c r="D49" s="695"/>
      <c r="E49" s="705"/>
      <c r="G49" s="708"/>
      <c r="H49" s="708"/>
      <c r="I49" s="708"/>
      <c r="J49" s="708"/>
      <c r="K49" s="708"/>
      <c r="L49" s="708"/>
    </row>
    <row r="50" spans="1:12" x14ac:dyDescent="0.25">
      <c r="A50" s="701" t="s">
        <v>658</v>
      </c>
      <c r="B50" s="718"/>
      <c r="C50" s="702"/>
      <c r="D50" s="697">
        <f>B45+B46+B47-C48-C49</f>
        <v>122667</v>
      </c>
      <c r="E50" s="719"/>
      <c r="G50" s="708"/>
      <c r="H50" s="708"/>
      <c r="I50" s="708"/>
      <c r="J50" s="708"/>
      <c r="K50" s="708"/>
      <c r="L50" s="708"/>
    </row>
    <row r="51" spans="1:12" ht="9" customHeight="1" x14ac:dyDescent="0.25">
      <c r="A51" s="698"/>
      <c r="B51" s="703"/>
      <c r="C51" s="699"/>
      <c r="D51" s="695"/>
      <c r="E51" s="705"/>
      <c r="G51" s="708"/>
      <c r="H51" s="708"/>
      <c r="I51" s="708"/>
      <c r="J51" s="708"/>
      <c r="K51" s="708"/>
      <c r="L51" s="708"/>
    </row>
    <row r="52" spans="1:12" ht="24" x14ac:dyDescent="0.25">
      <c r="A52" s="709" t="s">
        <v>659</v>
      </c>
      <c r="B52" s="699">
        <v>10530972</v>
      </c>
      <c r="C52" s="699"/>
      <c r="D52" s="695"/>
      <c r="E52" s="705"/>
      <c r="G52" s="708"/>
      <c r="H52" s="708"/>
      <c r="I52" s="708"/>
      <c r="J52" s="708"/>
      <c r="K52" s="708"/>
      <c r="L52" s="708"/>
    </row>
    <row r="53" spans="1:12" ht="24" x14ac:dyDescent="0.25">
      <c r="A53" s="709" t="s">
        <v>660</v>
      </c>
      <c r="B53" s="699">
        <v>29200262</v>
      </c>
      <c r="C53" s="699"/>
      <c r="D53" s="695"/>
      <c r="E53" s="705"/>
      <c r="G53" s="708"/>
      <c r="H53" s="708"/>
      <c r="I53" s="708"/>
      <c r="J53" s="708"/>
      <c r="K53" s="708"/>
      <c r="L53" s="708"/>
    </row>
    <row r="54" spans="1:12" x14ac:dyDescent="0.25">
      <c r="A54" s="709" t="s">
        <v>661</v>
      </c>
      <c r="B54" s="699">
        <v>7171760</v>
      </c>
      <c r="C54" s="699"/>
      <c r="D54" s="695"/>
      <c r="E54" s="705"/>
      <c r="G54" s="708"/>
      <c r="H54" s="708"/>
      <c r="I54" s="708"/>
      <c r="J54" s="708"/>
      <c r="K54" s="708"/>
      <c r="L54" s="708"/>
    </row>
    <row r="55" spans="1:12" ht="24" x14ac:dyDescent="0.25">
      <c r="A55" s="709" t="s">
        <v>662</v>
      </c>
      <c r="B55" s="699"/>
      <c r="C55" s="699">
        <v>33737259</v>
      </c>
      <c r="D55" s="695"/>
      <c r="E55" s="700"/>
    </row>
    <row r="56" spans="1:12" x14ac:dyDescent="0.25">
      <c r="A56" s="709" t="s">
        <v>663</v>
      </c>
      <c r="B56" s="699"/>
      <c r="C56" s="699">
        <v>7171760</v>
      </c>
      <c r="D56" s="695"/>
      <c r="E56" s="700"/>
    </row>
    <row r="57" spans="1:12" s="716" customFormat="1" ht="15.75" customHeight="1" x14ac:dyDescent="0.25">
      <c r="A57" s="701" t="s">
        <v>664</v>
      </c>
      <c r="B57" s="720"/>
      <c r="C57" s="697"/>
      <c r="D57" s="697">
        <f>B52+B53+B54-C55-C56</f>
        <v>5993975</v>
      </c>
      <c r="E57" s="715"/>
    </row>
    <row r="58" spans="1:12" s="716" customFormat="1" ht="21.75" customHeight="1" x14ac:dyDescent="0.25">
      <c r="A58" s="701" t="s">
        <v>665</v>
      </c>
      <c r="B58" s="720">
        <v>501472</v>
      </c>
      <c r="C58" s="720"/>
      <c r="D58" s="697">
        <f>B58</f>
        <v>501472</v>
      </c>
      <c r="E58" s="715"/>
    </row>
    <row r="59" spans="1:12" s="716" customFormat="1" ht="21.75" customHeight="1" x14ac:dyDescent="0.25">
      <c r="A59" s="701"/>
      <c r="B59" s="720"/>
      <c r="C59" s="720"/>
      <c r="D59" s="697"/>
      <c r="E59" s="715"/>
    </row>
    <row r="60" spans="1:12" x14ac:dyDescent="0.25">
      <c r="A60" s="698" t="s">
        <v>666</v>
      </c>
      <c r="B60" s="699">
        <v>6500000</v>
      </c>
      <c r="C60" s="699"/>
      <c r="D60" s="699"/>
      <c r="E60" s="700"/>
    </row>
    <row r="61" spans="1:12" ht="24" x14ac:dyDescent="0.25">
      <c r="A61" s="709" t="s">
        <v>667</v>
      </c>
      <c r="B61" s="699">
        <v>13230033</v>
      </c>
      <c r="C61" s="699"/>
      <c r="D61" s="699"/>
      <c r="E61" s="700"/>
    </row>
    <row r="62" spans="1:12" x14ac:dyDescent="0.25">
      <c r="A62" s="698" t="s">
        <v>668</v>
      </c>
      <c r="B62" s="699"/>
      <c r="C62" s="699">
        <v>14307676</v>
      </c>
      <c r="D62" s="699"/>
      <c r="E62" s="700"/>
    </row>
    <row r="63" spans="1:12" s="716" customFormat="1" x14ac:dyDescent="0.25">
      <c r="A63" s="701" t="s">
        <v>669</v>
      </c>
      <c r="B63" s="721"/>
      <c r="C63" s="697"/>
      <c r="D63" s="697">
        <f>B60+B61-C62</f>
        <v>5422357</v>
      </c>
      <c r="E63" s="722"/>
    </row>
    <row r="64" spans="1:12" x14ac:dyDescent="0.25">
      <c r="A64" s="710"/>
      <c r="B64" s="703"/>
      <c r="C64" s="695"/>
      <c r="D64" s="695"/>
      <c r="E64" s="700"/>
    </row>
    <row r="65" spans="1:8" s="716" customFormat="1" ht="23.4" x14ac:dyDescent="0.25">
      <c r="A65" s="723" t="s">
        <v>670</v>
      </c>
      <c r="B65" s="697">
        <f>SUM(B45:B64)</f>
        <v>71100700</v>
      </c>
      <c r="C65" s="697">
        <f>SUM(C45:C64)</f>
        <v>59060229</v>
      </c>
      <c r="D65" s="697">
        <f>SUM(D50:D64)</f>
        <v>12040471</v>
      </c>
      <c r="E65" s="722"/>
    </row>
    <row r="66" spans="1:8" ht="11.25" customHeight="1" x14ac:dyDescent="0.25">
      <c r="A66" s="710"/>
      <c r="B66" s="704"/>
      <c r="C66" s="704"/>
      <c r="D66" s="704"/>
      <c r="E66" s="724"/>
    </row>
    <row r="67" spans="1:8" s="716" customFormat="1" x14ac:dyDescent="0.25">
      <c r="A67" s="694" t="s">
        <v>671</v>
      </c>
      <c r="B67" s="721"/>
      <c r="C67" s="725"/>
      <c r="D67" s="697">
        <v>106735278</v>
      </c>
      <c r="E67" s="697"/>
    </row>
    <row r="68" spans="1:8" s="716" customFormat="1" ht="9.75" customHeight="1" x14ac:dyDescent="0.25">
      <c r="A68" s="694"/>
      <c r="B68" s="721"/>
      <c r="C68" s="725"/>
      <c r="D68" s="721"/>
      <c r="E68" s="725"/>
    </row>
    <row r="69" spans="1:8" s="716" customFormat="1" x14ac:dyDescent="0.25">
      <c r="A69" s="694" t="s">
        <v>672</v>
      </c>
      <c r="B69" s="726"/>
      <c r="C69" s="726"/>
      <c r="D69" s="697"/>
      <c r="E69" s="697">
        <f>SUM(D71:D73)</f>
        <v>7850000</v>
      </c>
    </row>
    <row r="70" spans="1:8" s="716" customFormat="1" x14ac:dyDescent="0.25">
      <c r="A70" s="694"/>
      <c r="B70" s="726"/>
      <c r="C70" s="726"/>
      <c r="D70" s="697"/>
      <c r="E70" s="715"/>
    </row>
    <row r="71" spans="1:8" s="716" customFormat="1" x14ac:dyDescent="0.25">
      <c r="A71" s="698" t="s">
        <v>673</v>
      </c>
      <c r="B71" s="726"/>
      <c r="C71" s="726"/>
      <c r="D71" s="697">
        <v>7850000</v>
      </c>
      <c r="E71" s="715"/>
    </row>
    <row r="72" spans="1:8" x14ac:dyDescent="0.25">
      <c r="A72" s="698" t="s">
        <v>674</v>
      </c>
      <c r="B72" s="703"/>
      <c r="C72" s="703"/>
      <c r="D72" s="695">
        <v>0</v>
      </c>
      <c r="E72" s="700"/>
    </row>
    <row r="73" spans="1:8" x14ac:dyDescent="0.25">
      <c r="A73" s="698" t="s">
        <v>675</v>
      </c>
      <c r="B73" s="703"/>
      <c r="C73" s="703"/>
      <c r="D73" s="695">
        <v>0</v>
      </c>
      <c r="E73" s="695"/>
    </row>
    <row r="74" spans="1:8" x14ac:dyDescent="0.25">
      <c r="A74" s="698"/>
      <c r="B74" s="703"/>
      <c r="C74" s="703"/>
      <c r="D74" s="695"/>
      <c r="E74" s="695"/>
    </row>
    <row r="75" spans="1:8" s="716" customFormat="1" x14ac:dyDescent="0.25">
      <c r="A75" s="694" t="s">
        <v>676</v>
      </c>
      <c r="B75" s="726"/>
      <c r="C75" s="726"/>
      <c r="D75" s="697"/>
      <c r="E75" s="697">
        <f>D82</f>
        <v>213068782</v>
      </c>
    </row>
    <row r="76" spans="1:8" s="716" customFormat="1" ht="10.5" customHeight="1" x14ac:dyDescent="0.25">
      <c r="A76" s="694"/>
      <c r="B76" s="726"/>
      <c r="C76" s="726"/>
      <c r="D76" s="697"/>
      <c r="E76" s="697"/>
    </row>
    <row r="77" spans="1:8" s="716" customFormat="1" x14ac:dyDescent="0.25">
      <c r="A77" s="698" t="s">
        <v>677</v>
      </c>
      <c r="B77" s="720">
        <v>340087980</v>
      </c>
      <c r="C77" s="726"/>
      <c r="D77" s="697"/>
      <c r="E77" s="715"/>
      <c r="H77" s="717"/>
    </row>
    <row r="78" spans="1:8" s="716" customFormat="1" x14ac:dyDescent="0.25">
      <c r="A78" s="698" t="s">
        <v>678</v>
      </c>
      <c r="B78" s="720">
        <v>15026069</v>
      </c>
      <c r="C78" s="726"/>
      <c r="D78" s="697"/>
      <c r="E78" s="715"/>
      <c r="H78" s="717"/>
    </row>
    <row r="79" spans="1:8" s="716" customFormat="1" x14ac:dyDescent="0.25">
      <c r="A79" s="698" t="s">
        <v>679</v>
      </c>
      <c r="B79" s="720">
        <v>23034300</v>
      </c>
      <c r="C79" s="726"/>
      <c r="D79" s="697"/>
      <c r="E79" s="715"/>
      <c r="H79" s="717"/>
    </row>
    <row r="80" spans="1:8" s="716" customFormat="1" x14ac:dyDescent="0.25">
      <c r="A80" s="727" t="s">
        <v>680</v>
      </c>
      <c r="B80" s="720"/>
      <c r="C80" s="720">
        <v>140610635</v>
      </c>
      <c r="D80" s="697"/>
      <c r="E80" s="715"/>
      <c r="H80" s="717"/>
    </row>
    <row r="81" spans="1:9" s="716" customFormat="1" x14ac:dyDescent="0.25">
      <c r="A81" s="727" t="s">
        <v>681</v>
      </c>
      <c r="B81" s="720"/>
      <c r="C81" s="720">
        <v>24468932</v>
      </c>
      <c r="D81" s="697"/>
      <c r="E81" s="715"/>
      <c r="H81" s="717"/>
    </row>
    <row r="82" spans="1:9" s="716" customFormat="1" x14ac:dyDescent="0.25">
      <c r="A82" s="698"/>
      <c r="B82" s="726"/>
      <c r="C82" s="726"/>
      <c r="D82" s="697">
        <f>B77+B78+B79-C80-C81</f>
        <v>213068782</v>
      </c>
      <c r="E82" s="715"/>
      <c r="H82" s="717"/>
    </row>
    <row r="83" spans="1:9" ht="9" customHeight="1" x14ac:dyDescent="0.25">
      <c r="A83" s="694"/>
      <c r="B83" s="703"/>
      <c r="C83" s="703"/>
      <c r="D83" s="704"/>
      <c r="E83" s="705"/>
    </row>
    <row r="84" spans="1:9" x14ac:dyDescent="0.25">
      <c r="A84" s="728" t="s">
        <v>682</v>
      </c>
      <c r="B84" s="729"/>
      <c r="C84" s="729"/>
      <c r="D84" s="730"/>
      <c r="E84" s="731">
        <f>SUM(E4:E83)</f>
        <v>1500113952</v>
      </c>
    </row>
    <row r="85" spans="1:9" ht="12.75" customHeight="1" x14ac:dyDescent="0.25">
      <c r="A85" s="694"/>
      <c r="B85" s="703"/>
      <c r="C85" s="703"/>
      <c r="D85" s="704"/>
      <c r="E85" s="704"/>
    </row>
    <row r="86" spans="1:9" ht="12.75" customHeight="1" x14ac:dyDescent="0.25">
      <c r="A86" s="694"/>
      <c r="B86" s="703"/>
      <c r="C86" s="703"/>
      <c r="D86" s="704"/>
      <c r="E86" s="704"/>
    </row>
    <row r="87" spans="1:9" x14ac:dyDescent="0.25">
      <c r="A87" s="694" t="s">
        <v>683</v>
      </c>
      <c r="B87" s="699">
        <v>555427</v>
      </c>
      <c r="C87" s="703"/>
      <c r="D87" s="704"/>
      <c r="E87" s="705"/>
      <c r="H87" s="708"/>
    </row>
    <row r="88" spans="1:9" ht="12.75" customHeight="1" x14ac:dyDescent="0.25">
      <c r="A88" s="694"/>
      <c r="B88" s="703"/>
      <c r="C88" s="703"/>
      <c r="D88" s="704"/>
      <c r="E88" s="704"/>
    </row>
    <row r="89" spans="1:9" x14ac:dyDescent="0.25">
      <c r="A89" s="694" t="s">
        <v>684</v>
      </c>
      <c r="B89" s="703"/>
      <c r="C89" s="703"/>
      <c r="D89" s="704"/>
      <c r="E89" s="705"/>
      <c r="H89" s="708"/>
    </row>
    <row r="90" spans="1:9" x14ac:dyDescent="0.25">
      <c r="A90" s="698" t="s">
        <v>685</v>
      </c>
      <c r="B90" s="699">
        <v>65000000</v>
      </c>
      <c r="C90" s="703"/>
      <c r="D90" s="704"/>
      <c r="E90" s="705"/>
    </row>
    <row r="91" spans="1:9" ht="24.75" customHeight="1" x14ac:dyDescent="0.25">
      <c r="A91" s="728" t="s">
        <v>686</v>
      </c>
      <c r="B91" s="703"/>
      <c r="C91" s="703"/>
      <c r="D91" s="704"/>
      <c r="E91" s="731">
        <f>B87+B90</f>
        <v>65555427</v>
      </c>
    </row>
    <row r="92" spans="1:9" ht="24.75" customHeight="1" x14ac:dyDescent="0.25">
      <c r="A92" s="701"/>
      <c r="B92" s="703"/>
      <c r="C92" s="703"/>
      <c r="D92" s="704"/>
      <c r="E92" s="704"/>
    </row>
    <row r="93" spans="1:9" x14ac:dyDescent="0.25">
      <c r="A93" s="694" t="s">
        <v>687</v>
      </c>
      <c r="B93" s="699"/>
      <c r="C93" s="699"/>
      <c r="D93" s="695"/>
      <c r="E93" s="700"/>
      <c r="I93" s="708"/>
    </row>
    <row r="94" spans="1:9" x14ac:dyDescent="0.25">
      <c r="A94" s="698" t="s">
        <v>688</v>
      </c>
      <c r="B94" s="699">
        <v>0</v>
      </c>
      <c r="C94" s="695">
        <f>B94</f>
        <v>0</v>
      </c>
      <c r="D94" s="695"/>
      <c r="E94" s="700"/>
    </row>
    <row r="95" spans="1:9" x14ac:dyDescent="0.25">
      <c r="A95" s="698" t="s">
        <v>689</v>
      </c>
      <c r="B95" s="699"/>
      <c r="C95" s="695">
        <f>SUM(B96:B101)</f>
        <v>141952119</v>
      </c>
      <c r="D95" s="695"/>
      <c r="E95" s="700"/>
    </row>
    <row r="96" spans="1:9" x14ac:dyDescent="0.25">
      <c r="A96" s="698" t="s">
        <v>690</v>
      </c>
      <c r="B96" s="699">
        <v>103823819</v>
      </c>
      <c r="C96" s="699"/>
      <c r="D96" s="695"/>
      <c r="E96" s="700"/>
    </row>
    <row r="97" spans="1:8" x14ac:dyDescent="0.25">
      <c r="A97" s="698" t="s">
        <v>691</v>
      </c>
      <c r="B97" s="699">
        <v>3219775</v>
      </c>
      <c r="C97" s="699"/>
      <c r="D97" s="695"/>
      <c r="E97" s="700"/>
    </row>
    <row r="98" spans="1:8" x14ac:dyDescent="0.25">
      <c r="A98" s="698" t="s">
        <v>692</v>
      </c>
      <c r="B98" s="699">
        <v>2256690</v>
      </c>
      <c r="C98" s="699"/>
      <c r="D98" s="695"/>
      <c r="E98" s="700"/>
    </row>
    <row r="99" spans="1:8" x14ac:dyDescent="0.25">
      <c r="A99" s="698" t="s">
        <v>693</v>
      </c>
      <c r="B99" s="699">
        <v>0</v>
      </c>
      <c r="C99" s="699"/>
      <c r="D99" s="695"/>
      <c r="E99" s="700"/>
    </row>
    <row r="100" spans="1:8" x14ac:dyDescent="0.25">
      <c r="A100" s="698" t="s">
        <v>694</v>
      </c>
      <c r="B100" s="699">
        <v>32651835</v>
      </c>
      <c r="C100" s="699"/>
      <c r="D100" s="695"/>
      <c r="E100" s="700"/>
    </row>
    <row r="101" spans="1:8" x14ac:dyDescent="0.25">
      <c r="A101" s="698"/>
      <c r="B101" s="699"/>
      <c r="C101" s="699"/>
      <c r="D101" s="695"/>
      <c r="E101" s="700"/>
    </row>
    <row r="102" spans="1:8" x14ac:dyDescent="0.25">
      <c r="A102" s="698" t="s">
        <v>695</v>
      </c>
      <c r="B102" s="699"/>
      <c r="C102" s="695">
        <f>SUM(B103:B106)</f>
        <v>0</v>
      </c>
      <c r="D102" s="695"/>
      <c r="E102" s="700"/>
    </row>
    <row r="103" spans="1:8" x14ac:dyDescent="0.25">
      <c r="A103" s="698" t="s">
        <v>696</v>
      </c>
      <c r="B103" s="699">
        <v>0</v>
      </c>
      <c r="C103" s="699"/>
      <c r="D103" s="695"/>
      <c r="E103" s="700"/>
    </row>
    <row r="104" spans="1:8" x14ac:dyDescent="0.25">
      <c r="A104" s="698" t="s">
        <v>697</v>
      </c>
      <c r="B104" s="699">
        <v>0</v>
      </c>
      <c r="C104" s="699"/>
      <c r="D104" s="695"/>
      <c r="E104" s="700"/>
    </row>
    <row r="105" spans="1:8" x14ac:dyDescent="0.25">
      <c r="A105" s="698"/>
      <c r="B105" s="699"/>
      <c r="C105" s="699"/>
      <c r="D105" s="695"/>
      <c r="E105" s="700"/>
    </row>
    <row r="106" spans="1:8" s="734" customFormat="1" ht="19.5" customHeight="1" x14ac:dyDescent="0.25">
      <c r="A106" s="728" t="s">
        <v>698</v>
      </c>
      <c r="B106" s="732"/>
      <c r="C106" s="732"/>
      <c r="D106" s="733"/>
      <c r="E106" s="731">
        <f>C94+C95+C102</f>
        <v>141952119</v>
      </c>
    </row>
    <row r="107" spans="1:8" s="734" customFormat="1" ht="19.5" customHeight="1" x14ac:dyDescent="0.25">
      <c r="A107" s="728"/>
      <c r="B107" s="732"/>
      <c r="C107" s="732"/>
      <c r="D107" s="733"/>
      <c r="E107" s="731"/>
    </row>
    <row r="108" spans="1:8" s="741" customFormat="1" ht="19.5" customHeight="1" x14ac:dyDescent="0.25">
      <c r="A108" s="735" t="s">
        <v>699</v>
      </c>
      <c r="B108" s="736"/>
      <c r="C108" s="737">
        <f>SUM(B109:B115)</f>
        <v>12275072</v>
      </c>
      <c r="D108" s="738"/>
      <c r="E108" s="739"/>
      <c r="F108" s="740"/>
      <c r="G108" s="740"/>
      <c r="H108" s="740"/>
    </row>
    <row r="109" spans="1:8" s="734" customFormat="1" ht="23.4" x14ac:dyDescent="0.25">
      <c r="A109" s="742" t="s">
        <v>700</v>
      </c>
      <c r="B109" s="743">
        <f>1650500-801499</f>
        <v>849001</v>
      </c>
      <c r="C109" s="744"/>
      <c r="D109" s="745"/>
      <c r="E109" s="702"/>
      <c r="F109" s="746"/>
      <c r="G109" s="746"/>
      <c r="H109" s="746"/>
    </row>
    <row r="110" spans="1:8" s="734" customFormat="1" ht="19.5" customHeight="1" x14ac:dyDescent="0.25">
      <c r="A110" s="742" t="s">
        <v>701</v>
      </c>
      <c r="B110" s="743">
        <f>13387131-4046956</f>
        <v>9340175</v>
      </c>
      <c r="C110" s="744"/>
      <c r="D110" s="745"/>
      <c r="E110" s="702"/>
      <c r="F110" s="746"/>
      <c r="G110" s="746"/>
      <c r="H110" s="746"/>
    </row>
    <row r="111" spans="1:8" s="734" customFormat="1" ht="19.5" customHeight="1" x14ac:dyDescent="0.25">
      <c r="A111" s="742" t="s">
        <v>702</v>
      </c>
      <c r="B111" s="743">
        <f>2213794-825487</f>
        <v>1388307</v>
      </c>
      <c r="C111" s="744"/>
      <c r="D111" s="745"/>
      <c r="E111" s="702"/>
      <c r="F111" s="746"/>
      <c r="G111" s="746"/>
      <c r="H111" s="746"/>
    </row>
    <row r="112" spans="1:8" s="734" customFormat="1" ht="23.4" x14ac:dyDescent="0.25">
      <c r="A112" s="742" t="s">
        <v>703</v>
      </c>
      <c r="B112" s="743">
        <v>4000</v>
      </c>
      <c r="C112" s="744"/>
      <c r="D112" s="745"/>
      <c r="E112" s="702"/>
      <c r="F112" s="746"/>
      <c r="G112" s="746"/>
      <c r="H112" s="746"/>
    </row>
    <row r="113" spans="1:8" s="734" customFormat="1" ht="19.5" customHeight="1" x14ac:dyDescent="0.25">
      <c r="A113" s="742" t="s">
        <v>704</v>
      </c>
      <c r="B113" s="743">
        <v>87</v>
      </c>
      <c r="C113" s="744"/>
      <c r="D113" s="745"/>
      <c r="E113" s="702"/>
      <c r="F113" s="746"/>
      <c r="G113" s="746"/>
      <c r="H113" s="746"/>
    </row>
    <row r="114" spans="1:8" s="734" customFormat="1" ht="19.5" customHeight="1" x14ac:dyDescent="0.25">
      <c r="A114" s="742" t="s">
        <v>705</v>
      </c>
      <c r="B114" s="743">
        <f>1851119-1157617</f>
        <v>693502</v>
      </c>
      <c r="C114" s="744"/>
      <c r="D114" s="745"/>
      <c r="E114" s="702"/>
      <c r="F114" s="746"/>
      <c r="G114" s="746"/>
      <c r="H114" s="746"/>
    </row>
    <row r="115" spans="1:8" s="734" customFormat="1" ht="19.5" customHeight="1" x14ac:dyDescent="0.25">
      <c r="A115" s="742" t="s">
        <v>706</v>
      </c>
      <c r="B115" s="743">
        <f>189000-189000</f>
        <v>0</v>
      </c>
      <c r="C115" s="744"/>
      <c r="D115" s="745"/>
      <c r="E115" s="702"/>
      <c r="F115" s="746"/>
      <c r="G115" s="746"/>
      <c r="H115" s="746"/>
    </row>
    <row r="116" spans="1:8" s="734" customFormat="1" ht="17.25" customHeight="1" x14ac:dyDescent="0.25">
      <c r="A116" s="742"/>
      <c r="B116" s="743"/>
      <c r="C116" s="744"/>
      <c r="D116" s="745"/>
      <c r="E116" s="702"/>
      <c r="F116" s="746"/>
      <c r="G116" s="746"/>
      <c r="H116" s="746"/>
    </row>
    <row r="117" spans="1:8" s="734" customFormat="1" ht="23.25" customHeight="1" x14ac:dyDescent="0.25">
      <c r="A117" s="747" t="s">
        <v>707</v>
      </c>
      <c r="B117" s="743"/>
      <c r="C117" s="748">
        <f>SUM(B118:B120)</f>
        <v>305960</v>
      </c>
      <c r="D117" s="745"/>
      <c r="E117" s="702"/>
      <c r="F117" s="746"/>
      <c r="G117" s="746"/>
      <c r="H117" s="746"/>
    </row>
    <row r="118" spans="1:8" s="734" customFormat="1" x14ac:dyDescent="0.25">
      <c r="A118" s="742" t="s">
        <v>708</v>
      </c>
      <c r="B118" s="743">
        <v>10000</v>
      </c>
      <c r="C118" s="748"/>
      <c r="D118" s="745"/>
      <c r="E118" s="702"/>
      <c r="F118" s="746"/>
      <c r="G118" s="746"/>
      <c r="H118" s="746"/>
    </row>
    <row r="119" spans="1:8" s="734" customFormat="1" ht="23.4" x14ac:dyDescent="0.25">
      <c r="A119" s="742" t="s">
        <v>709</v>
      </c>
      <c r="B119" s="743">
        <v>237908</v>
      </c>
      <c r="C119" s="748"/>
      <c r="D119" s="745"/>
      <c r="E119" s="702"/>
      <c r="F119" s="746"/>
      <c r="G119" s="746"/>
      <c r="H119" s="746"/>
    </row>
    <row r="120" spans="1:8" s="734" customFormat="1" ht="23.4" x14ac:dyDescent="0.25">
      <c r="A120" s="742" t="s">
        <v>710</v>
      </c>
      <c r="B120" s="743">
        <v>58052</v>
      </c>
      <c r="C120" s="748"/>
      <c r="D120" s="745"/>
      <c r="E120" s="702"/>
      <c r="F120" s="746"/>
      <c r="G120" s="746"/>
      <c r="H120" s="746"/>
    </row>
    <row r="121" spans="1:8" s="734" customFormat="1" x14ac:dyDescent="0.25">
      <c r="A121" s="742"/>
      <c r="B121" s="743"/>
      <c r="C121" s="748"/>
      <c r="D121" s="745"/>
      <c r="E121" s="702"/>
      <c r="F121" s="746"/>
      <c r="G121" s="746"/>
      <c r="H121" s="746"/>
    </row>
    <row r="122" spans="1:8" s="734" customFormat="1" ht="16.5" customHeight="1" x14ac:dyDescent="0.25">
      <c r="A122" s="747" t="s">
        <v>711</v>
      </c>
      <c r="B122" s="743"/>
      <c r="C122" s="748">
        <f>SUM(B123)</f>
        <v>2372880</v>
      </c>
      <c r="D122" s="745"/>
      <c r="E122" s="702"/>
      <c r="F122" s="746"/>
      <c r="G122" s="746"/>
      <c r="H122" s="746"/>
    </row>
    <row r="123" spans="1:8" s="734" customFormat="1" ht="23.4" x14ac:dyDescent="0.25">
      <c r="A123" s="749" t="s">
        <v>712</v>
      </c>
      <c r="B123" s="743">
        <v>2372880</v>
      </c>
      <c r="C123" s="748"/>
      <c r="D123" s="745"/>
      <c r="E123" s="702"/>
      <c r="F123" s="746"/>
      <c r="G123" s="746"/>
      <c r="H123" s="746"/>
    </row>
    <row r="124" spans="1:8" s="734" customFormat="1" x14ac:dyDescent="0.25">
      <c r="A124" s="742"/>
      <c r="B124" s="743"/>
      <c r="C124" s="748"/>
      <c r="D124" s="745"/>
      <c r="E124" s="702"/>
      <c r="F124" s="746"/>
      <c r="G124" s="746"/>
      <c r="H124" s="746"/>
    </row>
    <row r="125" spans="1:8" s="734" customFormat="1" ht="17.25" customHeight="1" x14ac:dyDescent="0.25">
      <c r="A125" s="747" t="s">
        <v>713</v>
      </c>
      <c r="B125" s="743"/>
      <c r="C125" s="748">
        <f>SUM(B126)</f>
        <v>707620</v>
      </c>
      <c r="D125" s="745"/>
      <c r="E125" s="702"/>
      <c r="F125" s="746"/>
      <c r="G125" s="746"/>
      <c r="H125" s="746"/>
    </row>
    <row r="126" spans="1:8" s="734" customFormat="1" ht="23.4" x14ac:dyDescent="0.25">
      <c r="A126" s="749" t="s">
        <v>714</v>
      </c>
      <c r="B126" s="743">
        <v>707620</v>
      </c>
      <c r="C126" s="748"/>
      <c r="D126" s="745"/>
      <c r="E126" s="702"/>
      <c r="F126" s="746"/>
      <c r="G126" s="746"/>
      <c r="H126" s="746"/>
    </row>
    <row r="127" spans="1:8" s="734" customFormat="1" x14ac:dyDescent="0.25">
      <c r="A127" s="742"/>
      <c r="B127" s="743"/>
      <c r="C127" s="748"/>
      <c r="D127" s="745"/>
      <c r="E127" s="702"/>
      <c r="F127" s="746"/>
      <c r="G127" s="746"/>
      <c r="H127" s="746"/>
    </row>
    <row r="128" spans="1:8" s="751" customFormat="1" x14ac:dyDescent="0.25">
      <c r="A128" s="747" t="s">
        <v>715</v>
      </c>
      <c r="B128" s="750"/>
      <c r="C128" s="748"/>
      <c r="D128" s="748">
        <f>SUM(C108:C125)</f>
        <v>15661532</v>
      </c>
      <c r="E128" s="695"/>
      <c r="F128" s="696"/>
      <c r="G128" s="696"/>
      <c r="H128" s="696"/>
    </row>
    <row r="129" spans="1:8" s="734" customFormat="1" x14ac:dyDescent="0.25">
      <c r="A129" s="742"/>
      <c r="B129" s="743"/>
      <c r="C129" s="744"/>
      <c r="D129" s="745"/>
      <c r="E129" s="702"/>
      <c r="F129" s="746"/>
      <c r="G129" s="746"/>
      <c r="H129" s="746"/>
    </row>
    <row r="130" spans="1:8" s="734" customFormat="1" x14ac:dyDescent="0.25">
      <c r="A130" s="742"/>
      <c r="B130" s="743"/>
      <c r="C130" s="744"/>
      <c r="D130" s="745"/>
      <c r="E130" s="702"/>
      <c r="F130" s="746"/>
      <c r="G130" s="746"/>
      <c r="H130" s="746"/>
    </row>
    <row r="131" spans="1:8" s="734" customFormat="1" x14ac:dyDescent="0.25">
      <c r="A131" s="747" t="s">
        <v>716</v>
      </c>
      <c r="B131" s="743"/>
      <c r="C131" s="748">
        <f>SUM(B132)</f>
        <v>8502560</v>
      </c>
      <c r="D131" s="745"/>
      <c r="E131" s="702"/>
      <c r="F131" s="746"/>
      <c r="G131" s="746"/>
      <c r="H131" s="746"/>
    </row>
    <row r="132" spans="1:8" s="734" customFormat="1" ht="26.4" x14ac:dyDescent="0.25">
      <c r="A132" s="752" t="s">
        <v>717</v>
      </c>
      <c r="B132" s="743">
        <v>8502560</v>
      </c>
      <c r="C132" s="744"/>
      <c r="D132" s="745"/>
      <c r="E132" s="702"/>
      <c r="F132" s="746"/>
      <c r="G132" s="746"/>
      <c r="H132" s="746"/>
    </row>
    <row r="133" spans="1:8" s="734" customFormat="1" x14ac:dyDescent="0.25">
      <c r="A133" s="742"/>
      <c r="B133" s="743"/>
      <c r="C133" s="744"/>
      <c r="D133" s="745"/>
      <c r="E133" s="702"/>
      <c r="F133" s="746"/>
      <c r="G133" s="746"/>
      <c r="H133" s="746"/>
    </row>
    <row r="134" spans="1:8" s="734" customFormat="1" ht="19.5" customHeight="1" x14ac:dyDescent="0.25">
      <c r="A134" s="747" t="s">
        <v>718</v>
      </c>
      <c r="B134" s="743"/>
      <c r="C134" s="748">
        <f>SUM(B135)</f>
        <v>6683858</v>
      </c>
      <c r="D134" s="745"/>
      <c r="E134" s="702"/>
      <c r="F134" s="746"/>
      <c r="G134" s="746"/>
      <c r="H134" s="746"/>
    </row>
    <row r="135" spans="1:8" s="734" customFormat="1" ht="34.799999999999997" x14ac:dyDescent="0.25">
      <c r="A135" s="742" t="s">
        <v>719</v>
      </c>
      <c r="B135" s="743">
        <v>6683858</v>
      </c>
      <c r="C135" s="744"/>
      <c r="D135" s="745"/>
      <c r="E135" s="702"/>
      <c r="F135" s="746"/>
      <c r="G135" s="746"/>
      <c r="H135" s="746"/>
    </row>
    <row r="136" spans="1:8" s="734" customFormat="1" x14ac:dyDescent="0.25">
      <c r="A136" s="742"/>
      <c r="B136" s="743"/>
      <c r="C136" s="744"/>
      <c r="D136" s="745"/>
      <c r="E136" s="702"/>
      <c r="F136" s="746"/>
      <c r="G136" s="746"/>
      <c r="H136" s="746"/>
    </row>
    <row r="137" spans="1:8" s="751" customFormat="1" x14ac:dyDescent="0.25">
      <c r="A137" s="148" t="s">
        <v>720</v>
      </c>
      <c r="B137" s="750"/>
      <c r="C137" s="748"/>
      <c r="D137" s="748">
        <f>SUM(C131:C135)</f>
        <v>15186418</v>
      </c>
      <c r="E137" s="695"/>
      <c r="F137" s="696"/>
      <c r="G137" s="696"/>
      <c r="H137" s="696"/>
    </row>
    <row r="138" spans="1:8" s="734" customFormat="1" x14ac:dyDescent="0.25">
      <c r="A138" s="742"/>
      <c r="B138" s="743"/>
      <c r="C138" s="744"/>
      <c r="D138" s="745"/>
      <c r="E138" s="702"/>
      <c r="F138" s="746"/>
      <c r="G138" s="746"/>
      <c r="H138" s="746"/>
    </row>
    <row r="139" spans="1:8" s="734" customFormat="1" x14ac:dyDescent="0.25">
      <c r="A139" s="742" t="s">
        <v>721</v>
      </c>
      <c r="B139" s="743">
        <v>155000</v>
      </c>
      <c r="C139" s="744"/>
      <c r="D139" s="745"/>
      <c r="E139" s="702"/>
      <c r="F139" s="746"/>
      <c r="G139" s="746"/>
      <c r="H139" s="746"/>
    </row>
    <row r="140" spans="1:8" s="734" customFormat="1" ht="26.4" x14ac:dyDescent="0.25">
      <c r="A140" s="752" t="s">
        <v>722</v>
      </c>
      <c r="B140" s="743">
        <v>168601893</v>
      </c>
      <c r="C140" s="744"/>
      <c r="D140" s="745"/>
      <c r="E140" s="702"/>
      <c r="F140" s="746"/>
      <c r="G140" s="746"/>
      <c r="H140" s="746"/>
    </row>
    <row r="141" spans="1:8" s="734" customFormat="1" x14ac:dyDescent="0.25">
      <c r="A141" s="742"/>
      <c r="B141" s="743"/>
      <c r="C141" s="744"/>
      <c r="D141" s="745"/>
      <c r="E141" s="702"/>
      <c r="F141" s="746"/>
      <c r="G141" s="746"/>
      <c r="H141" s="746"/>
    </row>
    <row r="142" spans="1:8" s="751" customFormat="1" x14ac:dyDescent="0.25">
      <c r="A142" s="753" t="s">
        <v>723</v>
      </c>
      <c r="B142" s="750"/>
      <c r="C142" s="748"/>
      <c r="D142" s="748">
        <f>SUM(B139:B140)</f>
        <v>168756893</v>
      </c>
      <c r="E142" s="695"/>
      <c r="F142" s="696"/>
      <c r="G142" s="696"/>
      <c r="H142" s="696"/>
    </row>
    <row r="143" spans="1:8" s="734" customFormat="1" x14ac:dyDescent="0.25">
      <c r="A143" s="742"/>
      <c r="B143" s="743"/>
      <c r="C143" s="744"/>
      <c r="D143" s="745"/>
      <c r="E143" s="702"/>
      <c r="F143" s="746"/>
      <c r="G143" s="746"/>
      <c r="H143" s="746"/>
    </row>
    <row r="144" spans="1:8" s="757" customFormat="1" x14ac:dyDescent="0.25">
      <c r="A144" s="754" t="s">
        <v>724</v>
      </c>
      <c r="B144" s="755"/>
      <c r="C144" s="745"/>
      <c r="D144" s="745"/>
      <c r="E144" s="702">
        <f>D128+D137+D142</f>
        <v>199604843</v>
      </c>
      <c r="F144" s="756"/>
      <c r="G144" s="756"/>
      <c r="H144" s="756"/>
    </row>
    <row r="145" spans="1:8" s="734" customFormat="1" x14ac:dyDescent="0.25">
      <c r="A145" s="742"/>
      <c r="B145" s="743"/>
      <c r="C145" s="744"/>
      <c r="D145" s="745"/>
      <c r="E145" s="702"/>
      <c r="F145" s="746"/>
      <c r="G145" s="746"/>
      <c r="H145" s="746"/>
    </row>
    <row r="146" spans="1:8" s="734" customFormat="1" x14ac:dyDescent="0.25">
      <c r="A146" s="742" t="s">
        <v>725</v>
      </c>
      <c r="B146" s="743">
        <v>1304820</v>
      </c>
      <c r="C146" s="744"/>
      <c r="D146" s="745"/>
      <c r="E146" s="702"/>
      <c r="F146" s="746"/>
      <c r="G146" s="746"/>
      <c r="H146" s="746"/>
    </row>
    <row r="147" spans="1:8" s="734" customFormat="1" x14ac:dyDescent="0.25">
      <c r="A147" s="742" t="s">
        <v>726</v>
      </c>
      <c r="B147" s="743">
        <v>-396115</v>
      </c>
      <c r="C147" s="744"/>
      <c r="D147" s="745"/>
      <c r="E147" s="702"/>
      <c r="F147" s="746"/>
      <c r="G147" s="746"/>
      <c r="H147" s="746"/>
    </row>
    <row r="148" spans="1:8" s="734" customFormat="1" x14ac:dyDescent="0.25">
      <c r="A148" s="742"/>
      <c r="B148" s="743"/>
      <c r="C148" s="744"/>
      <c r="D148" s="745"/>
      <c r="E148" s="702"/>
      <c r="F148" s="746"/>
      <c r="G148" s="746"/>
      <c r="H148" s="746"/>
    </row>
    <row r="149" spans="1:8" s="757" customFormat="1" x14ac:dyDescent="0.25">
      <c r="A149" s="754" t="s">
        <v>727</v>
      </c>
      <c r="B149" s="755"/>
      <c r="C149" s="745"/>
      <c r="D149" s="745"/>
      <c r="E149" s="702">
        <f>SUM(B146:B147)</f>
        <v>908705</v>
      </c>
      <c r="F149" s="756"/>
      <c r="G149" s="756"/>
      <c r="H149" s="756"/>
    </row>
    <row r="150" spans="1:8" s="734" customFormat="1" ht="13.8" thickBot="1" x14ac:dyDescent="0.3">
      <c r="A150" s="742"/>
      <c r="B150" s="743"/>
      <c r="C150" s="744"/>
      <c r="D150" s="745"/>
      <c r="E150" s="702"/>
      <c r="F150" s="746"/>
      <c r="G150" s="746"/>
      <c r="H150" s="746"/>
    </row>
    <row r="151" spans="1:8" s="762" customFormat="1" ht="24" customHeight="1" thickTop="1" thickBot="1" x14ac:dyDescent="0.3">
      <c r="A151" s="758" t="s">
        <v>571</v>
      </c>
      <c r="B151" s="759"/>
      <c r="C151" s="760"/>
      <c r="D151" s="760"/>
      <c r="E151" s="761">
        <f>SUM(E84:E149)</f>
        <v>1908135046</v>
      </c>
    </row>
    <row r="152" spans="1:8" s="734" customFormat="1" ht="13.8" thickTop="1" x14ac:dyDescent="0.25">
      <c r="A152" s="742"/>
      <c r="B152" s="743"/>
      <c r="C152" s="744"/>
      <c r="D152" s="745"/>
      <c r="E152" s="702"/>
      <c r="F152" s="746"/>
      <c r="G152" s="746"/>
      <c r="H152" s="746"/>
    </row>
    <row r="153" spans="1:8" s="734" customFormat="1" x14ac:dyDescent="0.25">
      <c r="A153" s="742" t="s">
        <v>728</v>
      </c>
      <c r="B153" s="743">
        <v>1584268935</v>
      </c>
      <c r="C153" s="744"/>
      <c r="D153" s="745"/>
      <c r="E153" s="702"/>
      <c r="F153" s="746"/>
      <c r="G153" s="746"/>
      <c r="H153" s="746"/>
    </row>
    <row r="154" spans="1:8" s="734" customFormat="1" x14ac:dyDescent="0.25">
      <c r="A154" s="742" t="s">
        <v>729</v>
      </c>
      <c r="B154" s="743">
        <v>230049637</v>
      </c>
      <c r="C154" s="744"/>
      <c r="D154" s="745"/>
      <c r="E154" s="702"/>
      <c r="F154" s="746"/>
      <c r="G154" s="746"/>
      <c r="H154" s="746"/>
    </row>
    <row r="155" spans="1:8" s="734" customFormat="1" x14ac:dyDescent="0.25">
      <c r="A155" t="s">
        <v>730</v>
      </c>
      <c r="B155" s="743">
        <v>10542799</v>
      </c>
      <c r="C155" s="744"/>
      <c r="D155" s="745"/>
      <c r="E155" s="702"/>
      <c r="F155" s="746"/>
      <c r="G155" s="746"/>
      <c r="H155" s="746"/>
    </row>
    <row r="156" spans="1:8" s="734" customFormat="1" x14ac:dyDescent="0.25">
      <c r="A156" s="742" t="s">
        <v>731</v>
      </c>
      <c r="B156" s="743">
        <v>-211976924</v>
      </c>
      <c r="C156" s="744"/>
      <c r="D156" s="745"/>
      <c r="E156" s="702"/>
      <c r="F156" s="746"/>
      <c r="G156" s="746"/>
      <c r="H156" s="746"/>
    </row>
    <row r="157" spans="1:8" s="734" customFormat="1" x14ac:dyDescent="0.25">
      <c r="A157" s="763" t="s">
        <v>732</v>
      </c>
      <c r="B157" s="744">
        <v>131661334</v>
      </c>
      <c r="C157" s="744"/>
      <c r="D157" s="745"/>
      <c r="E157" s="702"/>
      <c r="F157" s="746"/>
      <c r="G157" s="746"/>
      <c r="H157" s="746"/>
    </row>
    <row r="158" spans="1:8" s="734" customFormat="1" x14ac:dyDescent="0.25">
      <c r="A158" s="763"/>
      <c r="B158" s="744"/>
      <c r="C158" s="744"/>
      <c r="D158" s="745"/>
      <c r="E158" s="702"/>
      <c r="F158" s="746"/>
      <c r="G158" s="746"/>
      <c r="H158" s="746"/>
    </row>
    <row r="159" spans="1:8" s="757" customFormat="1" x14ac:dyDescent="0.25">
      <c r="A159" s="764" t="s">
        <v>733</v>
      </c>
      <c r="B159" s="745"/>
      <c r="C159" s="745"/>
      <c r="D159" s="745">
        <f>SUM(B153:B157)</f>
        <v>1744545781</v>
      </c>
      <c r="E159" s="702"/>
      <c r="F159" s="756"/>
      <c r="G159" s="756"/>
      <c r="H159" s="756"/>
    </row>
    <row r="160" spans="1:8" s="734" customFormat="1" x14ac:dyDescent="0.25">
      <c r="A160" s="763"/>
      <c r="B160" s="744"/>
      <c r="C160" s="744"/>
      <c r="D160" s="745"/>
      <c r="E160" s="702"/>
      <c r="F160" s="746"/>
      <c r="G160" s="746"/>
      <c r="H160" s="746"/>
    </row>
    <row r="161" spans="1:8" s="734" customFormat="1" ht="34.799999999999997" x14ac:dyDescent="0.25">
      <c r="A161" s="765" t="s">
        <v>734</v>
      </c>
      <c r="B161" s="766">
        <v>11319727</v>
      </c>
      <c r="C161" s="744"/>
      <c r="D161" s="745"/>
      <c r="E161" s="702"/>
      <c r="F161" s="746"/>
      <c r="G161" s="746"/>
      <c r="H161" s="746"/>
    </row>
    <row r="162" spans="1:8" s="734" customFormat="1" x14ac:dyDescent="0.25">
      <c r="A162" s="763"/>
      <c r="B162" s="744"/>
      <c r="C162" s="744"/>
      <c r="D162" s="745"/>
      <c r="E162" s="702"/>
      <c r="F162" s="746"/>
      <c r="G162" s="746"/>
      <c r="H162" s="746"/>
    </row>
    <row r="163" spans="1:8" s="757" customFormat="1" x14ac:dyDescent="0.25">
      <c r="A163" s="767" t="s">
        <v>583</v>
      </c>
      <c r="B163" s="745"/>
      <c r="C163" s="745">
        <f>SUM(B161)</f>
        <v>11319727</v>
      </c>
      <c r="D163" s="748"/>
      <c r="E163" s="702"/>
      <c r="F163" s="756"/>
      <c r="G163" s="756"/>
      <c r="H163" s="756"/>
    </row>
    <row r="164" spans="1:8" s="734" customFormat="1" x14ac:dyDescent="0.25">
      <c r="A164" s="763"/>
      <c r="B164" s="744"/>
      <c r="C164" s="744"/>
      <c r="D164" s="745"/>
      <c r="E164" s="702"/>
      <c r="F164" s="746"/>
      <c r="G164" s="746"/>
      <c r="H164" s="746"/>
    </row>
    <row r="165" spans="1:8" s="734" customFormat="1" x14ac:dyDescent="0.25">
      <c r="A165" s="763" t="s">
        <v>735</v>
      </c>
      <c r="B165" s="766">
        <v>4303167</v>
      </c>
      <c r="C165" s="744"/>
      <c r="D165" s="745"/>
      <c r="E165" s="702"/>
      <c r="F165" s="746"/>
      <c r="G165" s="746"/>
      <c r="H165" s="746"/>
    </row>
    <row r="166" spans="1:8" s="734" customFormat="1" x14ac:dyDescent="0.25">
      <c r="A166" s="763"/>
      <c r="B166" s="744"/>
      <c r="C166" s="744"/>
      <c r="D166" s="745"/>
      <c r="E166" s="702"/>
      <c r="F166" s="746"/>
      <c r="G166" s="746"/>
      <c r="H166" s="746"/>
    </row>
    <row r="167" spans="1:8" s="751" customFormat="1" x14ac:dyDescent="0.25">
      <c r="A167" s="767" t="s">
        <v>736</v>
      </c>
      <c r="B167" s="748"/>
      <c r="C167" s="748">
        <f>SUM(B165)</f>
        <v>4303167</v>
      </c>
      <c r="D167" s="748"/>
      <c r="E167" s="695"/>
      <c r="F167" s="696"/>
      <c r="G167" s="696"/>
      <c r="H167" s="696"/>
    </row>
    <row r="168" spans="1:8" s="734" customFormat="1" x14ac:dyDescent="0.25">
      <c r="A168" s="763"/>
      <c r="B168" s="744"/>
      <c r="C168" s="744"/>
      <c r="D168" s="745"/>
      <c r="E168" s="702"/>
      <c r="F168" s="746"/>
      <c r="G168" s="746"/>
      <c r="H168" s="746"/>
    </row>
    <row r="169" spans="1:8" s="757" customFormat="1" x14ac:dyDescent="0.25">
      <c r="A169" s="764" t="s">
        <v>737</v>
      </c>
      <c r="B169" s="745"/>
      <c r="C169" s="745"/>
      <c r="D169" s="745">
        <f>SUM(C161:C167)</f>
        <v>15622894</v>
      </c>
      <c r="E169" s="702"/>
      <c r="F169" s="756"/>
      <c r="G169" s="756"/>
      <c r="H169" s="756"/>
    </row>
    <row r="170" spans="1:8" s="734" customFormat="1" x14ac:dyDescent="0.25">
      <c r="A170" s="763"/>
      <c r="B170" s="744"/>
      <c r="C170" s="744"/>
      <c r="D170" s="745"/>
      <c r="E170" s="702"/>
      <c r="F170" s="746"/>
      <c r="G170" s="746"/>
      <c r="H170" s="746"/>
    </row>
    <row r="171" spans="1:8" s="734" customFormat="1" x14ac:dyDescent="0.25">
      <c r="A171" s="763" t="s">
        <v>738</v>
      </c>
      <c r="B171" s="766">
        <v>2849130</v>
      </c>
      <c r="C171" s="744"/>
      <c r="D171" s="745"/>
      <c r="E171" s="702"/>
      <c r="F171" s="746"/>
      <c r="G171" s="746"/>
      <c r="H171" s="746"/>
    </row>
    <row r="172" spans="1:8" s="734" customFormat="1" x14ac:dyDescent="0.25">
      <c r="A172" s="763" t="s">
        <v>739</v>
      </c>
      <c r="B172" s="766">
        <v>145117241</v>
      </c>
      <c r="C172" s="744"/>
      <c r="D172" s="745"/>
      <c r="E172" s="702"/>
      <c r="F172" s="746"/>
      <c r="G172" s="746"/>
      <c r="H172" s="746"/>
    </row>
    <row r="173" spans="1:8" s="734" customFormat="1" x14ac:dyDescent="0.25">
      <c r="A173" s="763"/>
      <c r="B173" s="744"/>
      <c r="C173" s="744"/>
      <c r="D173" s="748"/>
      <c r="E173" s="702"/>
      <c r="F173" s="746"/>
      <c r="G173" s="746"/>
      <c r="H173" s="746"/>
    </row>
    <row r="174" spans="1:8" s="757" customFormat="1" x14ac:dyDescent="0.25">
      <c r="A174" s="764" t="s">
        <v>740</v>
      </c>
      <c r="B174" s="745"/>
      <c r="C174" s="745"/>
      <c r="D174" s="745">
        <f>SUM(B171:B172)</f>
        <v>147966371</v>
      </c>
      <c r="E174" s="702"/>
      <c r="F174" s="756"/>
      <c r="G174" s="756"/>
      <c r="H174" s="756"/>
    </row>
    <row r="175" spans="1:8" s="734" customFormat="1" ht="13.8" thickBot="1" x14ac:dyDescent="0.3">
      <c r="A175" s="763"/>
      <c r="B175" s="744"/>
      <c r="C175" s="744"/>
      <c r="D175" s="745"/>
      <c r="E175" s="702"/>
      <c r="F175" s="746"/>
      <c r="G175" s="746"/>
      <c r="H175" s="746"/>
    </row>
    <row r="176" spans="1:8" s="770" customFormat="1" ht="24" customHeight="1" thickTop="1" thickBot="1" x14ac:dyDescent="0.3">
      <c r="A176" s="768" t="s">
        <v>593</v>
      </c>
      <c r="B176" s="769"/>
      <c r="C176" s="769"/>
      <c r="D176" s="769"/>
      <c r="E176" s="761">
        <f>SUM(D159:D175)</f>
        <v>1908135046</v>
      </c>
    </row>
    <row r="177" spans="1:5" ht="7.5" customHeight="1" thickTop="1" x14ac:dyDescent="0.3">
      <c r="A177" s="686"/>
      <c r="B177" s="687"/>
      <c r="C177" s="687"/>
      <c r="D177" s="688"/>
    </row>
    <row r="178" spans="1:5" ht="15.6" x14ac:dyDescent="0.3">
      <c r="A178" s="771"/>
      <c r="B178" s="687"/>
      <c r="C178" s="687"/>
      <c r="D178" s="688"/>
    </row>
    <row r="179" spans="1:5" ht="15.6" x14ac:dyDescent="0.3">
      <c r="A179" s="686"/>
      <c r="B179" s="687"/>
      <c r="C179" s="772"/>
      <c r="D179" s="688"/>
    </row>
    <row r="180" spans="1:5" ht="15.6" x14ac:dyDescent="0.3">
      <c r="A180" s="686"/>
      <c r="B180" s="687"/>
      <c r="C180" s="772"/>
      <c r="D180" s="688"/>
    </row>
    <row r="181" spans="1:5" ht="15.6" x14ac:dyDescent="0.3">
      <c r="A181" s="686"/>
      <c r="B181" s="687"/>
      <c r="C181" s="687"/>
      <c r="D181" s="688"/>
    </row>
    <row r="182" spans="1:5" ht="15.6" x14ac:dyDescent="0.3">
      <c r="A182" s="686"/>
      <c r="B182" s="687"/>
      <c r="C182" s="687"/>
      <c r="D182" s="688"/>
    </row>
    <row r="183" spans="1:5" ht="15.6" x14ac:dyDescent="0.3">
      <c r="A183" s="686"/>
      <c r="B183" s="687"/>
      <c r="C183" s="687"/>
      <c r="D183" s="688"/>
    </row>
    <row r="184" spans="1:5" ht="15.6" x14ac:dyDescent="0.3">
      <c r="A184" s="686"/>
      <c r="B184" s="687"/>
      <c r="C184" s="687"/>
      <c r="D184" s="688"/>
    </row>
    <row r="185" spans="1:5" ht="15.6" x14ac:dyDescent="0.3">
      <c r="A185" s="771"/>
      <c r="B185" s="687"/>
      <c r="C185" s="687"/>
      <c r="D185" s="688"/>
    </row>
    <row r="186" spans="1:5" ht="15.6" x14ac:dyDescent="0.3">
      <c r="A186" s="686"/>
      <c r="B186" s="687"/>
      <c r="C186" s="772"/>
      <c r="D186" s="688"/>
    </row>
    <row r="187" spans="1:5" ht="15.6" x14ac:dyDescent="0.3">
      <c r="A187" s="686"/>
      <c r="B187" s="687"/>
      <c r="C187" s="772"/>
      <c r="D187" s="688"/>
    </row>
    <row r="188" spans="1:5" ht="15.6" x14ac:dyDescent="0.3">
      <c r="A188" s="686"/>
      <c r="B188" s="687"/>
      <c r="C188" s="772"/>
      <c r="D188" s="688"/>
    </row>
    <row r="189" spans="1:5" ht="15.6" x14ac:dyDescent="0.3">
      <c r="A189" s="686"/>
      <c r="B189" s="687"/>
      <c r="C189" s="772"/>
      <c r="D189" s="688"/>
    </row>
    <row r="190" spans="1:5" ht="15.6" x14ac:dyDescent="0.3">
      <c r="A190" s="686"/>
      <c r="B190" s="687"/>
      <c r="C190" s="772"/>
      <c r="D190" s="688"/>
    </row>
    <row r="191" spans="1:5" ht="15.6" x14ac:dyDescent="0.3">
      <c r="A191" s="686"/>
      <c r="B191" s="687"/>
      <c r="C191" s="687"/>
      <c r="D191" s="688"/>
    </row>
    <row r="192" spans="1:5" ht="15.6" x14ac:dyDescent="0.3">
      <c r="A192" s="771"/>
      <c r="B192" s="687"/>
      <c r="C192" s="687"/>
      <c r="D192" s="688"/>
      <c r="E192" s="773"/>
    </row>
    <row r="193" spans="1:5" ht="15.6" x14ac:dyDescent="0.3">
      <c r="A193" s="771"/>
      <c r="B193" s="687"/>
      <c r="C193" s="687"/>
      <c r="D193" s="688"/>
      <c r="E193" s="773"/>
    </row>
    <row r="194" spans="1:5" ht="17.399999999999999" x14ac:dyDescent="0.35">
      <c r="A194" s="774"/>
      <c r="B194" s="775"/>
      <c r="C194" s="775"/>
      <c r="D194" s="776"/>
      <c r="E194" s="777"/>
    </row>
    <row r="196" spans="1:5" ht="15.6" x14ac:dyDescent="0.3">
      <c r="A196" s="77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&amp;R12. számú melléklet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7" zoomScale="80" zoomScaleNormal="80" workbookViewId="0">
      <selection activeCell="D57" sqref="D57"/>
    </sheetView>
  </sheetViews>
  <sheetFormatPr defaultColWidth="9.109375" defaultRowHeight="13.2" x14ac:dyDescent="0.25"/>
  <cols>
    <col min="1" max="2" width="2.5546875" style="352" bestFit="1" customWidth="1"/>
    <col min="3" max="3" width="52.6640625" style="352" customWidth="1"/>
    <col min="4" max="4" width="6.6640625" style="352" bestFit="1" customWidth="1"/>
    <col min="5" max="5" width="13.5546875" style="352" bestFit="1" customWidth="1"/>
    <col min="6" max="7" width="10.88671875" style="352" bestFit="1" customWidth="1"/>
    <col min="8" max="8" width="12.6640625" style="352" bestFit="1" customWidth="1"/>
    <col min="9" max="9" width="12" style="352" bestFit="1" customWidth="1"/>
    <col min="10" max="12" width="10.6640625" style="352" customWidth="1"/>
    <col min="13" max="13" width="12.6640625" style="352" bestFit="1" customWidth="1"/>
    <col min="14" max="14" width="9.88671875" style="352" bestFit="1" customWidth="1"/>
    <col min="15" max="17" width="9.109375" style="352"/>
    <col min="18" max="18" width="9.88671875" style="352" bestFit="1" customWidth="1"/>
    <col min="19" max="20" width="9.109375" style="352"/>
    <col min="21" max="21" width="13" style="352" bestFit="1" customWidth="1"/>
    <col min="22" max="22" width="9.44140625" style="352" bestFit="1" customWidth="1"/>
    <col min="23" max="23" width="6.44140625" style="352" customWidth="1"/>
    <col min="24" max="24" width="7.44140625" style="352" customWidth="1"/>
    <col min="25" max="25" width="9.44140625" style="352" bestFit="1" customWidth="1"/>
    <col min="26" max="26" width="16" style="352" bestFit="1" customWidth="1"/>
    <col min="27" max="16384" width="9.109375" style="352"/>
  </cols>
  <sheetData>
    <row r="1" spans="1:26" x14ac:dyDescent="0.25">
      <c r="A1" s="782" t="s">
        <v>467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</row>
    <row r="2" spans="1:26" ht="15.6" x14ac:dyDescent="0.25">
      <c r="A2" s="783" t="s">
        <v>108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</row>
    <row r="3" spans="1:26" x14ac:dyDescent="0.25">
      <c r="A3" s="819" t="s">
        <v>41</v>
      </c>
      <c r="B3" s="820"/>
      <c r="C3" s="821"/>
      <c r="D3" s="828" t="s">
        <v>374</v>
      </c>
      <c r="E3" s="831" t="s">
        <v>436</v>
      </c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3"/>
    </row>
    <row r="4" spans="1:26" ht="12.75" customHeight="1" x14ac:dyDescent="0.25">
      <c r="A4" s="822"/>
      <c r="B4" s="823"/>
      <c r="C4" s="824"/>
      <c r="D4" s="829"/>
      <c r="E4" s="834" t="s">
        <v>375</v>
      </c>
      <c r="F4" s="836"/>
      <c r="G4" s="836"/>
      <c r="H4" s="836"/>
      <c r="I4" s="836"/>
      <c r="J4" s="836"/>
      <c r="K4" s="836"/>
      <c r="L4" s="836"/>
      <c r="M4" s="835"/>
      <c r="N4" s="834" t="s">
        <v>377</v>
      </c>
      <c r="O4" s="836"/>
      <c r="P4" s="836"/>
      <c r="Q4" s="836"/>
      <c r="R4" s="836"/>
      <c r="S4" s="836"/>
      <c r="T4" s="836"/>
      <c r="U4" s="836"/>
      <c r="V4" s="835"/>
      <c r="W4" s="834" t="s">
        <v>378</v>
      </c>
      <c r="X4" s="835"/>
      <c r="Y4" s="828" t="s">
        <v>376</v>
      </c>
      <c r="Z4" s="837" t="s">
        <v>105</v>
      </c>
    </row>
    <row r="5" spans="1:26" s="355" customFormat="1" ht="52.8" x14ac:dyDescent="0.25">
      <c r="A5" s="825"/>
      <c r="B5" s="826"/>
      <c r="C5" s="827"/>
      <c r="D5" s="830"/>
      <c r="E5" s="354" t="s">
        <v>437</v>
      </c>
      <c r="F5" s="354" t="s">
        <v>453</v>
      </c>
      <c r="G5" s="354" t="s">
        <v>454</v>
      </c>
      <c r="H5" s="565" t="s">
        <v>465</v>
      </c>
      <c r="I5" s="354" t="s">
        <v>438</v>
      </c>
      <c r="J5" s="354" t="s">
        <v>453</v>
      </c>
      <c r="K5" s="354" t="s">
        <v>454</v>
      </c>
      <c r="L5" s="565" t="s">
        <v>465</v>
      </c>
      <c r="M5" s="526" t="s">
        <v>376</v>
      </c>
      <c r="N5" s="354" t="s">
        <v>437</v>
      </c>
      <c r="O5" s="354" t="s">
        <v>453</v>
      </c>
      <c r="P5" s="354" t="s">
        <v>454</v>
      </c>
      <c r="Q5" s="565" t="s">
        <v>465</v>
      </c>
      <c r="R5" s="354" t="s">
        <v>438</v>
      </c>
      <c r="S5" s="354" t="s">
        <v>453</v>
      </c>
      <c r="T5" s="354" t="s">
        <v>454</v>
      </c>
      <c r="U5" s="565" t="s">
        <v>465</v>
      </c>
      <c r="V5" s="526" t="s">
        <v>376</v>
      </c>
      <c r="W5" s="353" t="s">
        <v>437</v>
      </c>
      <c r="X5" s="353" t="s">
        <v>438</v>
      </c>
      <c r="Y5" s="830"/>
      <c r="Z5" s="838"/>
    </row>
    <row r="6" spans="1:26" x14ac:dyDescent="0.25">
      <c r="A6" s="815" t="s">
        <v>42</v>
      </c>
      <c r="B6" s="356"/>
      <c r="C6" s="152" t="s">
        <v>231</v>
      </c>
      <c r="D6" s="152" t="s">
        <v>379</v>
      </c>
      <c r="E6" s="153">
        <v>76478545</v>
      </c>
      <c r="F6" s="153">
        <v>226691</v>
      </c>
      <c r="G6" s="153">
        <v>2342055</v>
      </c>
      <c r="H6" s="153">
        <v>92010</v>
      </c>
      <c r="I6" s="357">
        <v>0</v>
      </c>
      <c r="J6" s="357">
        <v>0</v>
      </c>
      <c r="K6" s="357"/>
      <c r="L6" s="357"/>
      <c r="M6" s="153">
        <f>SUM(E6:L6)</f>
        <v>79139301</v>
      </c>
      <c r="N6" s="357">
        <v>0</v>
      </c>
      <c r="O6" s="357">
        <v>0</v>
      </c>
      <c r="P6" s="357"/>
      <c r="Q6" s="357"/>
      <c r="R6" s="357">
        <v>0</v>
      </c>
      <c r="S6" s="357">
        <v>0</v>
      </c>
      <c r="T6" s="357"/>
      <c r="U6" s="357"/>
      <c r="V6" s="357">
        <f>SUM(N6:U6)</f>
        <v>0</v>
      </c>
      <c r="W6" s="357">
        <v>0</v>
      </c>
      <c r="X6" s="357">
        <v>0</v>
      </c>
      <c r="Y6" s="357">
        <f>SUM(W6:X6)</f>
        <v>0</v>
      </c>
      <c r="Z6" s="153">
        <f>M6+V6+Y6</f>
        <v>79139301</v>
      </c>
    </row>
    <row r="7" spans="1:26" ht="26.4" x14ac:dyDescent="0.25">
      <c r="A7" s="815"/>
      <c r="B7" s="356"/>
      <c r="C7" s="152" t="s">
        <v>232</v>
      </c>
      <c r="D7" s="152" t="s">
        <v>380</v>
      </c>
      <c r="E7" s="153">
        <v>144931549</v>
      </c>
      <c r="F7" s="153">
        <v>0</v>
      </c>
      <c r="G7" s="153">
        <v>3293585</v>
      </c>
      <c r="H7" s="153">
        <v>-24483</v>
      </c>
      <c r="I7" s="357">
        <v>0</v>
      </c>
      <c r="J7" s="357">
        <v>0</v>
      </c>
      <c r="K7" s="357"/>
      <c r="L7" s="357"/>
      <c r="M7" s="153">
        <f t="shared" ref="M7:M58" si="0">SUM(E7:L7)</f>
        <v>148200651</v>
      </c>
      <c r="N7" s="357">
        <v>0</v>
      </c>
      <c r="O7" s="357">
        <v>0</v>
      </c>
      <c r="P7" s="357"/>
      <c r="Q7" s="357"/>
      <c r="R7" s="357">
        <v>0</v>
      </c>
      <c r="S7" s="357">
        <v>0</v>
      </c>
      <c r="T7" s="357"/>
      <c r="U7" s="357"/>
      <c r="V7" s="357">
        <f t="shared" ref="V7:V59" si="1">SUM(N7:U7)</f>
        <v>0</v>
      </c>
      <c r="W7" s="357">
        <v>0</v>
      </c>
      <c r="X7" s="357">
        <v>0</v>
      </c>
      <c r="Y7" s="357">
        <f t="shared" ref="Y7:Y11" si="2">SUM(W7:X7)</f>
        <v>0</v>
      </c>
      <c r="Z7" s="153">
        <f t="shared" ref="Z7:Z17" si="3">M7+V7+Y7</f>
        <v>148200651</v>
      </c>
    </row>
    <row r="8" spans="1:26" ht="26.4" x14ac:dyDescent="0.25">
      <c r="A8" s="815"/>
      <c r="B8" s="356"/>
      <c r="C8" s="152" t="s">
        <v>233</v>
      </c>
      <c r="D8" s="152" t="s">
        <v>381</v>
      </c>
      <c r="E8" s="153">
        <v>50942903</v>
      </c>
      <c r="F8" s="153">
        <v>872725</v>
      </c>
      <c r="G8" s="153">
        <v>2837326</v>
      </c>
      <c r="H8" s="153">
        <v>4019457</v>
      </c>
      <c r="I8" s="357">
        <v>0</v>
      </c>
      <c r="J8" s="357">
        <v>0</v>
      </c>
      <c r="K8" s="357"/>
      <c r="L8" s="357"/>
      <c r="M8" s="153">
        <f t="shared" si="0"/>
        <v>58672411</v>
      </c>
      <c r="N8" s="357">
        <v>0</v>
      </c>
      <c r="O8" s="357">
        <v>0</v>
      </c>
      <c r="P8" s="357"/>
      <c r="Q8" s="357"/>
      <c r="R8" s="357">
        <v>0</v>
      </c>
      <c r="S8" s="357">
        <v>0</v>
      </c>
      <c r="T8" s="357"/>
      <c r="U8" s="357"/>
      <c r="V8" s="357">
        <f t="shared" si="1"/>
        <v>0</v>
      </c>
      <c r="W8" s="357">
        <v>0</v>
      </c>
      <c r="X8" s="357">
        <v>0</v>
      </c>
      <c r="Y8" s="357">
        <f t="shared" si="2"/>
        <v>0</v>
      </c>
      <c r="Z8" s="153">
        <f t="shared" si="3"/>
        <v>58672411</v>
      </c>
    </row>
    <row r="9" spans="1:26" x14ac:dyDescent="0.25">
      <c r="A9" s="815"/>
      <c r="B9" s="356"/>
      <c r="C9" s="152" t="s">
        <v>234</v>
      </c>
      <c r="D9" s="152" t="s">
        <v>382</v>
      </c>
      <c r="E9" s="153">
        <v>4028090</v>
      </c>
      <c r="F9" s="153">
        <v>0</v>
      </c>
      <c r="G9" s="153">
        <v>136000</v>
      </c>
      <c r="H9" s="153">
        <v>0</v>
      </c>
      <c r="I9" s="357">
        <v>0</v>
      </c>
      <c r="J9" s="357">
        <v>0</v>
      </c>
      <c r="K9" s="357"/>
      <c r="L9" s="357"/>
      <c r="M9" s="153">
        <f t="shared" si="0"/>
        <v>4164090</v>
      </c>
      <c r="N9" s="357">
        <v>0</v>
      </c>
      <c r="O9" s="357">
        <v>0</v>
      </c>
      <c r="P9" s="357"/>
      <c r="Q9" s="357"/>
      <c r="R9" s="357">
        <v>0</v>
      </c>
      <c r="S9" s="357">
        <v>0</v>
      </c>
      <c r="T9" s="357"/>
      <c r="U9" s="357"/>
      <c r="V9" s="357">
        <f t="shared" si="1"/>
        <v>0</v>
      </c>
      <c r="W9" s="357">
        <v>0</v>
      </c>
      <c r="X9" s="357">
        <v>0</v>
      </c>
      <c r="Y9" s="357">
        <f t="shared" si="2"/>
        <v>0</v>
      </c>
      <c r="Z9" s="153">
        <f t="shared" si="3"/>
        <v>4164090</v>
      </c>
    </row>
    <row r="10" spans="1:26" x14ac:dyDescent="0.25">
      <c r="A10" s="815"/>
      <c r="B10" s="356"/>
      <c r="C10" s="303" t="s">
        <v>352</v>
      </c>
      <c r="D10" s="152" t="s">
        <v>439</v>
      </c>
      <c r="E10" s="153">
        <v>0</v>
      </c>
      <c r="F10" s="153">
        <v>11072000</v>
      </c>
      <c r="G10" s="153">
        <v>1489710</v>
      </c>
      <c r="H10" s="153">
        <v>0</v>
      </c>
      <c r="I10" s="357">
        <v>0</v>
      </c>
      <c r="J10" s="357">
        <v>0</v>
      </c>
      <c r="K10" s="357"/>
      <c r="L10" s="357"/>
      <c r="M10" s="153">
        <f t="shared" si="0"/>
        <v>12561710</v>
      </c>
      <c r="N10" s="357"/>
      <c r="O10" s="357">
        <v>0</v>
      </c>
      <c r="P10" s="357"/>
      <c r="Q10" s="357"/>
      <c r="R10" s="357">
        <v>0</v>
      </c>
      <c r="S10" s="357">
        <v>0</v>
      </c>
      <c r="T10" s="357"/>
      <c r="U10" s="357"/>
      <c r="V10" s="357">
        <f t="shared" si="1"/>
        <v>0</v>
      </c>
      <c r="W10" s="357">
        <v>0</v>
      </c>
      <c r="X10" s="357">
        <v>0</v>
      </c>
      <c r="Y10" s="357">
        <f t="shared" si="2"/>
        <v>0</v>
      </c>
      <c r="Z10" s="153">
        <f t="shared" si="3"/>
        <v>12561710</v>
      </c>
    </row>
    <row r="11" spans="1:26" x14ac:dyDescent="0.25">
      <c r="A11" s="815"/>
      <c r="B11" s="356"/>
      <c r="C11" s="303" t="s">
        <v>353</v>
      </c>
      <c r="D11" s="152" t="s">
        <v>440</v>
      </c>
      <c r="E11" s="153">
        <v>0</v>
      </c>
      <c r="F11" s="153">
        <v>612850</v>
      </c>
      <c r="G11" s="153">
        <v>2049693</v>
      </c>
      <c r="H11" s="153">
        <v>0</v>
      </c>
      <c r="I11" s="357">
        <v>0</v>
      </c>
      <c r="J11" s="357">
        <v>0</v>
      </c>
      <c r="K11" s="357"/>
      <c r="L11" s="357"/>
      <c r="M11" s="153">
        <f t="shared" si="0"/>
        <v>2662543</v>
      </c>
      <c r="N11" s="357"/>
      <c r="O11" s="357">
        <v>0</v>
      </c>
      <c r="P11" s="357"/>
      <c r="Q11" s="357"/>
      <c r="R11" s="357">
        <v>0</v>
      </c>
      <c r="S11" s="357">
        <v>0</v>
      </c>
      <c r="T11" s="357"/>
      <c r="U11" s="357"/>
      <c r="V11" s="357">
        <f t="shared" si="1"/>
        <v>0</v>
      </c>
      <c r="W11" s="357">
        <v>0</v>
      </c>
      <c r="X11" s="357">
        <v>0</v>
      </c>
      <c r="Y11" s="357">
        <f t="shared" si="2"/>
        <v>0</v>
      </c>
      <c r="Z11" s="153">
        <f t="shared" si="3"/>
        <v>2662543</v>
      </c>
    </row>
    <row r="12" spans="1:26" x14ac:dyDescent="0.25">
      <c r="A12" s="815"/>
      <c r="B12" s="798" t="s">
        <v>235</v>
      </c>
      <c r="C12" s="798"/>
      <c r="D12" s="318" t="s">
        <v>383</v>
      </c>
      <c r="E12" s="169">
        <f>SUM(E6:E11)</f>
        <v>276381087</v>
      </c>
      <c r="F12" s="169">
        <f t="shared" ref="F12:M12" si="4">SUM(F6:F11)</f>
        <v>12784266</v>
      </c>
      <c r="G12" s="169">
        <f t="shared" si="4"/>
        <v>12148369</v>
      </c>
      <c r="H12" s="169">
        <f t="shared" si="4"/>
        <v>4086984</v>
      </c>
      <c r="I12" s="169">
        <f t="shared" si="4"/>
        <v>0</v>
      </c>
      <c r="J12" s="169">
        <f t="shared" si="4"/>
        <v>0</v>
      </c>
      <c r="K12" s="169">
        <f t="shared" si="4"/>
        <v>0</v>
      </c>
      <c r="L12" s="169">
        <f t="shared" si="4"/>
        <v>0</v>
      </c>
      <c r="M12" s="169">
        <f t="shared" si="4"/>
        <v>305400706</v>
      </c>
      <c r="N12" s="169">
        <f t="shared" ref="N12:Z12" si="5">SUM(N6:N11)</f>
        <v>0</v>
      </c>
      <c r="O12" s="169">
        <f t="shared" si="5"/>
        <v>0</v>
      </c>
      <c r="P12" s="169">
        <f t="shared" si="5"/>
        <v>0</v>
      </c>
      <c r="Q12" s="169">
        <f t="shared" si="5"/>
        <v>0</v>
      </c>
      <c r="R12" s="169">
        <f t="shared" si="5"/>
        <v>0</v>
      </c>
      <c r="S12" s="169">
        <f t="shared" si="5"/>
        <v>0</v>
      </c>
      <c r="T12" s="169">
        <f t="shared" si="5"/>
        <v>0</v>
      </c>
      <c r="U12" s="169">
        <f t="shared" si="5"/>
        <v>0</v>
      </c>
      <c r="V12" s="169">
        <f t="shared" si="5"/>
        <v>0</v>
      </c>
      <c r="W12" s="169">
        <f t="shared" si="5"/>
        <v>0</v>
      </c>
      <c r="X12" s="169">
        <f t="shared" si="5"/>
        <v>0</v>
      </c>
      <c r="Y12" s="169">
        <f t="shared" si="5"/>
        <v>0</v>
      </c>
      <c r="Z12" s="169">
        <f t="shared" si="5"/>
        <v>305400706</v>
      </c>
    </row>
    <row r="13" spans="1:26" ht="26.4" x14ac:dyDescent="0.25">
      <c r="A13" s="815"/>
      <c r="B13" s="151"/>
      <c r="C13" s="358" t="s">
        <v>321</v>
      </c>
      <c r="D13" s="358" t="s">
        <v>384</v>
      </c>
      <c r="E13" s="527">
        <v>2300000</v>
      </c>
      <c r="F13" s="527">
        <v>0</v>
      </c>
      <c r="G13" s="527">
        <v>0</v>
      </c>
      <c r="H13" s="527">
        <v>0</v>
      </c>
      <c r="I13" s="359">
        <v>0</v>
      </c>
      <c r="J13" s="387">
        <v>2230448</v>
      </c>
      <c r="K13" s="387">
        <v>2420188</v>
      </c>
      <c r="L13" s="387">
        <v>132773</v>
      </c>
      <c r="M13" s="527">
        <f t="shared" si="0"/>
        <v>7083409</v>
      </c>
      <c r="N13" s="359">
        <v>0</v>
      </c>
      <c r="O13" s="359">
        <v>0</v>
      </c>
      <c r="P13" s="359"/>
      <c r="Q13" s="359"/>
      <c r="R13" s="359">
        <v>0</v>
      </c>
      <c r="S13" s="359">
        <v>0</v>
      </c>
      <c r="T13" s="359"/>
      <c r="U13" s="359"/>
      <c r="V13" s="357">
        <f t="shared" si="1"/>
        <v>0</v>
      </c>
      <c r="W13" s="359">
        <v>0</v>
      </c>
      <c r="X13" s="359">
        <v>0</v>
      </c>
      <c r="Y13" s="359">
        <f>SUM(W13:X13)</f>
        <v>0</v>
      </c>
      <c r="Z13" s="153">
        <f t="shared" si="3"/>
        <v>7083409</v>
      </c>
    </row>
    <row r="14" spans="1:26" x14ac:dyDescent="0.25">
      <c r="A14" s="815"/>
      <c r="B14" s="151"/>
      <c r="C14" s="183" t="s">
        <v>354</v>
      </c>
      <c r="D14" s="358" t="s">
        <v>384</v>
      </c>
      <c r="E14" s="153">
        <v>0</v>
      </c>
      <c r="F14" s="153">
        <v>56430</v>
      </c>
      <c r="G14" s="153">
        <v>0</v>
      </c>
      <c r="H14" s="153">
        <v>0</v>
      </c>
      <c r="I14" s="359"/>
      <c r="J14" s="359">
        <v>0</v>
      </c>
      <c r="K14" s="359"/>
      <c r="L14" s="359"/>
      <c r="M14" s="153">
        <f t="shared" si="0"/>
        <v>56430</v>
      </c>
      <c r="N14" s="359"/>
      <c r="O14" s="359"/>
      <c r="P14" s="359"/>
      <c r="Q14" s="359"/>
      <c r="R14" s="359"/>
      <c r="S14" s="359">
        <v>0</v>
      </c>
      <c r="T14" s="359"/>
      <c r="U14" s="359"/>
      <c r="V14" s="357">
        <f t="shared" si="1"/>
        <v>0</v>
      </c>
      <c r="W14" s="359"/>
      <c r="X14" s="359"/>
      <c r="Y14" s="359">
        <f>SUM(W14:X14)</f>
        <v>0</v>
      </c>
      <c r="Z14" s="153">
        <f t="shared" si="3"/>
        <v>56430</v>
      </c>
    </row>
    <row r="15" spans="1:26" x14ac:dyDescent="0.25">
      <c r="A15" s="815"/>
      <c r="B15" s="151"/>
      <c r="C15" s="183" t="s">
        <v>249</v>
      </c>
      <c r="D15" s="358" t="s">
        <v>384</v>
      </c>
      <c r="E15" s="153">
        <v>14526000</v>
      </c>
      <c r="F15" s="153">
        <v>0</v>
      </c>
      <c r="G15" s="153">
        <v>0</v>
      </c>
      <c r="H15" s="153">
        <v>0</v>
      </c>
      <c r="I15" s="359">
        <v>0</v>
      </c>
      <c r="J15" s="359">
        <v>0</v>
      </c>
      <c r="K15" s="359"/>
      <c r="L15" s="359"/>
      <c r="M15" s="153">
        <f t="shared" si="0"/>
        <v>14526000</v>
      </c>
      <c r="N15" s="359">
        <v>0</v>
      </c>
      <c r="O15" s="359">
        <v>0</v>
      </c>
      <c r="P15" s="359"/>
      <c r="Q15" s="359"/>
      <c r="R15" s="359">
        <v>0</v>
      </c>
      <c r="S15" s="359">
        <v>0</v>
      </c>
      <c r="T15" s="359"/>
      <c r="U15" s="359"/>
      <c r="V15" s="357">
        <f t="shared" si="1"/>
        <v>0</v>
      </c>
      <c r="W15" s="359">
        <v>0</v>
      </c>
      <c r="X15" s="359">
        <v>0</v>
      </c>
      <c r="Y15" s="359">
        <f t="shared" ref="Y15:Y17" si="6">SUM(W15:X15)</f>
        <v>0</v>
      </c>
      <c r="Z15" s="153">
        <f t="shared" si="3"/>
        <v>14526000</v>
      </c>
    </row>
    <row r="16" spans="1:26" x14ac:dyDescent="0.25">
      <c r="A16" s="815"/>
      <c r="B16" s="151"/>
      <c r="C16" s="183" t="s">
        <v>250</v>
      </c>
      <c r="D16" s="358" t="s">
        <v>384</v>
      </c>
      <c r="E16" s="153">
        <v>4866514</v>
      </c>
      <c r="F16" s="153">
        <v>0</v>
      </c>
      <c r="G16" s="153">
        <v>0</v>
      </c>
      <c r="H16" s="153">
        <v>871376</v>
      </c>
      <c r="I16" s="359">
        <v>0</v>
      </c>
      <c r="J16" s="359">
        <v>0</v>
      </c>
      <c r="K16" s="359"/>
      <c r="L16" s="359"/>
      <c r="M16" s="153">
        <f t="shared" si="0"/>
        <v>5737890</v>
      </c>
      <c r="N16" s="359">
        <v>0</v>
      </c>
      <c r="O16" s="359">
        <v>0</v>
      </c>
      <c r="P16" s="359"/>
      <c r="Q16" s="359"/>
      <c r="R16" s="359">
        <v>0</v>
      </c>
      <c r="S16" s="359">
        <v>0</v>
      </c>
      <c r="T16" s="359"/>
      <c r="U16" s="359"/>
      <c r="V16" s="357">
        <f t="shared" si="1"/>
        <v>0</v>
      </c>
      <c r="W16" s="359">
        <v>0</v>
      </c>
      <c r="X16" s="359">
        <v>0</v>
      </c>
      <c r="Y16" s="359">
        <f t="shared" si="6"/>
        <v>0</v>
      </c>
      <c r="Z16" s="153">
        <f t="shared" si="3"/>
        <v>5737890</v>
      </c>
    </row>
    <row r="17" spans="1:26" x14ac:dyDescent="0.25">
      <c r="A17" s="815"/>
      <c r="B17" s="151"/>
      <c r="C17" s="183" t="s">
        <v>251</v>
      </c>
      <c r="D17" s="358" t="s">
        <v>384</v>
      </c>
      <c r="E17" s="153">
        <v>16958507</v>
      </c>
      <c r="F17" s="153">
        <v>0</v>
      </c>
      <c r="G17" s="153">
        <v>0</v>
      </c>
      <c r="H17" s="153">
        <v>11683</v>
      </c>
      <c r="I17" s="359">
        <v>0</v>
      </c>
      <c r="J17" s="359">
        <v>0</v>
      </c>
      <c r="K17" s="359"/>
      <c r="L17" s="359"/>
      <c r="M17" s="153">
        <f t="shared" si="0"/>
        <v>16970190</v>
      </c>
      <c r="N17" s="359">
        <v>0</v>
      </c>
      <c r="O17" s="359">
        <v>0</v>
      </c>
      <c r="P17" s="359"/>
      <c r="Q17" s="359"/>
      <c r="R17" s="359">
        <v>0</v>
      </c>
      <c r="S17" s="359">
        <v>0</v>
      </c>
      <c r="T17" s="359"/>
      <c r="U17" s="359"/>
      <c r="V17" s="357">
        <f t="shared" si="1"/>
        <v>0</v>
      </c>
      <c r="W17" s="359">
        <v>0</v>
      </c>
      <c r="X17" s="359">
        <v>0</v>
      </c>
      <c r="Y17" s="359">
        <f t="shared" si="6"/>
        <v>0</v>
      </c>
      <c r="Z17" s="153">
        <f t="shared" si="3"/>
        <v>16970190</v>
      </c>
    </row>
    <row r="18" spans="1:26" s="148" customFormat="1" x14ac:dyDescent="0.25">
      <c r="A18" s="815"/>
      <c r="B18" s="798" t="s">
        <v>252</v>
      </c>
      <c r="C18" s="798"/>
      <c r="D18" s="318" t="s">
        <v>384</v>
      </c>
      <c r="E18" s="169">
        <f t="shared" ref="E18:Z18" si="7">SUM(E13:E17)</f>
        <v>38651021</v>
      </c>
      <c r="F18" s="169">
        <f t="shared" si="7"/>
        <v>56430</v>
      </c>
      <c r="G18" s="169">
        <f t="shared" si="7"/>
        <v>0</v>
      </c>
      <c r="H18" s="169">
        <f t="shared" si="7"/>
        <v>883059</v>
      </c>
      <c r="I18" s="169">
        <f t="shared" si="7"/>
        <v>0</v>
      </c>
      <c r="J18" s="169">
        <f t="shared" si="7"/>
        <v>2230448</v>
      </c>
      <c r="K18" s="169">
        <f t="shared" si="7"/>
        <v>2420188</v>
      </c>
      <c r="L18" s="169">
        <f t="shared" si="7"/>
        <v>132773</v>
      </c>
      <c r="M18" s="169">
        <f t="shared" si="0"/>
        <v>44373919</v>
      </c>
      <c r="N18" s="169">
        <f t="shared" si="7"/>
        <v>0</v>
      </c>
      <c r="O18" s="169">
        <f t="shared" si="7"/>
        <v>0</v>
      </c>
      <c r="P18" s="169">
        <f t="shared" si="7"/>
        <v>0</v>
      </c>
      <c r="Q18" s="169">
        <f t="shared" si="7"/>
        <v>0</v>
      </c>
      <c r="R18" s="169">
        <f t="shared" si="7"/>
        <v>0</v>
      </c>
      <c r="S18" s="169">
        <f t="shared" si="7"/>
        <v>0</v>
      </c>
      <c r="T18" s="169">
        <f t="shared" si="7"/>
        <v>0</v>
      </c>
      <c r="U18" s="169">
        <f t="shared" si="7"/>
        <v>0</v>
      </c>
      <c r="V18" s="169">
        <f t="shared" si="7"/>
        <v>0</v>
      </c>
      <c r="W18" s="169">
        <f t="shared" si="7"/>
        <v>0</v>
      </c>
      <c r="X18" s="169">
        <f t="shared" si="7"/>
        <v>0</v>
      </c>
      <c r="Y18" s="169">
        <f t="shared" si="7"/>
        <v>0</v>
      </c>
      <c r="Z18" s="169">
        <f t="shared" si="7"/>
        <v>44373919</v>
      </c>
    </row>
    <row r="19" spans="1:26" s="360" customFormat="1" x14ac:dyDescent="0.25">
      <c r="A19" s="815"/>
      <c r="B19" s="797" t="s">
        <v>253</v>
      </c>
      <c r="C19" s="797"/>
      <c r="D19" s="316" t="s">
        <v>385</v>
      </c>
      <c r="E19" s="170">
        <f t="shared" ref="E19:Z19" si="8">E12+E18</f>
        <v>315032108</v>
      </c>
      <c r="F19" s="170">
        <f t="shared" si="8"/>
        <v>12840696</v>
      </c>
      <c r="G19" s="170">
        <f t="shared" si="8"/>
        <v>12148369</v>
      </c>
      <c r="H19" s="170">
        <f t="shared" si="8"/>
        <v>4970043</v>
      </c>
      <c r="I19" s="170">
        <f t="shared" si="8"/>
        <v>0</v>
      </c>
      <c r="J19" s="170">
        <f t="shared" si="8"/>
        <v>2230448</v>
      </c>
      <c r="K19" s="170">
        <f t="shared" si="8"/>
        <v>2420188</v>
      </c>
      <c r="L19" s="170">
        <f t="shared" si="8"/>
        <v>132773</v>
      </c>
      <c r="M19" s="170">
        <f t="shared" si="8"/>
        <v>349774625</v>
      </c>
      <c r="N19" s="170">
        <f t="shared" si="8"/>
        <v>0</v>
      </c>
      <c r="O19" s="170">
        <f t="shared" si="8"/>
        <v>0</v>
      </c>
      <c r="P19" s="170">
        <f t="shared" si="8"/>
        <v>0</v>
      </c>
      <c r="Q19" s="170">
        <f t="shared" si="8"/>
        <v>0</v>
      </c>
      <c r="R19" s="170">
        <f t="shared" si="8"/>
        <v>0</v>
      </c>
      <c r="S19" s="170">
        <f t="shared" si="8"/>
        <v>0</v>
      </c>
      <c r="T19" s="170">
        <f t="shared" si="8"/>
        <v>0</v>
      </c>
      <c r="U19" s="170">
        <f t="shared" si="8"/>
        <v>0</v>
      </c>
      <c r="V19" s="170">
        <f t="shared" si="8"/>
        <v>0</v>
      </c>
      <c r="W19" s="170">
        <f t="shared" si="8"/>
        <v>0</v>
      </c>
      <c r="X19" s="170">
        <f t="shared" si="8"/>
        <v>0</v>
      </c>
      <c r="Y19" s="170">
        <f t="shared" si="8"/>
        <v>0</v>
      </c>
      <c r="Z19" s="170">
        <f t="shared" si="8"/>
        <v>349774625</v>
      </c>
    </row>
    <row r="20" spans="1:26" s="384" customFormat="1" x14ac:dyDescent="0.25">
      <c r="A20" s="381"/>
      <c r="B20" s="151"/>
      <c r="C20" s="183" t="s">
        <v>356</v>
      </c>
      <c r="D20" s="385" t="s">
        <v>443</v>
      </c>
      <c r="E20" s="386">
        <v>0</v>
      </c>
      <c r="F20" s="386">
        <v>49996154</v>
      </c>
      <c r="G20" s="386">
        <v>28955408</v>
      </c>
      <c r="H20" s="386">
        <v>51043571</v>
      </c>
      <c r="I20" s="386">
        <v>0</v>
      </c>
      <c r="J20" s="386">
        <v>0</v>
      </c>
      <c r="K20" s="386"/>
      <c r="L20" s="386"/>
      <c r="M20" s="153">
        <f t="shared" si="0"/>
        <v>129995133</v>
      </c>
      <c r="N20" s="386">
        <v>0</v>
      </c>
      <c r="O20" s="386">
        <v>0</v>
      </c>
      <c r="P20" s="386"/>
      <c r="Q20" s="386"/>
      <c r="R20" s="386">
        <v>0</v>
      </c>
      <c r="S20" s="386"/>
      <c r="T20" s="386"/>
      <c r="U20" s="386"/>
      <c r="V20" s="357">
        <f t="shared" si="1"/>
        <v>0</v>
      </c>
      <c r="W20" s="386">
        <v>0</v>
      </c>
      <c r="X20" s="386">
        <v>0</v>
      </c>
      <c r="Y20" s="359">
        <f>SUM(W20:X20)</f>
        <v>0</v>
      </c>
      <c r="Z20" s="153">
        <f t="shared" ref="Z20" si="9">M20+V20+Y20</f>
        <v>129995133</v>
      </c>
    </row>
    <row r="21" spans="1:26" s="384" customFormat="1" ht="12.75" customHeight="1" x14ac:dyDescent="0.25">
      <c r="A21" s="381"/>
      <c r="B21" s="798" t="s">
        <v>357</v>
      </c>
      <c r="C21" s="813"/>
      <c r="D21" s="383" t="s">
        <v>443</v>
      </c>
      <c r="E21" s="297">
        <f>SUM(E20)</f>
        <v>0</v>
      </c>
      <c r="F21" s="297">
        <f t="shared" ref="F21:Z22" si="10">SUM(F20)</f>
        <v>49996154</v>
      </c>
      <c r="G21" s="297">
        <f t="shared" si="10"/>
        <v>28955408</v>
      </c>
      <c r="H21" s="297">
        <f t="shared" si="10"/>
        <v>51043571</v>
      </c>
      <c r="I21" s="297">
        <f t="shared" si="10"/>
        <v>0</v>
      </c>
      <c r="J21" s="297">
        <f t="shared" si="10"/>
        <v>0</v>
      </c>
      <c r="K21" s="297"/>
      <c r="L21" s="297"/>
      <c r="M21" s="297">
        <f t="shared" si="0"/>
        <v>129995133</v>
      </c>
      <c r="N21" s="297">
        <f t="shared" si="10"/>
        <v>0</v>
      </c>
      <c r="O21" s="297">
        <f t="shared" si="10"/>
        <v>0</v>
      </c>
      <c r="P21" s="297"/>
      <c r="Q21" s="297"/>
      <c r="R21" s="297">
        <f t="shared" si="10"/>
        <v>0</v>
      </c>
      <c r="S21" s="297">
        <f t="shared" si="10"/>
        <v>0</v>
      </c>
      <c r="T21" s="297"/>
      <c r="U21" s="297"/>
      <c r="V21" s="297">
        <f t="shared" si="1"/>
        <v>0</v>
      </c>
      <c r="W21" s="297">
        <f t="shared" si="10"/>
        <v>0</v>
      </c>
      <c r="X21" s="297">
        <f t="shared" si="10"/>
        <v>0</v>
      </c>
      <c r="Y21" s="297">
        <f t="shared" si="10"/>
        <v>0</v>
      </c>
      <c r="Z21" s="297">
        <f t="shared" si="10"/>
        <v>129995133</v>
      </c>
    </row>
    <row r="22" spans="1:26" s="360" customFormat="1" ht="12.75" customHeight="1" x14ac:dyDescent="0.25">
      <c r="A22" s="369"/>
      <c r="B22" s="797" t="s">
        <v>358</v>
      </c>
      <c r="C22" s="814"/>
      <c r="D22" s="316" t="s">
        <v>444</v>
      </c>
      <c r="E22" s="170">
        <f>SUM(E21)</f>
        <v>0</v>
      </c>
      <c r="F22" s="170">
        <f t="shared" ref="F22:M22" si="11">SUM(F21)</f>
        <v>49996154</v>
      </c>
      <c r="G22" s="170">
        <f t="shared" si="11"/>
        <v>28955408</v>
      </c>
      <c r="H22" s="170">
        <f t="shared" si="11"/>
        <v>51043571</v>
      </c>
      <c r="I22" s="170">
        <f t="shared" si="11"/>
        <v>0</v>
      </c>
      <c r="J22" s="170">
        <f t="shared" si="11"/>
        <v>0</v>
      </c>
      <c r="K22" s="170">
        <f t="shared" si="11"/>
        <v>0</v>
      </c>
      <c r="L22" s="170">
        <f t="shared" si="11"/>
        <v>0</v>
      </c>
      <c r="M22" s="170">
        <f t="shared" si="11"/>
        <v>129995133</v>
      </c>
      <c r="N22" s="170">
        <f t="shared" si="10"/>
        <v>0</v>
      </c>
      <c r="O22" s="170">
        <f t="shared" si="10"/>
        <v>0</v>
      </c>
      <c r="P22" s="170">
        <f t="shared" si="10"/>
        <v>0</v>
      </c>
      <c r="Q22" s="170">
        <f t="shared" si="10"/>
        <v>0</v>
      </c>
      <c r="R22" s="170">
        <f t="shared" si="10"/>
        <v>0</v>
      </c>
      <c r="S22" s="170">
        <f t="shared" si="10"/>
        <v>0</v>
      </c>
      <c r="T22" s="170">
        <f t="shared" si="10"/>
        <v>0</v>
      </c>
      <c r="U22" s="170">
        <f t="shared" si="10"/>
        <v>0</v>
      </c>
      <c r="V22" s="170">
        <f t="shared" si="10"/>
        <v>0</v>
      </c>
      <c r="W22" s="170">
        <f t="shared" si="10"/>
        <v>0</v>
      </c>
      <c r="X22" s="170">
        <f t="shared" si="10"/>
        <v>0</v>
      </c>
      <c r="Y22" s="170">
        <f t="shared" si="10"/>
        <v>0</v>
      </c>
      <c r="Z22" s="170">
        <f t="shared" si="10"/>
        <v>129995133</v>
      </c>
    </row>
    <row r="23" spans="1:26" s="360" customFormat="1" ht="12.75" customHeight="1" x14ac:dyDescent="0.25">
      <c r="A23" s="564"/>
      <c r="B23" s="798" t="s">
        <v>456</v>
      </c>
      <c r="C23" s="798"/>
      <c r="D23" s="618" t="s">
        <v>469</v>
      </c>
      <c r="E23" s="618"/>
      <c r="F23" s="618"/>
      <c r="G23" s="618"/>
      <c r="H23" s="618">
        <v>9002</v>
      </c>
      <c r="I23" s="618">
        <v>0</v>
      </c>
      <c r="J23" s="618">
        <v>0</v>
      </c>
      <c r="K23" s="618">
        <v>0</v>
      </c>
      <c r="L23" s="618">
        <v>0</v>
      </c>
      <c r="M23" s="618">
        <f>SUM(E23:L23)</f>
        <v>9002</v>
      </c>
      <c r="N23" s="361">
        <v>0</v>
      </c>
      <c r="O23" s="361">
        <v>0</v>
      </c>
      <c r="P23" s="361">
        <v>0</v>
      </c>
      <c r="Q23" s="361">
        <v>0</v>
      </c>
      <c r="R23" s="361">
        <v>0</v>
      </c>
      <c r="S23" s="361">
        <v>0</v>
      </c>
      <c r="T23" s="361">
        <v>0</v>
      </c>
      <c r="U23" s="361">
        <v>0</v>
      </c>
      <c r="V23" s="361">
        <v>0</v>
      </c>
      <c r="W23" s="361">
        <v>0</v>
      </c>
      <c r="X23" s="361">
        <v>0</v>
      </c>
      <c r="Y23" s="361">
        <v>0</v>
      </c>
      <c r="Z23" s="361">
        <f>M23+V23</f>
        <v>9002</v>
      </c>
    </row>
    <row r="24" spans="1:26" s="148" customFormat="1" x14ac:dyDescent="0.25">
      <c r="A24" s="815" t="s">
        <v>43</v>
      </c>
      <c r="B24" s="798" t="s">
        <v>236</v>
      </c>
      <c r="C24" s="798"/>
      <c r="D24" s="318" t="s">
        <v>386</v>
      </c>
      <c r="E24" s="169">
        <v>6400000</v>
      </c>
      <c r="F24" s="169">
        <v>0</v>
      </c>
      <c r="G24" s="169"/>
      <c r="H24" s="169">
        <v>740149</v>
      </c>
      <c r="I24" s="361">
        <v>0</v>
      </c>
      <c r="J24" s="361">
        <v>0</v>
      </c>
      <c r="K24" s="361"/>
      <c r="L24" s="361"/>
      <c r="M24" s="169">
        <f t="shared" si="0"/>
        <v>7140149</v>
      </c>
      <c r="N24" s="361">
        <v>0</v>
      </c>
      <c r="O24" s="361">
        <v>0</v>
      </c>
      <c r="P24" s="361">
        <v>0</v>
      </c>
      <c r="Q24" s="361">
        <v>0</v>
      </c>
      <c r="R24" s="361">
        <v>0</v>
      </c>
      <c r="S24" s="361">
        <v>0</v>
      </c>
      <c r="T24" s="361">
        <v>0</v>
      </c>
      <c r="U24" s="361">
        <v>0</v>
      </c>
      <c r="V24" s="361">
        <v>0</v>
      </c>
      <c r="W24" s="361">
        <v>0</v>
      </c>
      <c r="X24" s="361">
        <v>0</v>
      </c>
      <c r="Y24" s="361">
        <v>0</v>
      </c>
      <c r="Z24" s="361">
        <f t="shared" ref="Z24:Z29" si="12">M24+V24</f>
        <v>7140149</v>
      </c>
    </row>
    <row r="25" spans="1:26" x14ac:dyDescent="0.25">
      <c r="A25" s="815"/>
      <c r="B25" s="356" t="s">
        <v>42</v>
      </c>
      <c r="C25" s="152" t="s">
        <v>228</v>
      </c>
      <c r="D25" s="152" t="s">
        <v>387</v>
      </c>
      <c r="E25" s="153">
        <v>150900000</v>
      </c>
      <c r="F25" s="153">
        <v>0</v>
      </c>
      <c r="G25" s="153"/>
      <c r="H25" s="153">
        <v>37804234</v>
      </c>
      <c r="I25" s="357">
        <v>0</v>
      </c>
      <c r="J25" s="357">
        <v>0</v>
      </c>
      <c r="K25" s="357"/>
      <c r="L25" s="357"/>
      <c r="M25" s="153">
        <f t="shared" si="0"/>
        <v>188704234</v>
      </c>
      <c r="N25" s="357">
        <v>0</v>
      </c>
      <c r="O25" s="357">
        <v>0</v>
      </c>
      <c r="P25" s="357"/>
      <c r="Q25" s="357"/>
      <c r="R25" s="357">
        <v>0</v>
      </c>
      <c r="S25" s="357">
        <v>0</v>
      </c>
      <c r="T25" s="357"/>
      <c r="U25" s="357"/>
      <c r="V25" s="357">
        <f t="shared" si="1"/>
        <v>0</v>
      </c>
      <c r="W25" s="357">
        <v>0</v>
      </c>
      <c r="X25" s="357">
        <v>0</v>
      </c>
      <c r="Y25" s="357">
        <f>SUM(W25:X25)</f>
        <v>0</v>
      </c>
      <c r="Z25" s="153">
        <f t="shared" si="12"/>
        <v>188704234</v>
      </c>
    </row>
    <row r="26" spans="1:26" x14ac:dyDescent="0.25">
      <c r="A26" s="815"/>
      <c r="B26" s="356" t="s">
        <v>43</v>
      </c>
      <c r="C26" s="152" t="s">
        <v>237</v>
      </c>
      <c r="D26" s="152" t="s">
        <v>388</v>
      </c>
      <c r="E26" s="153">
        <v>12900000</v>
      </c>
      <c r="F26" s="153">
        <v>0</v>
      </c>
      <c r="G26" s="153"/>
      <c r="H26" s="153">
        <v>2593841</v>
      </c>
      <c r="I26" s="357">
        <v>0</v>
      </c>
      <c r="J26" s="357">
        <v>0</v>
      </c>
      <c r="K26" s="357"/>
      <c r="L26" s="357"/>
      <c r="M26" s="153">
        <f t="shared" si="0"/>
        <v>15493841</v>
      </c>
      <c r="N26" s="357">
        <v>0</v>
      </c>
      <c r="O26" s="357">
        <v>0</v>
      </c>
      <c r="P26" s="357"/>
      <c r="Q26" s="357"/>
      <c r="R26" s="357">
        <v>0</v>
      </c>
      <c r="S26" s="357">
        <v>0</v>
      </c>
      <c r="T26" s="357"/>
      <c r="U26" s="357"/>
      <c r="V26" s="357">
        <f t="shared" si="1"/>
        <v>0</v>
      </c>
      <c r="W26" s="357">
        <v>0</v>
      </c>
      <c r="X26" s="357">
        <v>0</v>
      </c>
      <c r="Y26" s="357">
        <f>SUM(W26:X26)</f>
        <v>0</v>
      </c>
      <c r="Z26" s="153">
        <f t="shared" si="12"/>
        <v>15493841</v>
      </c>
    </row>
    <row r="27" spans="1:26" x14ac:dyDescent="0.25">
      <c r="A27" s="815"/>
      <c r="B27" s="356" t="s">
        <v>44</v>
      </c>
      <c r="C27" s="152" t="s">
        <v>229</v>
      </c>
      <c r="D27" s="152" t="s">
        <v>389</v>
      </c>
      <c r="E27" s="153">
        <v>600000</v>
      </c>
      <c r="F27" s="153">
        <v>0</v>
      </c>
      <c r="G27" s="153"/>
      <c r="H27" s="153">
        <v>-144000</v>
      </c>
      <c r="I27" s="357">
        <v>0</v>
      </c>
      <c r="J27" s="357">
        <v>0</v>
      </c>
      <c r="K27" s="357"/>
      <c r="L27" s="357"/>
      <c r="M27" s="153">
        <f t="shared" si="0"/>
        <v>456000</v>
      </c>
      <c r="N27" s="357">
        <v>0</v>
      </c>
      <c r="O27" s="357">
        <v>0</v>
      </c>
      <c r="P27" s="357"/>
      <c r="Q27" s="357"/>
      <c r="R27" s="357">
        <v>0</v>
      </c>
      <c r="S27" s="357">
        <v>0</v>
      </c>
      <c r="T27" s="357"/>
      <c r="U27" s="357"/>
      <c r="V27" s="357">
        <f t="shared" si="1"/>
        <v>0</v>
      </c>
      <c r="W27" s="357">
        <v>0</v>
      </c>
      <c r="X27" s="357">
        <v>0</v>
      </c>
      <c r="Y27" s="357">
        <f>SUM(W27:X27)</f>
        <v>0</v>
      </c>
      <c r="Z27" s="153">
        <f t="shared" si="12"/>
        <v>456000</v>
      </c>
    </row>
    <row r="28" spans="1:26" x14ac:dyDescent="0.25">
      <c r="A28" s="815"/>
      <c r="B28" s="798" t="s">
        <v>282</v>
      </c>
      <c r="C28" s="798"/>
      <c r="D28" s="318" t="s">
        <v>390</v>
      </c>
      <c r="E28" s="169">
        <f t="shared" ref="E28:Y28" si="13">SUM(E25:E27)</f>
        <v>164400000</v>
      </c>
      <c r="F28" s="169">
        <f t="shared" si="13"/>
        <v>0</v>
      </c>
      <c r="G28" s="169">
        <f t="shared" si="13"/>
        <v>0</v>
      </c>
      <c r="H28" s="169">
        <f t="shared" si="13"/>
        <v>40254075</v>
      </c>
      <c r="I28" s="169">
        <f t="shared" si="13"/>
        <v>0</v>
      </c>
      <c r="J28" s="169">
        <f t="shared" si="13"/>
        <v>0</v>
      </c>
      <c r="K28" s="169"/>
      <c r="L28" s="169"/>
      <c r="M28" s="169">
        <f t="shared" si="0"/>
        <v>204654075</v>
      </c>
      <c r="N28" s="169">
        <f t="shared" si="13"/>
        <v>0</v>
      </c>
      <c r="O28" s="169">
        <f t="shared" si="13"/>
        <v>0</v>
      </c>
      <c r="P28" s="169">
        <f t="shared" si="13"/>
        <v>0</v>
      </c>
      <c r="Q28" s="169">
        <f t="shared" si="13"/>
        <v>0</v>
      </c>
      <c r="R28" s="169">
        <f t="shared" si="13"/>
        <v>0</v>
      </c>
      <c r="S28" s="169">
        <f t="shared" si="13"/>
        <v>0</v>
      </c>
      <c r="T28" s="169">
        <f t="shared" si="13"/>
        <v>0</v>
      </c>
      <c r="U28" s="169">
        <f t="shared" si="13"/>
        <v>0</v>
      </c>
      <c r="V28" s="169">
        <f t="shared" si="13"/>
        <v>0</v>
      </c>
      <c r="W28" s="169">
        <f t="shared" si="13"/>
        <v>0</v>
      </c>
      <c r="X28" s="169">
        <f t="shared" si="13"/>
        <v>0</v>
      </c>
      <c r="Y28" s="169">
        <f t="shared" si="13"/>
        <v>0</v>
      </c>
      <c r="Z28" s="169">
        <f t="shared" si="12"/>
        <v>204654075</v>
      </c>
    </row>
    <row r="29" spans="1:26" s="148" customFormat="1" x14ac:dyDescent="0.25">
      <c r="A29" s="815"/>
      <c r="B29" s="798" t="s">
        <v>230</v>
      </c>
      <c r="C29" s="798"/>
      <c r="D29" s="318" t="s">
        <v>391</v>
      </c>
      <c r="E29" s="169">
        <v>100000</v>
      </c>
      <c r="F29" s="169">
        <v>0</v>
      </c>
      <c r="G29" s="169"/>
      <c r="H29" s="169">
        <v>941576</v>
      </c>
      <c r="I29" s="361">
        <v>0</v>
      </c>
      <c r="J29" s="361">
        <v>0</v>
      </c>
      <c r="K29" s="361"/>
      <c r="L29" s="361"/>
      <c r="M29" s="169">
        <f t="shared" si="0"/>
        <v>1041576</v>
      </c>
      <c r="N29" s="361">
        <v>0</v>
      </c>
      <c r="O29" s="361">
        <v>0</v>
      </c>
      <c r="P29" s="361">
        <v>0</v>
      </c>
      <c r="Q29" s="361">
        <v>0</v>
      </c>
      <c r="R29" s="361">
        <v>0</v>
      </c>
      <c r="S29" s="361">
        <v>0</v>
      </c>
      <c r="T29" s="361">
        <v>0</v>
      </c>
      <c r="U29" s="361">
        <v>0</v>
      </c>
      <c r="V29" s="361">
        <v>0</v>
      </c>
      <c r="W29" s="361">
        <v>0</v>
      </c>
      <c r="X29" s="361">
        <v>0</v>
      </c>
      <c r="Y29" s="361">
        <v>0</v>
      </c>
      <c r="Z29" s="620">
        <f t="shared" si="12"/>
        <v>1041576</v>
      </c>
    </row>
    <row r="30" spans="1:26" s="360" customFormat="1" x14ac:dyDescent="0.25">
      <c r="A30" s="815"/>
      <c r="B30" s="797" t="s">
        <v>238</v>
      </c>
      <c r="C30" s="797"/>
      <c r="D30" s="316" t="s">
        <v>392</v>
      </c>
      <c r="E30" s="170">
        <f>E24+E28+E29+E23</f>
        <v>170900000</v>
      </c>
      <c r="F30" s="170">
        <f t="shared" ref="F30:M30" si="14">F24+F28+F29+F23</f>
        <v>0</v>
      </c>
      <c r="G30" s="170">
        <f t="shared" si="14"/>
        <v>0</v>
      </c>
      <c r="H30" s="170">
        <f t="shared" si="14"/>
        <v>41944802</v>
      </c>
      <c r="I30" s="170">
        <f t="shared" si="14"/>
        <v>0</v>
      </c>
      <c r="J30" s="170">
        <f t="shared" si="14"/>
        <v>0</v>
      </c>
      <c r="K30" s="170">
        <f t="shared" si="14"/>
        <v>0</v>
      </c>
      <c r="L30" s="170">
        <f t="shared" si="14"/>
        <v>0</v>
      </c>
      <c r="M30" s="170">
        <f t="shared" si="14"/>
        <v>212844802</v>
      </c>
      <c r="N30" s="170">
        <f t="shared" ref="N30:Y30" si="15">N24+N28+N29</f>
        <v>0</v>
      </c>
      <c r="O30" s="170">
        <f t="shared" si="15"/>
        <v>0</v>
      </c>
      <c r="P30" s="170">
        <f t="shared" si="15"/>
        <v>0</v>
      </c>
      <c r="Q30" s="170">
        <f t="shared" si="15"/>
        <v>0</v>
      </c>
      <c r="R30" s="170">
        <f t="shared" si="15"/>
        <v>0</v>
      </c>
      <c r="S30" s="170">
        <f t="shared" si="15"/>
        <v>0</v>
      </c>
      <c r="T30" s="170">
        <f t="shared" si="15"/>
        <v>0</v>
      </c>
      <c r="U30" s="170">
        <f t="shared" si="15"/>
        <v>0</v>
      </c>
      <c r="V30" s="170">
        <f t="shared" si="15"/>
        <v>0</v>
      </c>
      <c r="W30" s="170">
        <f t="shared" si="15"/>
        <v>0</v>
      </c>
      <c r="X30" s="170">
        <f t="shared" si="15"/>
        <v>0</v>
      </c>
      <c r="Y30" s="170">
        <f t="shared" si="15"/>
        <v>0</v>
      </c>
      <c r="Z30" s="170">
        <f>Z24+Z28+Z29+Z23</f>
        <v>212844802</v>
      </c>
    </row>
    <row r="31" spans="1:26" x14ac:dyDescent="0.25">
      <c r="A31" s="815" t="s">
        <v>44</v>
      </c>
      <c r="B31" s="362"/>
      <c r="C31" s="152" t="s">
        <v>240</v>
      </c>
      <c r="D31" s="152" t="s">
        <v>393</v>
      </c>
      <c r="E31" s="153">
        <v>227000</v>
      </c>
      <c r="F31" s="153">
        <v>0</v>
      </c>
      <c r="G31" s="153"/>
      <c r="H31" s="153">
        <v>-461818</v>
      </c>
      <c r="I31" s="357">
        <v>0</v>
      </c>
      <c r="J31" s="357">
        <v>0</v>
      </c>
      <c r="K31" s="357"/>
      <c r="L31" s="357"/>
      <c r="M31" s="153">
        <f t="shared" si="0"/>
        <v>-234818</v>
      </c>
      <c r="N31" s="153">
        <v>3600000</v>
      </c>
      <c r="O31" s="153">
        <v>0</v>
      </c>
      <c r="P31" s="153"/>
      <c r="Q31" s="153"/>
      <c r="R31" s="153">
        <v>0</v>
      </c>
      <c r="S31" s="153">
        <v>0</v>
      </c>
      <c r="T31" s="153"/>
      <c r="U31" s="153"/>
      <c r="V31" s="153">
        <f t="shared" si="1"/>
        <v>3600000</v>
      </c>
      <c r="W31" s="153">
        <v>0</v>
      </c>
      <c r="X31" s="153">
        <v>0</v>
      </c>
      <c r="Y31" s="357">
        <f>SUM(W31:X31)</f>
        <v>0</v>
      </c>
      <c r="Z31" s="153">
        <f t="shared" ref="Z31:Z48" si="16">M31+V31+Y31</f>
        <v>3365182</v>
      </c>
    </row>
    <row r="32" spans="1:26" x14ac:dyDescent="0.25">
      <c r="A32" s="815"/>
      <c r="B32" s="362"/>
      <c r="C32" s="303" t="s">
        <v>449</v>
      </c>
      <c r="D32" s="152" t="s">
        <v>470</v>
      </c>
      <c r="E32" s="153">
        <v>0</v>
      </c>
      <c r="F32" s="153">
        <v>0</v>
      </c>
      <c r="G32" s="153"/>
      <c r="H32" s="153">
        <v>0</v>
      </c>
      <c r="I32" s="357">
        <v>0</v>
      </c>
      <c r="J32" s="357">
        <v>0</v>
      </c>
      <c r="K32" s="153">
        <v>555427</v>
      </c>
      <c r="L32" s="153">
        <v>0</v>
      </c>
      <c r="M32" s="153">
        <f t="shared" si="0"/>
        <v>555427</v>
      </c>
      <c r="N32" s="153">
        <v>0</v>
      </c>
      <c r="O32" s="153">
        <v>0</v>
      </c>
      <c r="P32" s="153"/>
      <c r="Q32" s="153"/>
      <c r="R32" s="153"/>
      <c r="S32" s="153"/>
      <c r="T32" s="153"/>
      <c r="U32" s="153"/>
      <c r="V32" s="153">
        <f t="shared" si="1"/>
        <v>0</v>
      </c>
      <c r="W32" s="153">
        <v>0</v>
      </c>
      <c r="X32" s="153">
        <v>0</v>
      </c>
      <c r="Y32" s="357">
        <f>SUM(W32:X32)</f>
        <v>0</v>
      </c>
      <c r="Z32" s="153">
        <f t="shared" si="16"/>
        <v>555427</v>
      </c>
    </row>
    <row r="33" spans="1:26" x14ac:dyDescent="0.25">
      <c r="A33" s="815"/>
      <c r="B33" s="362"/>
      <c r="C33" s="152" t="s">
        <v>241</v>
      </c>
      <c r="D33" s="152" t="s">
        <v>394</v>
      </c>
      <c r="E33" s="357">
        <v>0</v>
      </c>
      <c r="F33" s="357">
        <v>0</v>
      </c>
      <c r="G33" s="357"/>
      <c r="H33" s="153">
        <v>0</v>
      </c>
      <c r="I33" s="357">
        <v>0</v>
      </c>
      <c r="J33" s="357">
        <v>0</v>
      </c>
      <c r="K33" s="357"/>
      <c r="L33" s="357"/>
      <c r="M33" s="153">
        <f t="shared" si="0"/>
        <v>0</v>
      </c>
      <c r="N33" s="153">
        <v>112778</v>
      </c>
      <c r="O33" s="153">
        <v>606700</v>
      </c>
      <c r="P33" s="153">
        <v>772502</v>
      </c>
      <c r="Q33" s="153">
        <v>-237908</v>
      </c>
      <c r="R33" s="153">
        <v>2000000</v>
      </c>
      <c r="S33" s="153">
        <v>0</v>
      </c>
      <c r="T33" s="153">
        <v>104926</v>
      </c>
      <c r="U33" s="153">
        <v>-156080</v>
      </c>
      <c r="V33" s="153">
        <f t="shared" si="1"/>
        <v>3202918</v>
      </c>
      <c r="W33" s="357">
        <v>0</v>
      </c>
      <c r="X33" s="357">
        <v>0</v>
      </c>
      <c r="Y33" s="357">
        <f t="shared" ref="Y33:Y39" si="17">SUM(W33:X33)</f>
        <v>0</v>
      </c>
      <c r="Z33" s="153">
        <f t="shared" si="16"/>
        <v>3202918</v>
      </c>
    </row>
    <row r="34" spans="1:26" x14ac:dyDescent="0.25">
      <c r="A34" s="815"/>
      <c r="B34" s="362"/>
      <c r="C34" s="152" t="s">
        <v>242</v>
      </c>
      <c r="D34" s="152" t="s">
        <v>395</v>
      </c>
      <c r="E34" s="153">
        <v>0</v>
      </c>
      <c r="F34" s="153">
        <v>241671</v>
      </c>
      <c r="G34" s="153">
        <v>120836</v>
      </c>
      <c r="H34" s="153">
        <v>0</v>
      </c>
      <c r="I34" s="153">
        <v>0</v>
      </c>
      <c r="J34" s="153">
        <v>0</v>
      </c>
      <c r="K34" s="153"/>
      <c r="L34" s="153"/>
      <c r="M34" s="153">
        <f t="shared" si="0"/>
        <v>362507</v>
      </c>
      <c r="N34" s="357">
        <v>0</v>
      </c>
      <c r="O34" s="357">
        <v>0</v>
      </c>
      <c r="P34" s="357"/>
      <c r="Q34" s="357"/>
      <c r="R34" s="357">
        <v>0</v>
      </c>
      <c r="S34" s="357">
        <v>0</v>
      </c>
      <c r="T34" s="357"/>
      <c r="U34" s="357"/>
      <c r="V34" s="153">
        <f t="shared" si="1"/>
        <v>0</v>
      </c>
      <c r="W34" s="357">
        <v>0</v>
      </c>
      <c r="X34" s="357">
        <v>0</v>
      </c>
      <c r="Y34" s="357">
        <f t="shared" si="17"/>
        <v>0</v>
      </c>
      <c r="Z34" s="153">
        <f t="shared" si="16"/>
        <v>362507</v>
      </c>
    </row>
    <row r="35" spans="1:26" x14ac:dyDescent="0.25">
      <c r="A35" s="815"/>
      <c r="B35" s="362"/>
      <c r="C35" s="152" t="s">
        <v>243</v>
      </c>
      <c r="D35" s="152" t="s">
        <v>396</v>
      </c>
      <c r="E35" s="153">
        <v>6192650</v>
      </c>
      <c r="F35" s="153">
        <v>0</v>
      </c>
      <c r="G35" s="153"/>
      <c r="H35" s="153">
        <v>1412967</v>
      </c>
      <c r="I35" s="153">
        <v>0</v>
      </c>
      <c r="J35" s="153">
        <v>0</v>
      </c>
      <c r="K35" s="153"/>
      <c r="L35" s="153"/>
      <c r="M35" s="153">
        <f t="shared" si="0"/>
        <v>7605617</v>
      </c>
      <c r="N35" s="357">
        <v>0</v>
      </c>
      <c r="O35" s="357">
        <v>0</v>
      </c>
      <c r="P35" s="357"/>
      <c r="Q35" s="357"/>
      <c r="R35" s="357">
        <v>0</v>
      </c>
      <c r="S35" s="357">
        <v>0</v>
      </c>
      <c r="T35" s="357"/>
      <c r="U35" s="357"/>
      <c r="V35" s="153">
        <f t="shared" si="1"/>
        <v>0</v>
      </c>
      <c r="W35" s="357">
        <v>0</v>
      </c>
      <c r="X35" s="357">
        <v>0</v>
      </c>
      <c r="Y35" s="357">
        <f t="shared" si="17"/>
        <v>0</v>
      </c>
      <c r="Z35" s="153">
        <f t="shared" si="16"/>
        <v>7605617</v>
      </c>
    </row>
    <row r="36" spans="1:26" x14ac:dyDescent="0.25">
      <c r="A36" s="815"/>
      <c r="B36" s="362"/>
      <c r="C36" s="152" t="s">
        <v>244</v>
      </c>
      <c r="D36" s="152" t="s">
        <v>397</v>
      </c>
      <c r="E36" s="153">
        <v>1667426</v>
      </c>
      <c r="F36" s="153">
        <v>0</v>
      </c>
      <c r="G36" s="153">
        <v>146215</v>
      </c>
      <c r="H36" s="153">
        <v>539743</v>
      </c>
      <c r="I36" s="153">
        <v>0</v>
      </c>
      <c r="J36" s="153">
        <v>0</v>
      </c>
      <c r="K36" s="153"/>
      <c r="L36" s="153"/>
      <c r="M36" s="153">
        <f t="shared" si="0"/>
        <v>2353384</v>
      </c>
      <c r="N36" s="357">
        <v>0</v>
      </c>
      <c r="O36" s="357">
        <v>0</v>
      </c>
      <c r="P36" s="357"/>
      <c r="Q36" s="357"/>
      <c r="R36" s="357">
        <v>0</v>
      </c>
      <c r="S36" s="357">
        <v>0</v>
      </c>
      <c r="T36" s="357"/>
      <c r="U36" s="357"/>
      <c r="V36" s="153">
        <f t="shared" si="1"/>
        <v>0</v>
      </c>
      <c r="W36" s="357">
        <v>0</v>
      </c>
      <c r="X36" s="357">
        <v>0</v>
      </c>
      <c r="Y36" s="357">
        <f t="shared" si="17"/>
        <v>0</v>
      </c>
      <c r="Z36" s="153">
        <f t="shared" si="16"/>
        <v>2353384</v>
      </c>
    </row>
    <row r="37" spans="1:26" x14ac:dyDescent="0.25">
      <c r="A37" s="815"/>
      <c r="B37" s="362"/>
      <c r="C37" s="152" t="s">
        <v>245</v>
      </c>
      <c r="D37" s="152" t="s">
        <v>398</v>
      </c>
      <c r="E37" s="153">
        <v>3435000</v>
      </c>
      <c r="F37" s="153">
        <v>202990</v>
      </c>
      <c r="G37" s="153">
        <v>593156</v>
      </c>
      <c r="H37" s="153">
        <v>48823</v>
      </c>
      <c r="I37" s="153">
        <v>0</v>
      </c>
      <c r="J37" s="153">
        <v>0</v>
      </c>
      <c r="K37" s="153"/>
      <c r="L37" s="153"/>
      <c r="M37" s="153">
        <f t="shared" si="0"/>
        <v>4279969</v>
      </c>
      <c r="N37" s="357">
        <v>0</v>
      </c>
      <c r="O37" s="357">
        <v>0</v>
      </c>
      <c r="P37" s="357"/>
      <c r="Q37" s="357"/>
      <c r="R37" s="357">
        <v>0</v>
      </c>
      <c r="S37" s="357">
        <v>0</v>
      </c>
      <c r="T37" s="357"/>
      <c r="U37" s="357"/>
      <c r="V37" s="153">
        <f t="shared" si="1"/>
        <v>0</v>
      </c>
      <c r="W37" s="357">
        <v>0</v>
      </c>
      <c r="X37" s="357">
        <v>0</v>
      </c>
      <c r="Y37" s="357">
        <f t="shared" si="17"/>
        <v>0</v>
      </c>
      <c r="Z37" s="153">
        <f t="shared" si="16"/>
        <v>4279969</v>
      </c>
    </row>
    <row r="38" spans="1:26" x14ac:dyDescent="0.25">
      <c r="A38" s="815"/>
      <c r="B38" s="362"/>
      <c r="C38" s="152" t="s">
        <v>224</v>
      </c>
      <c r="D38" s="152" t="s">
        <v>399</v>
      </c>
      <c r="E38" s="153">
        <v>250000</v>
      </c>
      <c r="F38" s="153">
        <v>2398832</v>
      </c>
      <c r="G38" s="153">
        <v>1715815</v>
      </c>
      <c r="H38" s="153">
        <v>44353</v>
      </c>
      <c r="I38" s="153">
        <v>1200</v>
      </c>
      <c r="J38" s="153">
        <v>-20</v>
      </c>
      <c r="K38" s="153"/>
      <c r="L38" s="153">
        <v>874</v>
      </c>
      <c r="M38" s="153">
        <f t="shared" si="0"/>
        <v>4411054</v>
      </c>
      <c r="N38" s="357">
        <v>0</v>
      </c>
      <c r="O38" s="357">
        <v>0</v>
      </c>
      <c r="P38" s="357"/>
      <c r="Q38" s="357"/>
      <c r="R38" s="357">
        <v>0</v>
      </c>
      <c r="S38" s="357">
        <v>0</v>
      </c>
      <c r="T38" s="357"/>
      <c r="U38" s="357"/>
      <c r="V38" s="153">
        <f t="shared" si="1"/>
        <v>0</v>
      </c>
      <c r="W38" s="357">
        <v>0</v>
      </c>
      <c r="X38" s="357">
        <v>0</v>
      </c>
      <c r="Y38" s="357">
        <f t="shared" si="17"/>
        <v>0</v>
      </c>
      <c r="Z38" s="153">
        <f t="shared" si="16"/>
        <v>4411054</v>
      </c>
    </row>
    <row r="39" spans="1:26" x14ac:dyDescent="0.25">
      <c r="A39" s="815"/>
      <c r="B39" s="362"/>
      <c r="C39" s="152" t="s">
        <v>246</v>
      </c>
      <c r="D39" s="152" t="s">
        <v>400</v>
      </c>
      <c r="E39" s="153">
        <v>1000</v>
      </c>
      <c r="F39" s="153">
        <v>286725</v>
      </c>
      <c r="G39" s="153">
        <v>107171</v>
      </c>
      <c r="H39" s="153">
        <v>6924111</v>
      </c>
      <c r="I39" s="153">
        <v>0</v>
      </c>
      <c r="J39" s="153">
        <v>107</v>
      </c>
      <c r="K39" s="153"/>
      <c r="L39" s="153">
        <v>16</v>
      </c>
      <c r="M39" s="153">
        <f t="shared" si="0"/>
        <v>7319130</v>
      </c>
      <c r="N39" s="357">
        <v>0</v>
      </c>
      <c r="O39" s="357">
        <v>0</v>
      </c>
      <c r="P39" s="357"/>
      <c r="Q39" s="357"/>
      <c r="R39" s="357">
        <v>0</v>
      </c>
      <c r="S39" s="357">
        <v>0</v>
      </c>
      <c r="T39" s="357"/>
      <c r="U39" s="357"/>
      <c r="V39" s="153">
        <f t="shared" si="1"/>
        <v>0</v>
      </c>
      <c r="W39" s="357">
        <v>0</v>
      </c>
      <c r="X39" s="357">
        <v>0</v>
      </c>
      <c r="Y39" s="357">
        <f t="shared" si="17"/>
        <v>0</v>
      </c>
      <c r="Z39" s="153">
        <f t="shared" si="16"/>
        <v>7319130</v>
      </c>
    </row>
    <row r="40" spans="1:26" x14ac:dyDescent="0.25">
      <c r="A40" s="815"/>
      <c r="B40" s="781" t="s">
        <v>239</v>
      </c>
      <c r="C40" s="781"/>
      <c r="D40" s="317" t="s">
        <v>401</v>
      </c>
      <c r="E40" s="171">
        <f t="shared" ref="E40:Y40" si="18">SUM(E31:E39)</f>
        <v>11773076</v>
      </c>
      <c r="F40" s="171">
        <f t="shared" si="18"/>
        <v>3130218</v>
      </c>
      <c r="G40" s="171">
        <f t="shared" si="18"/>
        <v>2683193</v>
      </c>
      <c r="H40" s="171">
        <f t="shared" si="18"/>
        <v>8508179</v>
      </c>
      <c r="I40" s="171">
        <f t="shared" si="18"/>
        <v>1200</v>
      </c>
      <c r="J40" s="171">
        <f t="shared" si="18"/>
        <v>87</v>
      </c>
      <c r="K40" s="171">
        <f t="shared" si="18"/>
        <v>555427</v>
      </c>
      <c r="L40" s="171">
        <f t="shared" si="18"/>
        <v>890</v>
      </c>
      <c r="M40" s="171">
        <f t="shared" si="18"/>
        <v>26652270</v>
      </c>
      <c r="N40" s="171">
        <f t="shared" si="18"/>
        <v>3712778</v>
      </c>
      <c r="O40" s="171">
        <f t="shared" si="18"/>
        <v>606700</v>
      </c>
      <c r="P40" s="171">
        <f t="shared" si="18"/>
        <v>772502</v>
      </c>
      <c r="Q40" s="171">
        <f t="shared" si="18"/>
        <v>-237908</v>
      </c>
      <c r="R40" s="171">
        <f t="shared" si="18"/>
        <v>2000000</v>
      </c>
      <c r="S40" s="171">
        <f t="shared" si="18"/>
        <v>0</v>
      </c>
      <c r="T40" s="171">
        <f t="shared" si="18"/>
        <v>104926</v>
      </c>
      <c r="U40" s="171">
        <f t="shared" si="18"/>
        <v>-156080</v>
      </c>
      <c r="V40" s="171">
        <f t="shared" si="18"/>
        <v>6802918</v>
      </c>
      <c r="W40" s="171">
        <f t="shared" si="18"/>
        <v>0</v>
      </c>
      <c r="X40" s="171">
        <f t="shared" si="18"/>
        <v>0</v>
      </c>
      <c r="Y40" s="171">
        <f t="shared" si="18"/>
        <v>0</v>
      </c>
      <c r="Z40" s="171">
        <f>SUM(Z31:Z39)</f>
        <v>33455188</v>
      </c>
    </row>
    <row r="41" spans="1:26" x14ac:dyDescent="0.25">
      <c r="A41" s="815" t="s">
        <v>45</v>
      </c>
      <c r="B41" s="362"/>
      <c r="C41" s="152" t="s">
        <v>247</v>
      </c>
      <c r="D41" s="152" t="s">
        <v>477</v>
      </c>
      <c r="E41" s="153">
        <v>2372880</v>
      </c>
      <c r="F41" s="153">
        <v>0</v>
      </c>
      <c r="G41" s="153"/>
      <c r="H41" s="153">
        <v>0</v>
      </c>
      <c r="I41" s="357">
        <v>0</v>
      </c>
      <c r="J41" s="357">
        <v>0</v>
      </c>
      <c r="K41" s="357"/>
      <c r="L41" s="357"/>
      <c r="M41" s="153">
        <f t="shared" si="0"/>
        <v>2372880</v>
      </c>
      <c r="N41" s="357">
        <v>0</v>
      </c>
      <c r="O41" s="357">
        <v>0</v>
      </c>
      <c r="P41" s="357"/>
      <c r="Q41" s="357"/>
      <c r="R41" s="357">
        <v>0</v>
      </c>
      <c r="S41" s="357">
        <v>0</v>
      </c>
      <c r="T41" s="357"/>
      <c r="U41" s="357"/>
      <c r="V41" s="153">
        <f t="shared" si="1"/>
        <v>0</v>
      </c>
      <c r="W41" s="357">
        <v>0</v>
      </c>
      <c r="X41" s="357">
        <v>0</v>
      </c>
      <c r="Y41" s="357">
        <f>SUM(W41:X41)</f>
        <v>0</v>
      </c>
      <c r="Z41" s="153">
        <f t="shared" si="16"/>
        <v>2372880</v>
      </c>
    </row>
    <row r="42" spans="1:26" x14ac:dyDescent="0.25">
      <c r="A42" s="815"/>
      <c r="B42" s="362"/>
      <c r="C42" s="152" t="s">
        <v>361</v>
      </c>
      <c r="D42" s="152" t="s">
        <v>478</v>
      </c>
      <c r="E42" s="153">
        <v>0</v>
      </c>
      <c r="F42" s="153">
        <v>0</v>
      </c>
      <c r="G42" s="153"/>
      <c r="H42" s="153">
        <v>0</v>
      </c>
      <c r="I42" s="357">
        <v>0</v>
      </c>
      <c r="J42" s="153">
        <v>1797839</v>
      </c>
      <c r="K42" s="153">
        <v>-22697</v>
      </c>
      <c r="L42" s="153">
        <v>0</v>
      </c>
      <c r="M42" s="153">
        <f t="shared" si="0"/>
        <v>1775142</v>
      </c>
      <c r="N42" s="357">
        <v>0</v>
      </c>
      <c r="O42" s="357">
        <v>0</v>
      </c>
      <c r="P42" s="357"/>
      <c r="Q42" s="357"/>
      <c r="R42" s="357">
        <v>0</v>
      </c>
      <c r="S42" s="357">
        <v>0</v>
      </c>
      <c r="T42" s="357"/>
      <c r="U42" s="357"/>
      <c r="V42" s="153">
        <f t="shared" si="1"/>
        <v>0</v>
      </c>
      <c r="W42" s="357">
        <v>0</v>
      </c>
      <c r="X42" s="357">
        <v>0</v>
      </c>
      <c r="Y42" s="357">
        <f>SUM(W42:X42)</f>
        <v>0</v>
      </c>
      <c r="Z42" s="153">
        <f t="shared" si="16"/>
        <v>1775142</v>
      </c>
    </row>
    <row r="43" spans="1:26" x14ac:dyDescent="0.25">
      <c r="A43" s="815"/>
      <c r="B43" s="781" t="s">
        <v>225</v>
      </c>
      <c r="C43" s="781"/>
      <c r="D43" s="622" t="s">
        <v>479</v>
      </c>
      <c r="E43" s="171">
        <f>SUM(E41:E42)</f>
        <v>2372880</v>
      </c>
      <c r="F43" s="171">
        <f t="shared" ref="F43:M43" si="19">SUM(F41:F42)</f>
        <v>0</v>
      </c>
      <c r="G43" s="171">
        <f t="shared" si="19"/>
        <v>0</v>
      </c>
      <c r="H43" s="171">
        <f t="shared" si="19"/>
        <v>0</v>
      </c>
      <c r="I43" s="171">
        <f t="shared" si="19"/>
        <v>0</v>
      </c>
      <c r="J43" s="171">
        <f t="shared" si="19"/>
        <v>1797839</v>
      </c>
      <c r="K43" s="171">
        <f t="shared" si="19"/>
        <v>-22697</v>
      </c>
      <c r="L43" s="171">
        <f t="shared" si="19"/>
        <v>0</v>
      </c>
      <c r="M43" s="171">
        <f t="shared" si="19"/>
        <v>4148022</v>
      </c>
      <c r="N43" s="171">
        <f t="shared" ref="N43:Z43" si="20">SUM(N41:N42)</f>
        <v>0</v>
      </c>
      <c r="O43" s="171">
        <f t="shared" si="20"/>
        <v>0</v>
      </c>
      <c r="P43" s="171">
        <f t="shared" si="20"/>
        <v>0</v>
      </c>
      <c r="Q43" s="171">
        <f t="shared" si="20"/>
        <v>0</v>
      </c>
      <c r="R43" s="171">
        <f t="shared" si="20"/>
        <v>0</v>
      </c>
      <c r="S43" s="171">
        <f t="shared" si="20"/>
        <v>0</v>
      </c>
      <c r="T43" s="171">
        <f t="shared" si="20"/>
        <v>0</v>
      </c>
      <c r="U43" s="171">
        <f t="shared" si="20"/>
        <v>0</v>
      </c>
      <c r="V43" s="171">
        <f t="shared" si="20"/>
        <v>0</v>
      </c>
      <c r="W43" s="171">
        <f t="shared" si="20"/>
        <v>0</v>
      </c>
      <c r="X43" s="171">
        <f t="shared" si="20"/>
        <v>0</v>
      </c>
      <c r="Y43" s="171">
        <f t="shared" si="20"/>
        <v>0</v>
      </c>
      <c r="Z43" s="171">
        <f t="shared" si="20"/>
        <v>4148022</v>
      </c>
    </row>
    <row r="44" spans="1:26" s="382" customFormat="1" x14ac:dyDescent="0.25">
      <c r="A44" s="381"/>
      <c r="B44" s="362"/>
      <c r="C44" s="152" t="s">
        <v>359</v>
      </c>
      <c r="D44" s="303" t="s">
        <v>441</v>
      </c>
      <c r="E44" s="296">
        <v>0</v>
      </c>
      <c r="F44" s="296">
        <v>16654</v>
      </c>
      <c r="G44" s="296"/>
      <c r="H44" s="296">
        <v>0</v>
      </c>
      <c r="I44" s="296"/>
      <c r="J44" s="296"/>
      <c r="K44" s="296"/>
      <c r="L44" s="296"/>
      <c r="M44" s="153">
        <f t="shared" si="0"/>
        <v>16654</v>
      </c>
      <c r="N44" s="296">
        <v>0</v>
      </c>
      <c r="O44" s="296">
        <v>0</v>
      </c>
      <c r="P44" s="296"/>
      <c r="Q44" s="296"/>
      <c r="R44" s="296">
        <v>0</v>
      </c>
      <c r="S44" s="296">
        <v>0</v>
      </c>
      <c r="T44" s="296"/>
      <c r="U44" s="296"/>
      <c r="V44" s="153">
        <f t="shared" si="1"/>
        <v>0</v>
      </c>
      <c r="W44" s="296">
        <v>0</v>
      </c>
      <c r="X44" s="296">
        <v>0</v>
      </c>
      <c r="Y44" s="357">
        <v>0</v>
      </c>
      <c r="Z44" s="153">
        <f t="shared" si="16"/>
        <v>16654</v>
      </c>
    </row>
    <row r="45" spans="1:26" x14ac:dyDescent="0.25">
      <c r="A45" s="369"/>
      <c r="B45" s="781" t="s">
        <v>360</v>
      </c>
      <c r="C45" s="812"/>
      <c r="D45" s="317" t="s">
        <v>480</v>
      </c>
      <c r="E45" s="171">
        <f>SUM(E44)</f>
        <v>0</v>
      </c>
      <c r="F45" s="171">
        <f t="shared" ref="F45:M45" si="21">SUM(F44)</f>
        <v>16654</v>
      </c>
      <c r="G45" s="171">
        <f t="shared" si="21"/>
        <v>0</v>
      </c>
      <c r="H45" s="171">
        <f t="shared" si="21"/>
        <v>0</v>
      </c>
      <c r="I45" s="171">
        <f t="shared" si="21"/>
        <v>0</v>
      </c>
      <c r="J45" s="171">
        <f t="shared" si="21"/>
        <v>0</v>
      </c>
      <c r="K45" s="171">
        <f t="shared" si="21"/>
        <v>0</v>
      </c>
      <c r="L45" s="171">
        <f t="shared" si="21"/>
        <v>0</v>
      </c>
      <c r="M45" s="171">
        <f t="shared" si="21"/>
        <v>16654</v>
      </c>
      <c r="N45" s="171">
        <f t="shared" ref="N45:Z45" si="22">SUM(N44)</f>
        <v>0</v>
      </c>
      <c r="O45" s="171">
        <f t="shared" si="22"/>
        <v>0</v>
      </c>
      <c r="P45" s="171">
        <f t="shared" si="22"/>
        <v>0</v>
      </c>
      <c r="Q45" s="171">
        <f t="shared" si="22"/>
        <v>0</v>
      </c>
      <c r="R45" s="171">
        <f t="shared" si="22"/>
        <v>0</v>
      </c>
      <c r="S45" s="171">
        <f t="shared" si="22"/>
        <v>0</v>
      </c>
      <c r="T45" s="171">
        <f t="shared" si="22"/>
        <v>0</v>
      </c>
      <c r="U45" s="171">
        <f t="shared" si="22"/>
        <v>0</v>
      </c>
      <c r="V45" s="171">
        <f t="shared" si="22"/>
        <v>0</v>
      </c>
      <c r="W45" s="171">
        <f t="shared" si="22"/>
        <v>0</v>
      </c>
      <c r="X45" s="171">
        <f t="shared" si="22"/>
        <v>0</v>
      </c>
      <c r="Y45" s="171">
        <f t="shared" si="22"/>
        <v>0</v>
      </c>
      <c r="Z45" s="171">
        <f t="shared" si="22"/>
        <v>16654</v>
      </c>
    </row>
    <row r="46" spans="1:26" s="382" customFormat="1" ht="26.4" x14ac:dyDescent="0.25">
      <c r="A46" s="381"/>
      <c r="B46" s="303"/>
      <c r="C46" s="303" t="s">
        <v>355</v>
      </c>
      <c r="D46" s="303" t="s">
        <v>442</v>
      </c>
      <c r="E46" s="296">
        <v>0</v>
      </c>
      <c r="F46" s="296">
        <v>1049525</v>
      </c>
      <c r="G46" s="296"/>
      <c r="H46" s="296">
        <v>0</v>
      </c>
      <c r="I46" s="296"/>
      <c r="J46" s="296">
        <v>0</v>
      </c>
      <c r="K46" s="296"/>
      <c r="L46" s="296"/>
      <c r="M46" s="153">
        <f t="shared" si="0"/>
        <v>1049525</v>
      </c>
      <c r="N46" s="296">
        <v>0</v>
      </c>
      <c r="O46" s="296">
        <v>0</v>
      </c>
      <c r="P46" s="296"/>
      <c r="Q46" s="296"/>
      <c r="R46" s="296">
        <v>0</v>
      </c>
      <c r="S46" s="296">
        <v>0</v>
      </c>
      <c r="T46" s="296"/>
      <c r="U46" s="296"/>
      <c r="V46" s="357">
        <f t="shared" si="1"/>
        <v>0</v>
      </c>
      <c r="W46" s="296">
        <v>0</v>
      </c>
      <c r="X46" s="296">
        <v>0</v>
      </c>
      <c r="Y46" s="357">
        <f>SUM(W46:X46)</f>
        <v>0</v>
      </c>
      <c r="Z46" s="153">
        <f t="shared" si="16"/>
        <v>1049525</v>
      </c>
    </row>
    <row r="47" spans="1:26" ht="26.4" x14ac:dyDescent="0.25">
      <c r="A47" s="815" t="s">
        <v>46</v>
      </c>
      <c r="B47" s="362"/>
      <c r="C47" s="152" t="s">
        <v>248</v>
      </c>
      <c r="D47" s="152" t="s">
        <v>402</v>
      </c>
      <c r="E47" s="153">
        <v>701680</v>
      </c>
      <c r="F47" s="153">
        <v>0</v>
      </c>
      <c r="G47" s="153"/>
      <c r="H47" s="153">
        <v>-11670</v>
      </c>
      <c r="I47" s="153">
        <v>7280000</v>
      </c>
      <c r="J47" s="357">
        <v>0</v>
      </c>
      <c r="K47" s="357"/>
      <c r="L47" s="357"/>
      <c r="M47" s="153">
        <f t="shared" si="0"/>
        <v>7970010</v>
      </c>
      <c r="N47" s="357">
        <v>0</v>
      </c>
      <c r="O47" s="357">
        <v>0</v>
      </c>
      <c r="P47" s="357"/>
      <c r="Q47" s="357"/>
      <c r="R47" s="357">
        <v>0</v>
      </c>
      <c r="S47" s="357">
        <v>0</v>
      </c>
      <c r="T47" s="357"/>
      <c r="U47" s="619">
        <v>1300000</v>
      </c>
      <c r="V47" s="357">
        <f t="shared" si="1"/>
        <v>1300000</v>
      </c>
      <c r="W47" s="357">
        <v>0</v>
      </c>
      <c r="X47" s="357">
        <v>0</v>
      </c>
      <c r="Y47" s="357">
        <f>SUM(W47:X47)</f>
        <v>0</v>
      </c>
      <c r="Z47" s="153">
        <f t="shared" si="16"/>
        <v>9270010</v>
      </c>
    </row>
    <row r="48" spans="1:26" x14ac:dyDescent="0.25">
      <c r="A48" s="815"/>
      <c r="B48" s="362"/>
      <c r="C48" s="152" t="s">
        <v>322</v>
      </c>
      <c r="D48" s="152" t="s">
        <v>403</v>
      </c>
      <c r="E48" s="153">
        <v>7280000</v>
      </c>
      <c r="F48" s="153">
        <v>0</v>
      </c>
      <c r="G48" s="153"/>
      <c r="H48" s="153">
        <v>3819129</v>
      </c>
      <c r="I48" s="153">
        <v>-7280000</v>
      </c>
      <c r="J48" s="357">
        <v>0</v>
      </c>
      <c r="K48" s="357"/>
      <c r="L48" s="357"/>
      <c r="M48" s="153">
        <f t="shared" si="0"/>
        <v>3819129</v>
      </c>
      <c r="N48" s="357">
        <v>0</v>
      </c>
      <c r="O48" s="357">
        <v>0</v>
      </c>
      <c r="P48" s="357"/>
      <c r="Q48" s="357"/>
      <c r="R48" s="357">
        <v>0</v>
      </c>
      <c r="S48" s="357">
        <v>0</v>
      </c>
      <c r="T48" s="357"/>
      <c r="U48" s="357"/>
      <c r="V48" s="357">
        <f t="shared" si="1"/>
        <v>0</v>
      </c>
      <c r="W48" s="357">
        <v>0</v>
      </c>
      <c r="X48" s="357">
        <v>0</v>
      </c>
      <c r="Y48" s="357">
        <f>SUM(W48:X48)</f>
        <v>0</v>
      </c>
      <c r="Z48" s="153">
        <f t="shared" si="16"/>
        <v>3819129</v>
      </c>
    </row>
    <row r="49" spans="1:26" x14ac:dyDescent="0.25">
      <c r="A49" s="815"/>
      <c r="B49" s="781" t="s">
        <v>226</v>
      </c>
      <c r="C49" s="781"/>
      <c r="D49" s="317" t="s">
        <v>404</v>
      </c>
      <c r="E49" s="171">
        <f>SUM(E46:E48)</f>
        <v>7981680</v>
      </c>
      <c r="F49" s="171">
        <f t="shared" ref="F49:M49" si="23">SUM(F46:F48)</f>
        <v>1049525</v>
      </c>
      <c r="G49" s="171">
        <f t="shared" si="23"/>
        <v>0</v>
      </c>
      <c r="H49" s="171">
        <f t="shared" si="23"/>
        <v>3807459</v>
      </c>
      <c r="I49" s="171">
        <f t="shared" si="23"/>
        <v>0</v>
      </c>
      <c r="J49" s="171">
        <f t="shared" si="23"/>
        <v>0</v>
      </c>
      <c r="K49" s="171">
        <f t="shared" si="23"/>
        <v>0</v>
      </c>
      <c r="L49" s="171">
        <f t="shared" si="23"/>
        <v>0</v>
      </c>
      <c r="M49" s="171">
        <f t="shared" si="23"/>
        <v>12838664</v>
      </c>
      <c r="N49" s="171">
        <f t="shared" ref="N49:Z49" si="24">SUM(N46:N48)</f>
        <v>0</v>
      </c>
      <c r="O49" s="171">
        <f t="shared" si="24"/>
        <v>0</v>
      </c>
      <c r="P49" s="171">
        <f t="shared" si="24"/>
        <v>0</v>
      </c>
      <c r="Q49" s="171">
        <f t="shared" si="24"/>
        <v>0</v>
      </c>
      <c r="R49" s="171">
        <f t="shared" si="24"/>
        <v>0</v>
      </c>
      <c r="S49" s="171">
        <f t="shared" si="24"/>
        <v>0</v>
      </c>
      <c r="T49" s="171">
        <f t="shared" si="24"/>
        <v>0</v>
      </c>
      <c r="U49" s="171">
        <f t="shared" si="24"/>
        <v>1300000</v>
      </c>
      <c r="V49" s="171">
        <f t="shared" si="24"/>
        <v>1300000</v>
      </c>
      <c r="W49" s="171">
        <f t="shared" si="24"/>
        <v>0</v>
      </c>
      <c r="X49" s="171">
        <f t="shared" si="24"/>
        <v>0</v>
      </c>
      <c r="Y49" s="171">
        <f t="shared" si="24"/>
        <v>0</v>
      </c>
      <c r="Z49" s="171">
        <f t="shared" si="24"/>
        <v>14138664</v>
      </c>
    </row>
    <row r="50" spans="1:26" s="365" customFormat="1" x14ac:dyDescent="0.25">
      <c r="A50" s="810" t="s">
        <v>227</v>
      </c>
      <c r="B50" s="810"/>
      <c r="C50" s="810"/>
      <c r="D50" s="363" t="s">
        <v>405</v>
      </c>
      <c r="E50" s="364">
        <f>E19+E30+E40+E43+E49+E22+E45</f>
        <v>508059744</v>
      </c>
      <c r="F50" s="364">
        <f t="shared" ref="F50:M50" si="25">F19+F30+F40+F43+F49+F22+F45</f>
        <v>67033247</v>
      </c>
      <c r="G50" s="364">
        <f t="shared" si="25"/>
        <v>43786970</v>
      </c>
      <c r="H50" s="364">
        <f t="shared" si="25"/>
        <v>110274054</v>
      </c>
      <c r="I50" s="364">
        <f t="shared" si="25"/>
        <v>1200</v>
      </c>
      <c r="J50" s="364">
        <f t="shared" si="25"/>
        <v>4028374</v>
      </c>
      <c r="K50" s="364">
        <f t="shared" si="25"/>
        <v>2952918</v>
      </c>
      <c r="L50" s="364">
        <f t="shared" si="25"/>
        <v>133663</v>
      </c>
      <c r="M50" s="364">
        <f t="shared" si="25"/>
        <v>736270170</v>
      </c>
      <c r="N50" s="364">
        <f t="shared" ref="N50:Z50" si="26">N19+N30+N40+N43+N49+N22+N45</f>
        <v>3712778</v>
      </c>
      <c r="O50" s="364">
        <f t="shared" si="26"/>
        <v>606700</v>
      </c>
      <c r="P50" s="364">
        <f t="shared" si="26"/>
        <v>772502</v>
      </c>
      <c r="Q50" s="364">
        <f t="shared" si="26"/>
        <v>-237908</v>
      </c>
      <c r="R50" s="364">
        <f t="shared" si="26"/>
        <v>2000000</v>
      </c>
      <c r="S50" s="364">
        <f t="shared" si="26"/>
        <v>0</v>
      </c>
      <c r="T50" s="364">
        <f t="shared" si="26"/>
        <v>104926</v>
      </c>
      <c r="U50" s="364">
        <f t="shared" si="26"/>
        <v>1143920</v>
      </c>
      <c r="V50" s="364">
        <f t="shared" si="26"/>
        <v>8102918</v>
      </c>
      <c r="W50" s="364">
        <f t="shared" si="26"/>
        <v>0</v>
      </c>
      <c r="X50" s="364">
        <f t="shared" si="26"/>
        <v>0</v>
      </c>
      <c r="Y50" s="364">
        <f t="shared" si="26"/>
        <v>0</v>
      </c>
      <c r="Z50" s="364">
        <f t="shared" si="26"/>
        <v>744373088</v>
      </c>
    </row>
    <row r="51" spans="1:26" ht="26.4" x14ac:dyDescent="0.25">
      <c r="A51" s="366"/>
      <c r="B51" s="362"/>
      <c r="C51" s="152" t="s">
        <v>289</v>
      </c>
      <c r="D51" s="152" t="s">
        <v>406</v>
      </c>
      <c r="E51" s="153">
        <v>400000000</v>
      </c>
      <c r="F51" s="153">
        <v>0</v>
      </c>
      <c r="G51" s="153"/>
      <c r="H51" s="153">
        <v>-400000000</v>
      </c>
      <c r="I51" s="357">
        <v>0</v>
      </c>
      <c r="J51" s="357">
        <v>0</v>
      </c>
      <c r="K51" s="357"/>
      <c r="L51" s="357"/>
      <c r="M51" s="153">
        <f t="shared" si="0"/>
        <v>0</v>
      </c>
      <c r="N51" s="357">
        <v>0</v>
      </c>
      <c r="O51" s="357">
        <v>0</v>
      </c>
      <c r="P51" s="357"/>
      <c r="Q51" s="357"/>
      <c r="R51" s="357">
        <v>0</v>
      </c>
      <c r="S51" s="357">
        <v>0</v>
      </c>
      <c r="T51" s="357"/>
      <c r="U51" s="357"/>
      <c r="V51" s="357">
        <f t="shared" si="1"/>
        <v>0</v>
      </c>
      <c r="W51" s="357">
        <v>0</v>
      </c>
      <c r="X51" s="357">
        <v>0</v>
      </c>
      <c r="Y51" s="357">
        <f>SUM(W51:X51)</f>
        <v>0</v>
      </c>
      <c r="Z51" s="153">
        <f t="shared" ref="Z51:Z58" si="27">M51+V51+Y51</f>
        <v>0</v>
      </c>
    </row>
    <row r="52" spans="1:26" x14ac:dyDescent="0.25">
      <c r="A52" s="366"/>
      <c r="B52" s="781" t="s">
        <v>290</v>
      </c>
      <c r="C52" s="781"/>
      <c r="D52" s="317" t="s">
        <v>407</v>
      </c>
      <c r="E52" s="171">
        <f t="shared" ref="E52:Z52" si="28">SUM(E51)</f>
        <v>400000000</v>
      </c>
      <c r="F52" s="171">
        <f t="shared" si="28"/>
        <v>0</v>
      </c>
      <c r="G52" s="171">
        <f t="shared" si="28"/>
        <v>0</v>
      </c>
      <c r="H52" s="171">
        <f t="shared" si="28"/>
        <v>-400000000</v>
      </c>
      <c r="I52" s="171">
        <f t="shared" si="28"/>
        <v>0</v>
      </c>
      <c r="J52" s="171">
        <f t="shared" si="28"/>
        <v>0</v>
      </c>
      <c r="K52" s="171">
        <f t="shared" si="28"/>
        <v>0</v>
      </c>
      <c r="L52" s="171">
        <f t="shared" si="28"/>
        <v>0</v>
      </c>
      <c r="M52" s="171">
        <f t="shared" si="28"/>
        <v>0</v>
      </c>
      <c r="N52" s="171">
        <f t="shared" si="28"/>
        <v>0</v>
      </c>
      <c r="O52" s="171">
        <f t="shared" si="28"/>
        <v>0</v>
      </c>
      <c r="P52" s="171">
        <f t="shared" si="28"/>
        <v>0</v>
      </c>
      <c r="Q52" s="171">
        <f t="shared" si="28"/>
        <v>0</v>
      </c>
      <c r="R52" s="171">
        <f t="shared" si="28"/>
        <v>0</v>
      </c>
      <c r="S52" s="171">
        <f t="shared" si="28"/>
        <v>0</v>
      </c>
      <c r="T52" s="171">
        <f t="shared" si="28"/>
        <v>0</v>
      </c>
      <c r="U52" s="171">
        <f t="shared" si="28"/>
        <v>0</v>
      </c>
      <c r="V52" s="171">
        <f t="shared" si="28"/>
        <v>0</v>
      </c>
      <c r="W52" s="171">
        <f t="shared" si="28"/>
        <v>0</v>
      </c>
      <c r="X52" s="171">
        <f t="shared" si="28"/>
        <v>0</v>
      </c>
      <c r="Y52" s="171">
        <f t="shared" si="28"/>
        <v>0</v>
      </c>
      <c r="Z52" s="171">
        <f t="shared" si="28"/>
        <v>0</v>
      </c>
    </row>
    <row r="53" spans="1:26" x14ac:dyDescent="0.25">
      <c r="A53" s="815" t="s">
        <v>52</v>
      </c>
      <c r="B53" s="362"/>
      <c r="C53" s="152" t="s">
        <v>255</v>
      </c>
      <c r="D53" s="152" t="s">
        <v>408</v>
      </c>
      <c r="E53" s="153">
        <v>131883904</v>
      </c>
      <c r="F53" s="153"/>
      <c r="G53" s="153"/>
      <c r="H53" s="153">
        <v>-65000000</v>
      </c>
      <c r="I53" s="357">
        <v>0</v>
      </c>
      <c r="J53" s="357">
        <v>0</v>
      </c>
      <c r="K53" s="357"/>
      <c r="L53" s="357"/>
      <c r="M53" s="153">
        <f t="shared" si="0"/>
        <v>66883904</v>
      </c>
      <c r="N53" s="357">
        <v>0</v>
      </c>
      <c r="O53" s="357">
        <v>0</v>
      </c>
      <c r="P53" s="357"/>
      <c r="Q53" s="357"/>
      <c r="R53" s="357">
        <v>0</v>
      </c>
      <c r="S53" s="357">
        <v>0</v>
      </c>
      <c r="T53" s="357"/>
      <c r="U53" s="357"/>
      <c r="V53" s="153">
        <f t="shared" si="1"/>
        <v>0</v>
      </c>
      <c r="W53" s="357">
        <v>0</v>
      </c>
      <c r="X53" s="357">
        <v>0</v>
      </c>
      <c r="Y53" s="357">
        <f>SUM(W53:X53)</f>
        <v>0</v>
      </c>
      <c r="Z53" s="153">
        <f t="shared" si="27"/>
        <v>66883904</v>
      </c>
    </row>
    <row r="54" spans="1:26" x14ac:dyDescent="0.25">
      <c r="A54" s="815"/>
      <c r="B54" s="781" t="s">
        <v>254</v>
      </c>
      <c r="C54" s="781"/>
      <c r="D54" s="317" t="s">
        <v>481</v>
      </c>
      <c r="E54" s="171">
        <f t="shared" ref="E54:Z54" si="29">SUM(E53)</f>
        <v>131883904</v>
      </c>
      <c r="F54" s="171">
        <f t="shared" si="29"/>
        <v>0</v>
      </c>
      <c r="G54" s="171">
        <f t="shared" si="29"/>
        <v>0</v>
      </c>
      <c r="H54" s="171">
        <f t="shared" si="29"/>
        <v>-65000000</v>
      </c>
      <c r="I54" s="171">
        <f t="shared" si="29"/>
        <v>0</v>
      </c>
      <c r="J54" s="171">
        <f t="shared" si="29"/>
        <v>0</v>
      </c>
      <c r="K54" s="171">
        <f t="shared" si="29"/>
        <v>0</v>
      </c>
      <c r="L54" s="171">
        <f t="shared" si="29"/>
        <v>0</v>
      </c>
      <c r="M54" s="171">
        <f t="shared" si="29"/>
        <v>66883904</v>
      </c>
      <c r="N54" s="171">
        <f t="shared" si="29"/>
        <v>0</v>
      </c>
      <c r="O54" s="171">
        <f t="shared" si="29"/>
        <v>0</v>
      </c>
      <c r="P54" s="171"/>
      <c r="Q54" s="171"/>
      <c r="R54" s="171">
        <f t="shared" si="29"/>
        <v>0</v>
      </c>
      <c r="S54" s="171">
        <f t="shared" si="29"/>
        <v>0</v>
      </c>
      <c r="T54" s="171"/>
      <c r="U54" s="171"/>
      <c r="V54" s="171">
        <f t="shared" si="1"/>
        <v>0</v>
      </c>
      <c r="W54" s="171">
        <f t="shared" si="29"/>
        <v>0</v>
      </c>
      <c r="X54" s="171">
        <f t="shared" si="29"/>
        <v>0</v>
      </c>
      <c r="Y54" s="171">
        <f t="shared" si="29"/>
        <v>0</v>
      </c>
      <c r="Z54" s="171">
        <f t="shared" si="29"/>
        <v>66883904</v>
      </c>
    </row>
    <row r="55" spans="1:26" x14ac:dyDescent="0.25">
      <c r="A55" s="815" t="s">
        <v>54</v>
      </c>
      <c r="B55" s="362"/>
      <c r="C55" s="152" t="s">
        <v>283</v>
      </c>
      <c r="D55" s="152" t="s">
        <v>482</v>
      </c>
      <c r="E55" s="153">
        <v>47915639</v>
      </c>
      <c r="F55" s="153"/>
      <c r="G55" s="153"/>
      <c r="H55" s="153">
        <v>0</v>
      </c>
      <c r="I55" s="153">
        <v>357716</v>
      </c>
      <c r="J55" s="153">
        <v>0</v>
      </c>
      <c r="K55" s="153"/>
      <c r="L55" s="153"/>
      <c r="M55" s="153">
        <f t="shared" si="0"/>
        <v>48273355</v>
      </c>
      <c r="N55" s="357">
        <v>0</v>
      </c>
      <c r="O55" s="357">
        <v>0</v>
      </c>
      <c r="P55" s="357"/>
      <c r="Q55" s="357"/>
      <c r="R55" s="357">
        <v>0</v>
      </c>
      <c r="S55" s="357">
        <v>0</v>
      </c>
      <c r="T55" s="357"/>
      <c r="U55" s="357"/>
      <c r="V55" s="153">
        <f t="shared" si="1"/>
        <v>0</v>
      </c>
      <c r="W55" s="357">
        <v>0</v>
      </c>
      <c r="X55" s="357">
        <v>0</v>
      </c>
      <c r="Y55" s="357">
        <f>SUM(W55:X55)</f>
        <v>0</v>
      </c>
      <c r="Z55" s="153">
        <f t="shared" si="27"/>
        <v>48273355</v>
      </c>
    </row>
    <row r="56" spans="1:26" x14ac:dyDescent="0.25">
      <c r="A56" s="815"/>
      <c r="B56" s="781" t="s">
        <v>256</v>
      </c>
      <c r="C56" s="781"/>
      <c r="D56" s="317" t="s">
        <v>483</v>
      </c>
      <c r="E56" s="171">
        <f t="shared" ref="E56:Y56" si="30">SUM(E55)</f>
        <v>47915639</v>
      </c>
      <c r="F56" s="171">
        <f t="shared" si="30"/>
        <v>0</v>
      </c>
      <c r="G56" s="171">
        <f t="shared" si="30"/>
        <v>0</v>
      </c>
      <c r="H56" s="171">
        <f t="shared" si="30"/>
        <v>0</v>
      </c>
      <c r="I56" s="171">
        <f t="shared" si="30"/>
        <v>357716</v>
      </c>
      <c r="J56" s="171">
        <f t="shared" si="30"/>
        <v>0</v>
      </c>
      <c r="K56" s="171">
        <f t="shared" si="30"/>
        <v>0</v>
      </c>
      <c r="L56" s="171">
        <f t="shared" si="30"/>
        <v>0</v>
      </c>
      <c r="M56" s="171">
        <f t="shared" si="30"/>
        <v>48273355</v>
      </c>
      <c r="N56" s="171">
        <f t="shared" si="30"/>
        <v>0</v>
      </c>
      <c r="O56" s="171">
        <f t="shared" si="30"/>
        <v>0</v>
      </c>
      <c r="P56" s="171"/>
      <c r="Q56" s="171"/>
      <c r="R56" s="171">
        <f t="shared" si="30"/>
        <v>0</v>
      </c>
      <c r="S56" s="171">
        <f t="shared" si="30"/>
        <v>0</v>
      </c>
      <c r="T56" s="171"/>
      <c r="U56" s="171"/>
      <c r="V56" s="171">
        <f t="shared" si="1"/>
        <v>0</v>
      </c>
      <c r="W56" s="171">
        <f t="shared" si="30"/>
        <v>0</v>
      </c>
      <c r="X56" s="171">
        <f t="shared" si="30"/>
        <v>0</v>
      </c>
      <c r="Y56" s="171">
        <f t="shared" si="30"/>
        <v>0</v>
      </c>
      <c r="Z56" s="171">
        <f>SUM(Z55)</f>
        <v>48273355</v>
      </c>
    </row>
    <row r="57" spans="1:26" x14ac:dyDescent="0.25">
      <c r="A57" s="816" t="s">
        <v>55</v>
      </c>
      <c r="B57" s="362"/>
      <c r="C57" s="152" t="s">
        <v>286</v>
      </c>
      <c r="D57" s="152" t="s">
        <v>409</v>
      </c>
      <c r="E57" s="357">
        <v>0</v>
      </c>
      <c r="F57" s="357"/>
      <c r="G57" s="357"/>
      <c r="H57" s="357">
        <v>0</v>
      </c>
      <c r="I57" s="153">
        <v>102023405</v>
      </c>
      <c r="J57" s="153">
        <v>997200</v>
      </c>
      <c r="K57" s="153">
        <v>1595599</v>
      </c>
      <c r="L57" s="153">
        <v>779440</v>
      </c>
      <c r="M57" s="153">
        <f t="shared" si="0"/>
        <v>105395644</v>
      </c>
      <c r="N57" s="357">
        <v>0</v>
      </c>
      <c r="O57" s="357">
        <v>0</v>
      </c>
      <c r="P57" s="357"/>
      <c r="Q57" s="357"/>
      <c r="R57" s="357">
        <v>0</v>
      </c>
      <c r="S57" s="357">
        <v>0</v>
      </c>
      <c r="T57" s="357"/>
      <c r="U57" s="357"/>
      <c r="V57" s="153">
        <f t="shared" si="1"/>
        <v>0</v>
      </c>
      <c r="W57" s="357">
        <v>0</v>
      </c>
      <c r="X57" s="357">
        <v>0</v>
      </c>
      <c r="Y57" s="357">
        <f>SUM(W57:X57)</f>
        <v>0</v>
      </c>
      <c r="Z57" s="153">
        <f t="shared" si="27"/>
        <v>105395644</v>
      </c>
    </row>
    <row r="58" spans="1:26" x14ac:dyDescent="0.25">
      <c r="A58" s="817"/>
      <c r="B58" s="362"/>
      <c r="C58" s="152" t="s">
        <v>457</v>
      </c>
      <c r="D58" s="152" t="s">
        <v>466</v>
      </c>
      <c r="E58" s="357"/>
      <c r="F58" s="357"/>
      <c r="G58" s="357"/>
      <c r="H58" s="357">
        <v>11319727</v>
      </c>
      <c r="I58" s="153"/>
      <c r="J58" s="153"/>
      <c r="K58" s="153"/>
      <c r="L58" s="153"/>
      <c r="M58" s="153">
        <f t="shared" si="0"/>
        <v>11319727</v>
      </c>
      <c r="N58" s="357"/>
      <c r="O58" s="357"/>
      <c r="P58" s="357"/>
      <c r="Q58" s="357"/>
      <c r="R58" s="357"/>
      <c r="S58" s="357"/>
      <c r="T58" s="357"/>
      <c r="U58" s="357"/>
      <c r="V58" s="153">
        <f t="shared" si="1"/>
        <v>0</v>
      </c>
      <c r="W58" s="357"/>
      <c r="X58" s="357"/>
      <c r="Y58" s="357"/>
      <c r="Z58" s="153">
        <f t="shared" si="27"/>
        <v>11319727</v>
      </c>
    </row>
    <row r="59" spans="1:26" x14ac:dyDescent="0.25">
      <c r="A59" s="818"/>
      <c r="B59" s="781" t="s">
        <v>287</v>
      </c>
      <c r="C59" s="781"/>
      <c r="D59" s="317" t="s">
        <v>410</v>
      </c>
      <c r="E59" s="171">
        <f t="shared" ref="E59:Y59" si="31">SUM(E57)</f>
        <v>0</v>
      </c>
      <c r="F59" s="171">
        <f t="shared" si="31"/>
        <v>0</v>
      </c>
      <c r="G59" s="171">
        <f t="shared" si="31"/>
        <v>0</v>
      </c>
      <c r="H59" s="171">
        <f t="shared" si="31"/>
        <v>0</v>
      </c>
      <c r="I59" s="171">
        <f t="shared" si="31"/>
        <v>102023405</v>
      </c>
      <c r="J59" s="171">
        <f t="shared" si="31"/>
        <v>997200</v>
      </c>
      <c r="K59" s="171">
        <f t="shared" si="31"/>
        <v>1595599</v>
      </c>
      <c r="L59" s="171">
        <f t="shared" si="31"/>
        <v>779440</v>
      </c>
      <c r="M59" s="171">
        <f t="shared" si="31"/>
        <v>105395644</v>
      </c>
      <c r="N59" s="171">
        <f t="shared" si="31"/>
        <v>0</v>
      </c>
      <c r="O59" s="171">
        <f t="shared" si="31"/>
        <v>0</v>
      </c>
      <c r="P59" s="171"/>
      <c r="Q59" s="171"/>
      <c r="R59" s="171">
        <f t="shared" si="31"/>
        <v>0</v>
      </c>
      <c r="S59" s="171">
        <f t="shared" si="31"/>
        <v>0</v>
      </c>
      <c r="T59" s="171"/>
      <c r="U59" s="171"/>
      <c r="V59" s="171">
        <f t="shared" si="1"/>
        <v>0</v>
      </c>
      <c r="W59" s="171">
        <f t="shared" si="31"/>
        <v>0</v>
      </c>
      <c r="X59" s="171">
        <f t="shared" si="31"/>
        <v>0</v>
      </c>
      <c r="Y59" s="171">
        <f t="shared" si="31"/>
        <v>0</v>
      </c>
      <c r="Z59" s="171">
        <f>SUM(Z57:Z58)</f>
        <v>116715371</v>
      </c>
    </row>
    <row r="60" spans="1:26" s="360" customFormat="1" x14ac:dyDescent="0.25">
      <c r="A60" s="810" t="s">
        <v>257</v>
      </c>
      <c r="B60" s="810"/>
      <c r="C60" s="810"/>
      <c r="D60" s="363" t="s">
        <v>411</v>
      </c>
      <c r="E60" s="364">
        <f>E54+E56+E59+E52</f>
        <v>579799543</v>
      </c>
      <c r="F60" s="364">
        <f t="shared" ref="F60:L60" si="32">F54+F56+F59+F52</f>
        <v>0</v>
      </c>
      <c r="G60" s="364">
        <f t="shared" si="32"/>
        <v>0</v>
      </c>
      <c r="H60" s="364">
        <f t="shared" si="32"/>
        <v>-465000000</v>
      </c>
      <c r="I60" s="364">
        <f t="shared" si="32"/>
        <v>102381121</v>
      </c>
      <c r="J60" s="364">
        <f t="shared" si="32"/>
        <v>997200</v>
      </c>
      <c r="K60" s="364">
        <f t="shared" si="32"/>
        <v>1595599</v>
      </c>
      <c r="L60" s="364">
        <f t="shared" si="32"/>
        <v>779440</v>
      </c>
      <c r="M60" s="364">
        <f>M54+M56+M59+M52</f>
        <v>220552903</v>
      </c>
      <c r="N60" s="364">
        <f t="shared" ref="N60:Z60" si="33">N54+N56+N59+N52</f>
        <v>0</v>
      </c>
      <c r="O60" s="364">
        <f t="shared" si="33"/>
        <v>0</v>
      </c>
      <c r="P60" s="364">
        <f t="shared" si="33"/>
        <v>0</v>
      </c>
      <c r="Q60" s="364">
        <f t="shared" si="33"/>
        <v>0</v>
      </c>
      <c r="R60" s="364">
        <f t="shared" si="33"/>
        <v>0</v>
      </c>
      <c r="S60" s="364">
        <f t="shared" si="33"/>
        <v>0</v>
      </c>
      <c r="T60" s="364">
        <f t="shared" si="33"/>
        <v>0</v>
      </c>
      <c r="U60" s="364">
        <f t="shared" si="33"/>
        <v>0</v>
      </c>
      <c r="V60" s="364">
        <f t="shared" si="33"/>
        <v>0</v>
      </c>
      <c r="W60" s="364">
        <f t="shared" si="33"/>
        <v>0</v>
      </c>
      <c r="X60" s="364">
        <f t="shared" si="33"/>
        <v>0</v>
      </c>
      <c r="Y60" s="364">
        <f t="shared" si="33"/>
        <v>0</v>
      </c>
      <c r="Z60" s="364">
        <f t="shared" si="33"/>
        <v>231872630</v>
      </c>
    </row>
    <row r="61" spans="1:26" s="148" customFormat="1" x14ac:dyDescent="0.25">
      <c r="A61" s="811" t="s">
        <v>258</v>
      </c>
      <c r="B61" s="811"/>
      <c r="C61" s="811"/>
      <c r="D61" s="367"/>
      <c r="E61" s="368">
        <f t="shared" ref="E61:Z61" si="34">E50+E60</f>
        <v>1087859287</v>
      </c>
      <c r="F61" s="368">
        <f t="shared" si="34"/>
        <v>67033247</v>
      </c>
      <c r="G61" s="368">
        <f t="shared" si="34"/>
        <v>43786970</v>
      </c>
      <c r="H61" s="368">
        <f t="shared" si="34"/>
        <v>-354725946</v>
      </c>
      <c r="I61" s="368">
        <f t="shared" si="34"/>
        <v>102382321</v>
      </c>
      <c r="J61" s="368">
        <f t="shared" si="34"/>
        <v>5025574</v>
      </c>
      <c r="K61" s="368">
        <f t="shared" si="34"/>
        <v>4548517</v>
      </c>
      <c r="L61" s="368">
        <f t="shared" si="34"/>
        <v>913103</v>
      </c>
      <c r="M61" s="368">
        <f t="shared" si="34"/>
        <v>956823073</v>
      </c>
      <c r="N61" s="368">
        <f t="shared" si="34"/>
        <v>3712778</v>
      </c>
      <c r="O61" s="368">
        <f t="shared" si="34"/>
        <v>606700</v>
      </c>
      <c r="P61" s="368">
        <f t="shared" si="34"/>
        <v>772502</v>
      </c>
      <c r="Q61" s="368">
        <f t="shared" si="34"/>
        <v>-237908</v>
      </c>
      <c r="R61" s="368">
        <f t="shared" si="34"/>
        <v>2000000</v>
      </c>
      <c r="S61" s="368">
        <f t="shared" si="34"/>
        <v>0</v>
      </c>
      <c r="T61" s="368">
        <f t="shared" si="34"/>
        <v>104926</v>
      </c>
      <c r="U61" s="368">
        <f t="shared" si="34"/>
        <v>1143920</v>
      </c>
      <c r="V61" s="368">
        <f t="shared" si="34"/>
        <v>8102918</v>
      </c>
      <c r="W61" s="368">
        <f t="shared" si="34"/>
        <v>0</v>
      </c>
      <c r="X61" s="368">
        <f t="shared" si="34"/>
        <v>0</v>
      </c>
      <c r="Y61" s="368">
        <f t="shared" si="34"/>
        <v>0</v>
      </c>
      <c r="Z61" s="368">
        <f t="shared" si="34"/>
        <v>976245718</v>
      </c>
    </row>
  </sheetData>
  <mergeCells count="39">
    <mergeCell ref="B49:C49"/>
    <mergeCell ref="A1:Z1"/>
    <mergeCell ref="A2:Z2"/>
    <mergeCell ref="A3:C5"/>
    <mergeCell ref="D3:D5"/>
    <mergeCell ref="E3:Z3"/>
    <mergeCell ref="W4:X4"/>
    <mergeCell ref="E4:M4"/>
    <mergeCell ref="N4:V4"/>
    <mergeCell ref="Y4:Y5"/>
    <mergeCell ref="Z4:Z5"/>
    <mergeCell ref="A31:A40"/>
    <mergeCell ref="B40:C40"/>
    <mergeCell ref="A6:A19"/>
    <mergeCell ref="B12:C12"/>
    <mergeCell ref="B18:C18"/>
    <mergeCell ref="B19:C19"/>
    <mergeCell ref="A24:A30"/>
    <mergeCell ref="B24:C24"/>
    <mergeCell ref="B28:C28"/>
    <mergeCell ref="B29:C29"/>
    <mergeCell ref="B30:C30"/>
    <mergeCell ref="B23:C23"/>
    <mergeCell ref="A60:C60"/>
    <mergeCell ref="A61:C61"/>
    <mergeCell ref="B45:C45"/>
    <mergeCell ref="B21:C21"/>
    <mergeCell ref="B22:C22"/>
    <mergeCell ref="A53:A54"/>
    <mergeCell ref="B54:C54"/>
    <mergeCell ref="A55:A56"/>
    <mergeCell ref="B56:C56"/>
    <mergeCell ref="A57:A59"/>
    <mergeCell ref="B59:C59"/>
    <mergeCell ref="A41:A43"/>
    <mergeCell ref="B43:C43"/>
    <mergeCell ref="A47:A49"/>
    <mergeCell ref="A50:C50"/>
    <mergeCell ref="B52:C5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&amp;R1.1.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Y32"/>
  <sheetViews>
    <sheetView zoomScale="80" zoomScaleNormal="80" zoomScaleSheetLayoutView="90" workbookViewId="0">
      <pane xSplit="1" topLeftCell="D1" activePane="topRight" state="frozen"/>
      <selection pane="topRight" activeCell="J38" sqref="J38"/>
    </sheetView>
  </sheetViews>
  <sheetFormatPr defaultRowHeight="13.2" x14ac:dyDescent="0.25"/>
  <cols>
    <col min="1" max="1" width="4.33203125" customWidth="1"/>
    <col min="2" max="2" width="2.88671875" customWidth="1"/>
    <col min="3" max="3" width="54.5546875" customWidth="1"/>
    <col min="4" max="4" width="7" bestFit="1" customWidth="1"/>
    <col min="5" max="5" width="13.5546875" bestFit="1" customWidth="1"/>
    <col min="6" max="6" width="12.5546875" customWidth="1"/>
    <col min="7" max="8" width="14" customWidth="1"/>
    <col min="9" max="9" width="13.5546875" bestFit="1" customWidth="1"/>
    <col min="10" max="10" width="17" customWidth="1"/>
    <col min="11" max="11" width="14.5546875" style="172" bestFit="1" customWidth="1"/>
    <col min="12" max="16" width="14.5546875" style="172" customWidth="1"/>
    <col min="17" max="22" width="14" customWidth="1"/>
    <col min="24" max="25" width="12.6640625" style="147" bestFit="1" customWidth="1"/>
  </cols>
  <sheetData>
    <row r="1" spans="1:25" ht="21.75" customHeight="1" x14ac:dyDescent="0.25">
      <c r="A1" s="782" t="s">
        <v>458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</row>
    <row r="2" spans="1:25" ht="28.5" customHeight="1" x14ac:dyDescent="0.25">
      <c r="A2" s="783" t="s">
        <v>109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</row>
    <row r="3" spans="1:25" ht="36.75" customHeight="1" x14ac:dyDescent="0.25">
      <c r="A3" s="789" t="s">
        <v>41</v>
      </c>
      <c r="B3" s="790"/>
      <c r="C3" s="791"/>
      <c r="D3" s="795" t="s">
        <v>374</v>
      </c>
      <c r="E3" s="784" t="s">
        <v>208</v>
      </c>
      <c r="F3" s="785"/>
      <c r="G3" s="785"/>
      <c r="H3" s="785"/>
      <c r="I3" s="785"/>
      <c r="J3" s="785"/>
      <c r="K3" s="786" t="s">
        <v>95</v>
      </c>
      <c r="L3" s="785"/>
      <c r="M3" s="785"/>
      <c r="N3" s="785"/>
      <c r="O3" s="785"/>
      <c r="P3" s="787"/>
      <c r="Q3" s="785" t="s">
        <v>376</v>
      </c>
      <c r="R3" s="785"/>
      <c r="S3" s="785"/>
      <c r="T3" s="785"/>
      <c r="U3" s="785"/>
      <c r="V3" s="788"/>
    </row>
    <row r="4" spans="1:25" ht="30" customHeight="1" x14ac:dyDescent="0.25">
      <c r="A4" s="792"/>
      <c r="B4" s="793"/>
      <c r="C4" s="794"/>
      <c r="D4" s="796"/>
      <c r="E4" s="321" t="s">
        <v>445</v>
      </c>
      <c r="F4" s="157" t="s">
        <v>348</v>
      </c>
      <c r="G4" s="157" t="s">
        <v>446</v>
      </c>
      <c r="H4" s="157" t="s">
        <v>455</v>
      </c>
      <c r="I4" s="157" t="s">
        <v>349</v>
      </c>
      <c r="J4" s="388" t="s">
        <v>350</v>
      </c>
      <c r="K4" s="321" t="s">
        <v>445</v>
      </c>
      <c r="L4" s="157" t="s">
        <v>348</v>
      </c>
      <c r="M4" s="157" t="s">
        <v>446</v>
      </c>
      <c r="N4" s="157" t="s">
        <v>455</v>
      </c>
      <c r="O4" s="157" t="s">
        <v>349</v>
      </c>
      <c r="P4" s="388" t="s">
        <v>350</v>
      </c>
      <c r="Q4" s="321" t="s">
        <v>362</v>
      </c>
      <c r="R4" s="157" t="s">
        <v>348</v>
      </c>
      <c r="S4" s="157" t="s">
        <v>446</v>
      </c>
      <c r="T4" s="157" t="s">
        <v>455</v>
      </c>
      <c r="U4" s="389" t="s">
        <v>349</v>
      </c>
      <c r="V4" s="157" t="s">
        <v>350</v>
      </c>
    </row>
    <row r="5" spans="1:25" s="414" customFormat="1" ht="16.5" customHeight="1" x14ac:dyDescent="0.25">
      <c r="A5" s="846" t="s">
        <v>42</v>
      </c>
      <c r="B5" s="151"/>
      <c r="C5" s="152" t="s">
        <v>260</v>
      </c>
      <c r="D5" s="152" t="s">
        <v>412</v>
      </c>
      <c r="E5" s="153">
        <v>29673740</v>
      </c>
      <c r="F5" s="153">
        <v>0</v>
      </c>
      <c r="G5" s="153">
        <v>0</v>
      </c>
      <c r="H5" s="153">
        <f>I5-E5-F5-G5</f>
        <v>-1856887</v>
      </c>
      <c r="I5" s="390">
        <v>27816853</v>
      </c>
      <c r="J5" s="433">
        <v>27816853</v>
      </c>
      <c r="K5" s="434">
        <v>78449844</v>
      </c>
      <c r="L5" s="153">
        <v>278300</v>
      </c>
      <c r="M5" s="153">
        <v>850027</v>
      </c>
      <c r="N5" s="153">
        <f>O5-K5-L5-M5</f>
        <v>-223142</v>
      </c>
      <c r="O5" s="390">
        <v>79355029</v>
      </c>
      <c r="P5" s="433">
        <v>78215699</v>
      </c>
      <c r="Q5" s="435">
        <f t="shared" ref="Q5:Q26" si="0">E5+K5</f>
        <v>108123584</v>
      </c>
      <c r="R5" s="153">
        <v>278300</v>
      </c>
      <c r="S5" s="153">
        <v>850027</v>
      </c>
      <c r="T5" s="153">
        <f>N5+H5</f>
        <v>-2080029</v>
      </c>
      <c r="U5" s="390">
        <f t="shared" ref="U5:U26" si="1">I5+O5</f>
        <v>107171882</v>
      </c>
      <c r="V5" s="390">
        <f t="shared" ref="V5:V26" si="2">J5+P5</f>
        <v>106032552</v>
      </c>
      <c r="X5" s="147"/>
      <c r="Y5" s="436"/>
    </row>
    <row r="6" spans="1:25" s="414" customFormat="1" ht="16.5" customHeight="1" x14ac:dyDescent="0.25">
      <c r="A6" s="846"/>
      <c r="B6" s="151"/>
      <c r="C6" s="152" t="s">
        <v>261</v>
      </c>
      <c r="D6" s="152" t="s">
        <v>413</v>
      </c>
      <c r="E6" s="153">
        <v>14761386</v>
      </c>
      <c r="F6" s="153">
        <v>-883682</v>
      </c>
      <c r="G6" s="153">
        <v>-1129794</v>
      </c>
      <c r="H6" s="153">
        <f t="shared" ref="H6:H31" si="3">I6-E6-F6-G6</f>
        <v>1411754</v>
      </c>
      <c r="I6" s="390">
        <v>14159664</v>
      </c>
      <c r="J6" s="433">
        <v>14159664</v>
      </c>
      <c r="K6" s="434">
        <v>100000</v>
      </c>
      <c r="L6" s="153">
        <v>1921968</v>
      </c>
      <c r="M6" s="153">
        <v>2174421</v>
      </c>
      <c r="N6" s="153">
        <f t="shared" ref="N6:N31" si="4">O6-K6-L6-M6</f>
        <v>1101444</v>
      </c>
      <c r="O6" s="390">
        <v>5297833</v>
      </c>
      <c r="P6" s="433">
        <v>5088388</v>
      </c>
      <c r="Q6" s="435">
        <f t="shared" si="0"/>
        <v>14861386</v>
      </c>
      <c r="R6" s="153">
        <v>1038286</v>
      </c>
      <c r="S6" s="153">
        <v>1044627</v>
      </c>
      <c r="T6" s="153">
        <f t="shared" ref="T6:T31" si="5">N6+H6</f>
        <v>2513198</v>
      </c>
      <c r="U6" s="390">
        <f t="shared" si="1"/>
        <v>19457497</v>
      </c>
      <c r="V6" s="390">
        <f t="shared" si="2"/>
        <v>19248052</v>
      </c>
      <c r="X6" s="147"/>
      <c r="Y6" s="436"/>
    </row>
    <row r="7" spans="1:25" s="150" customFormat="1" ht="21.75" customHeight="1" x14ac:dyDescent="0.25">
      <c r="A7" s="846"/>
      <c r="B7" s="797" t="s">
        <v>259</v>
      </c>
      <c r="C7" s="797"/>
      <c r="D7" s="621" t="s">
        <v>414</v>
      </c>
      <c r="E7" s="170">
        <f>SUM(E5:E6)</f>
        <v>44435126</v>
      </c>
      <c r="F7" s="170">
        <f t="shared" ref="F7:G7" si="6">SUM(F5:F6)</f>
        <v>-883682</v>
      </c>
      <c r="G7" s="170">
        <f t="shared" si="6"/>
        <v>-1129794</v>
      </c>
      <c r="H7" s="170">
        <f t="shared" si="3"/>
        <v>-445133</v>
      </c>
      <c r="I7" s="402">
        <f t="shared" ref="I7:J7" si="7">SUM(I5:I6)</f>
        <v>41976517</v>
      </c>
      <c r="J7" s="437">
        <f t="shared" si="7"/>
        <v>41976517</v>
      </c>
      <c r="K7" s="438">
        <f>SUM(K5:K6)</f>
        <v>78549844</v>
      </c>
      <c r="L7" s="170">
        <v>2200268</v>
      </c>
      <c r="M7" s="170">
        <v>3024448</v>
      </c>
      <c r="N7" s="170">
        <f t="shared" si="4"/>
        <v>878302</v>
      </c>
      <c r="O7" s="402">
        <f t="shared" ref="O7:P7" si="8">SUM(O5:O6)</f>
        <v>84652862</v>
      </c>
      <c r="P7" s="437">
        <f t="shared" si="8"/>
        <v>83304087</v>
      </c>
      <c r="Q7" s="439">
        <f t="shared" si="0"/>
        <v>122984970</v>
      </c>
      <c r="R7" s="170">
        <v>1316586</v>
      </c>
      <c r="S7" s="170">
        <v>1894654</v>
      </c>
      <c r="T7" s="170">
        <f t="shared" si="5"/>
        <v>433169</v>
      </c>
      <c r="U7" s="402">
        <f t="shared" si="1"/>
        <v>126629379</v>
      </c>
      <c r="V7" s="402">
        <f t="shared" si="2"/>
        <v>125280604</v>
      </c>
      <c r="X7" s="147"/>
      <c r="Y7" s="179"/>
    </row>
    <row r="8" spans="1:25" s="150" customFormat="1" ht="22.5" customHeight="1" x14ac:dyDescent="0.25">
      <c r="A8" s="440" t="s">
        <v>43</v>
      </c>
      <c r="B8" s="797" t="s">
        <v>262</v>
      </c>
      <c r="C8" s="797"/>
      <c r="D8" s="621" t="s">
        <v>415</v>
      </c>
      <c r="E8" s="170">
        <v>8215177</v>
      </c>
      <c r="F8" s="170">
        <v>-172318</v>
      </c>
      <c r="G8" s="170">
        <v>-312228</v>
      </c>
      <c r="H8" s="170">
        <f t="shared" si="3"/>
        <v>-446594</v>
      </c>
      <c r="I8" s="402">
        <v>7284037</v>
      </c>
      <c r="J8" s="437">
        <v>7284037</v>
      </c>
      <c r="K8" s="438">
        <v>15474402</v>
      </c>
      <c r="L8" s="170">
        <v>332976</v>
      </c>
      <c r="M8" s="170">
        <v>648197</v>
      </c>
      <c r="N8" s="170">
        <f t="shared" si="4"/>
        <v>-151622</v>
      </c>
      <c r="O8" s="402">
        <v>16303953</v>
      </c>
      <c r="P8" s="437">
        <v>15621568</v>
      </c>
      <c r="Q8" s="439">
        <f t="shared" si="0"/>
        <v>23689579</v>
      </c>
      <c r="R8" s="170">
        <v>160658</v>
      </c>
      <c r="S8" s="170">
        <v>335969</v>
      </c>
      <c r="T8" s="170">
        <f t="shared" si="5"/>
        <v>-598216</v>
      </c>
      <c r="U8" s="402">
        <f t="shared" si="1"/>
        <v>23587990</v>
      </c>
      <c r="V8" s="402">
        <f t="shared" si="2"/>
        <v>22905605</v>
      </c>
      <c r="X8" s="179"/>
      <c r="Y8" s="179"/>
    </row>
    <row r="9" spans="1:25" s="414" customFormat="1" ht="13.5" customHeight="1" x14ac:dyDescent="0.25">
      <c r="A9" s="780" t="s">
        <v>44</v>
      </c>
      <c r="B9" s="151"/>
      <c r="C9" s="152" t="s">
        <v>263</v>
      </c>
      <c r="D9" s="152" t="s">
        <v>416</v>
      </c>
      <c r="E9" s="153">
        <v>7522671</v>
      </c>
      <c r="F9" s="153">
        <v>0</v>
      </c>
      <c r="G9" s="153">
        <v>309838</v>
      </c>
      <c r="H9" s="153">
        <f t="shared" si="3"/>
        <v>313656</v>
      </c>
      <c r="I9" s="390">
        <v>8146165</v>
      </c>
      <c r="J9" s="433">
        <v>8146165</v>
      </c>
      <c r="K9" s="434">
        <v>2040720</v>
      </c>
      <c r="L9" s="153">
        <v>6932</v>
      </c>
      <c r="M9" s="153">
        <v>705530</v>
      </c>
      <c r="N9" s="153">
        <f t="shared" si="4"/>
        <v>354535</v>
      </c>
      <c r="O9" s="390">
        <v>3107717</v>
      </c>
      <c r="P9" s="433">
        <v>3083094</v>
      </c>
      <c r="Q9" s="435">
        <f t="shared" si="0"/>
        <v>9563391</v>
      </c>
      <c r="R9" s="153">
        <v>6932</v>
      </c>
      <c r="S9" s="153">
        <v>1015368</v>
      </c>
      <c r="T9" s="153">
        <f t="shared" si="5"/>
        <v>668191</v>
      </c>
      <c r="U9" s="390">
        <f t="shared" si="1"/>
        <v>11253882</v>
      </c>
      <c r="V9" s="390">
        <f t="shared" si="2"/>
        <v>11229259</v>
      </c>
      <c r="X9" s="436"/>
      <c r="Y9" s="436"/>
    </row>
    <row r="10" spans="1:25" s="414" customFormat="1" ht="13.5" customHeight="1" x14ac:dyDescent="0.25">
      <c r="A10" s="780"/>
      <c r="B10" s="151"/>
      <c r="C10" s="303" t="s">
        <v>264</v>
      </c>
      <c r="D10" s="152" t="s">
        <v>417</v>
      </c>
      <c r="E10" s="153">
        <v>1650480</v>
      </c>
      <c r="F10" s="153">
        <v>0</v>
      </c>
      <c r="G10" s="153">
        <v>0</v>
      </c>
      <c r="H10" s="153">
        <f t="shared" si="3"/>
        <v>54564</v>
      </c>
      <c r="I10" s="390">
        <v>1705044</v>
      </c>
      <c r="J10" s="433">
        <v>1705044</v>
      </c>
      <c r="K10" s="434">
        <v>440000</v>
      </c>
      <c r="L10" s="153">
        <v>0</v>
      </c>
      <c r="M10" s="153">
        <v>-105000</v>
      </c>
      <c r="N10" s="153">
        <f t="shared" si="4"/>
        <v>-52160</v>
      </c>
      <c r="O10" s="390">
        <v>282840</v>
      </c>
      <c r="P10" s="433">
        <v>282840</v>
      </c>
      <c r="Q10" s="435">
        <f t="shared" si="0"/>
        <v>2090480</v>
      </c>
      <c r="R10" s="153">
        <v>0</v>
      </c>
      <c r="S10" s="153">
        <v>-105000</v>
      </c>
      <c r="T10" s="153">
        <f t="shared" si="5"/>
        <v>2404</v>
      </c>
      <c r="U10" s="390">
        <f t="shared" si="1"/>
        <v>1987884</v>
      </c>
      <c r="V10" s="390">
        <f t="shared" si="2"/>
        <v>1987884</v>
      </c>
      <c r="X10" s="436"/>
      <c r="Y10" s="436"/>
    </row>
    <row r="11" spans="1:25" s="414" customFormat="1" ht="13.5" customHeight="1" x14ac:dyDescent="0.25">
      <c r="A11" s="780"/>
      <c r="B11" s="151"/>
      <c r="C11" s="303" t="s">
        <v>265</v>
      </c>
      <c r="D11" s="152" t="s">
        <v>418</v>
      </c>
      <c r="E11" s="153">
        <v>54431630</v>
      </c>
      <c r="F11" s="153">
        <v>1415403</v>
      </c>
      <c r="G11" s="153">
        <v>870318</v>
      </c>
      <c r="H11" s="153">
        <f t="shared" si="3"/>
        <v>4224691</v>
      </c>
      <c r="I11" s="390">
        <v>60942042</v>
      </c>
      <c r="J11" s="433">
        <v>60942042</v>
      </c>
      <c r="K11" s="434">
        <v>4925300</v>
      </c>
      <c r="L11" s="153">
        <v>62400</v>
      </c>
      <c r="M11" s="153">
        <v>807986</v>
      </c>
      <c r="N11" s="153">
        <f t="shared" si="4"/>
        <v>-211495</v>
      </c>
      <c r="O11" s="390">
        <v>5584191</v>
      </c>
      <c r="P11" s="433">
        <v>5458003</v>
      </c>
      <c r="Q11" s="435">
        <f t="shared" si="0"/>
        <v>59356930</v>
      </c>
      <c r="R11" s="153">
        <v>1477803</v>
      </c>
      <c r="S11" s="153">
        <v>1678304</v>
      </c>
      <c r="T11" s="153">
        <f t="shared" si="5"/>
        <v>4013196</v>
      </c>
      <c r="U11" s="390">
        <f t="shared" si="1"/>
        <v>66526233</v>
      </c>
      <c r="V11" s="390">
        <f t="shared" si="2"/>
        <v>66400045</v>
      </c>
      <c r="X11" s="436"/>
      <c r="Y11" s="436"/>
    </row>
    <row r="12" spans="1:25" s="414" customFormat="1" ht="13.5" customHeight="1" x14ac:dyDescent="0.25">
      <c r="A12" s="780"/>
      <c r="B12" s="151"/>
      <c r="C12" s="303" t="s">
        <v>486</v>
      </c>
      <c r="D12" s="152" t="s">
        <v>421</v>
      </c>
      <c r="E12" s="153">
        <v>598000</v>
      </c>
      <c r="F12" s="153">
        <v>0</v>
      </c>
      <c r="G12" s="153">
        <v>0</v>
      </c>
      <c r="H12" s="153">
        <f t="shared" si="3"/>
        <v>-381030</v>
      </c>
      <c r="I12" s="390">
        <v>216970</v>
      </c>
      <c r="J12" s="433">
        <v>216970</v>
      </c>
      <c r="K12" s="434">
        <v>1330000</v>
      </c>
      <c r="L12" s="153">
        <v>61000</v>
      </c>
      <c r="M12" s="153">
        <v>56000</v>
      </c>
      <c r="N12" s="153">
        <f t="shared" si="4"/>
        <v>-53869</v>
      </c>
      <c r="O12" s="390">
        <v>1393131</v>
      </c>
      <c r="P12" s="433">
        <v>1393131</v>
      </c>
      <c r="Q12" s="435">
        <f t="shared" si="0"/>
        <v>1928000</v>
      </c>
      <c r="R12" s="153">
        <v>61000</v>
      </c>
      <c r="S12" s="153">
        <v>56000</v>
      </c>
      <c r="T12" s="153">
        <f t="shared" si="5"/>
        <v>-434899</v>
      </c>
      <c r="U12" s="390">
        <f t="shared" si="1"/>
        <v>1610101</v>
      </c>
      <c r="V12" s="390">
        <f t="shared" si="2"/>
        <v>1610101</v>
      </c>
      <c r="X12" s="436"/>
      <c r="Y12" s="436"/>
    </row>
    <row r="13" spans="1:25" s="414" customFormat="1" ht="13.5" customHeight="1" x14ac:dyDescent="0.25">
      <c r="A13" s="780"/>
      <c r="B13" s="151"/>
      <c r="C13" s="152" t="s">
        <v>267</v>
      </c>
      <c r="D13" s="152" t="s">
        <v>422</v>
      </c>
      <c r="E13" s="153">
        <v>30830205</v>
      </c>
      <c r="F13" s="153">
        <v>17749709</v>
      </c>
      <c r="G13" s="153">
        <v>5356967</v>
      </c>
      <c r="H13" s="153">
        <f t="shared" si="3"/>
        <v>814089</v>
      </c>
      <c r="I13" s="390">
        <v>54750970</v>
      </c>
      <c r="J13" s="433">
        <v>54750970</v>
      </c>
      <c r="K13" s="434">
        <v>1133850</v>
      </c>
      <c r="L13" s="153">
        <v>35363</v>
      </c>
      <c r="M13" s="153">
        <v>35000</v>
      </c>
      <c r="N13" s="153">
        <f t="shared" si="4"/>
        <v>26107</v>
      </c>
      <c r="O13" s="390">
        <v>1230320</v>
      </c>
      <c r="P13" s="433">
        <v>1170469</v>
      </c>
      <c r="Q13" s="435">
        <f t="shared" si="0"/>
        <v>31964055</v>
      </c>
      <c r="R13" s="153">
        <v>17785072</v>
      </c>
      <c r="S13" s="153">
        <v>5391967</v>
      </c>
      <c r="T13" s="153">
        <f t="shared" si="5"/>
        <v>840196</v>
      </c>
      <c r="U13" s="390">
        <f t="shared" si="1"/>
        <v>55981290</v>
      </c>
      <c r="V13" s="390">
        <f t="shared" si="2"/>
        <v>55921439</v>
      </c>
      <c r="X13" s="436"/>
      <c r="Y13" s="436"/>
    </row>
    <row r="14" spans="1:25" s="150" customFormat="1" ht="19.5" customHeight="1" x14ac:dyDescent="0.25">
      <c r="A14" s="780"/>
      <c r="B14" s="797" t="s">
        <v>268</v>
      </c>
      <c r="C14" s="797"/>
      <c r="D14" s="621" t="s">
        <v>423</v>
      </c>
      <c r="E14" s="170">
        <f>SUM(E9:E13)</f>
        <v>95032986</v>
      </c>
      <c r="F14" s="170">
        <v>19165112</v>
      </c>
      <c r="G14" s="170">
        <v>6537123</v>
      </c>
      <c r="H14" s="170">
        <f t="shared" si="3"/>
        <v>5025970</v>
      </c>
      <c r="I14" s="402">
        <f t="shared" ref="I14:J14" si="9">SUM(I9:I13)</f>
        <v>125761191</v>
      </c>
      <c r="J14" s="437">
        <f t="shared" si="9"/>
        <v>125761191</v>
      </c>
      <c r="K14" s="438">
        <f>SUM(K9:K13)</f>
        <v>9869870</v>
      </c>
      <c r="L14" s="170">
        <v>165695</v>
      </c>
      <c r="M14" s="170">
        <v>1499516</v>
      </c>
      <c r="N14" s="170">
        <f t="shared" si="4"/>
        <v>63118</v>
      </c>
      <c r="O14" s="402">
        <f t="shared" ref="O14:P14" si="10">SUM(O9:O13)</f>
        <v>11598199</v>
      </c>
      <c r="P14" s="437">
        <f t="shared" si="10"/>
        <v>11387537</v>
      </c>
      <c r="Q14" s="439">
        <f t="shared" si="0"/>
        <v>104902856</v>
      </c>
      <c r="R14" s="170">
        <v>19330807</v>
      </c>
      <c r="S14" s="170">
        <v>8036639</v>
      </c>
      <c r="T14" s="170">
        <f t="shared" si="5"/>
        <v>5089088</v>
      </c>
      <c r="U14" s="402">
        <f t="shared" si="1"/>
        <v>137359390</v>
      </c>
      <c r="V14" s="402">
        <f t="shared" si="2"/>
        <v>137148728</v>
      </c>
      <c r="X14" s="179"/>
      <c r="Y14" s="179"/>
    </row>
    <row r="15" spans="1:25" s="150" customFormat="1" ht="25.5" customHeight="1" x14ac:dyDescent="0.25">
      <c r="A15" s="154" t="s">
        <v>45</v>
      </c>
      <c r="B15" s="797" t="s">
        <v>112</v>
      </c>
      <c r="C15" s="797"/>
      <c r="D15" s="621" t="s">
        <v>424</v>
      </c>
      <c r="E15" s="170">
        <v>1400000</v>
      </c>
      <c r="F15" s="170">
        <v>0</v>
      </c>
      <c r="G15" s="170">
        <v>1489710</v>
      </c>
      <c r="H15" s="170">
        <f t="shared" si="3"/>
        <v>-2286335</v>
      </c>
      <c r="I15" s="402">
        <v>603375</v>
      </c>
      <c r="J15" s="437">
        <v>603375</v>
      </c>
      <c r="K15" s="438">
        <v>0</v>
      </c>
      <c r="L15" s="170">
        <v>564300</v>
      </c>
      <c r="M15" s="170">
        <v>-564300</v>
      </c>
      <c r="N15" s="170">
        <f t="shared" si="4"/>
        <v>0</v>
      </c>
      <c r="O15" s="402">
        <v>0</v>
      </c>
      <c r="P15" s="437">
        <v>0</v>
      </c>
      <c r="Q15" s="439">
        <f t="shared" si="0"/>
        <v>1400000</v>
      </c>
      <c r="R15" s="170">
        <v>564300</v>
      </c>
      <c r="S15" s="170">
        <v>925410</v>
      </c>
      <c r="T15" s="170">
        <f t="shared" si="5"/>
        <v>-2286335</v>
      </c>
      <c r="U15" s="402">
        <f t="shared" si="1"/>
        <v>603375</v>
      </c>
      <c r="V15" s="402">
        <f t="shared" si="2"/>
        <v>603375</v>
      </c>
      <c r="X15" s="179"/>
      <c r="Y15" s="179"/>
    </row>
    <row r="16" spans="1:25" s="150" customFormat="1" ht="25.5" customHeight="1" x14ac:dyDescent="0.25">
      <c r="A16" s="154" t="s">
        <v>46</v>
      </c>
      <c r="B16" s="797" t="s">
        <v>269</v>
      </c>
      <c r="C16" s="797"/>
      <c r="D16" s="621" t="s">
        <v>425</v>
      </c>
      <c r="E16" s="170">
        <v>0</v>
      </c>
      <c r="F16" s="170"/>
      <c r="G16" s="170">
        <v>0</v>
      </c>
      <c r="H16" s="170">
        <f t="shared" si="3"/>
        <v>0</v>
      </c>
      <c r="I16" s="408"/>
      <c r="J16" s="441"/>
      <c r="K16" s="438">
        <v>0</v>
      </c>
      <c r="L16" s="170"/>
      <c r="M16" s="170">
        <v>0</v>
      </c>
      <c r="N16" s="170">
        <f t="shared" si="4"/>
        <v>0</v>
      </c>
      <c r="O16" s="408"/>
      <c r="P16" s="441"/>
      <c r="Q16" s="439">
        <f t="shared" si="0"/>
        <v>0</v>
      </c>
      <c r="R16" s="170">
        <v>0</v>
      </c>
      <c r="S16" s="170">
        <v>0</v>
      </c>
      <c r="T16" s="170">
        <f t="shared" si="5"/>
        <v>0</v>
      </c>
      <c r="U16" s="402">
        <f t="shared" si="1"/>
        <v>0</v>
      </c>
      <c r="V16" s="402">
        <f t="shared" si="2"/>
        <v>0</v>
      </c>
      <c r="X16" s="179"/>
      <c r="Y16" s="179"/>
    </row>
    <row r="17" spans="1:25" x14ac:dyDescent="0.25">
      <c r="A17" s="799" t="s">
        <v>52</v>
      </c>
      <c r="B17" s="151"/>
      <c r="C17" s="152" t="s">
        <v>270</v>
      </c>
      <c r="D17" s="152" t="s">
        <v>426</v>
      </c>
      <c r="E17" s="153">
        <v>243693052</v>
      </c>
      <c r="F17" s="153">
        <v>0</v>
      </c>
      <c r="G17" s="153">
        <v>97500</v>
      </c>
      <c r="H17" s="153">
        <f t="shared" si="3"/>
        <v>-24536527</v>
      </c>
      <c r="I17" s="390">
        <v>219254025</v>
      </c>
      <c r="J17" s="433">
        <v>219254025</v>
      </c>
      <c r="K17" s="434">
        <v>488205</v>
      </c>
      <c r="L17" s="153">
        <v>11923</v>
      </c>
      <c r="M17" s="153">
        <v>11722</v>
      </c>
      <c r="N17" s="153">
        <f t="shared" si="4"/>
        <v>-23645</v>
      </c>
      <c r="O17" s="390">
        <v>488205</v>
      </c>
      <c r="P17" s="433">
        <v>488205</v>
      </c>
      <c r="Q17" s="435">
        <f t="shared" si="0"/>
        <v>244181257</v>
      </c>
      <c r="R17" s="153">
        <v>11923</v>
      </c>
      <c r="S17" s="153">
        <v>118352</v>
      </c>
      <c r="T17" s="153">
        <f t="shared" si="5"/>
        <v>-24560172</v>
      </c>
      <c r="U17" s="390">
        <f t="shared" si="1"/>
        <v>219742230</v>
      </c>
      <c r="V17" s="390">
        <f t="shared" si="2"/>
        <v>219742230</v>
      </c>
    </row>
    <row r="18" spans="1:25" x14ac:dyDescent="0.25">
      <c r="A18" s="800"/>
      <c r="B18" s="151"/>
      <c r="C18" s="152" t="s">
        <v>487</v>
      </c>
      <c r="D18" s="152" t="s">
        <v>427</v>
      </c>
      <c r="E18" s="153">
        <v>25570215</v>
      </c>
      <c r="F18" s="153">
        <v>1056000</v>
      </c>
      <c r="G18" s="153">
        <v>5508401</v>
      </c>
      <c r="H18" s="153">
        <f t="shared" si="3"/>
        <v>680132</v>
      </c>
      <c r="I18" s="390">
        <v>32814748</v>
      </c>
      <c r="J18" s="433">
        <v>32814748</v>
      </c>
      <c r="K18" s="434">
        <v>0</v>
      </c>
      <c r="L18" s="153">
        <v>0</v>
      </c>
      <c r="M18" s="153">
        <v>9130</v>
      </c>
      <c r="N18" s="153">
        <f t="shared" si="4"/>
        <v>-9130</v>
      </c>
      <c r="O18" s="390">
        <v>0</v>
      </c>
      <c r="P18" s="433">
        <v>0</v>
      </c>
      <c r="Q18" s="435">
        <f t="shared" si="0"/>
        <v>25570215</v>
      </c>
      <c r="R18" s="153">
        <v>1056000</v>
      </c>
      <c r="S18" s="153">
        <v>5508401</v>
      </c>
      <c r="T18" s="153">
        <f t="shared" si="5"/>
        <v>671002</v>
      </c>
      <c r="U18" s="390">
        <f t="shared" si="1"/>
        <v>32814748</v>
      </c>
      <c r="V18" s="390">
        <f t="shared" si="2"/>
        <v>32814748</v>
      </c>
    </row>
    <row r="19" spans="1:25" s="298" customFormat="1" ht="12.75" customHeight="1" x14ac:dyDescent="0.25">
      <c r="A19" s="800"/>
      <c r="C19" s="152" t="s">
        <v>488</v>
      </c>
      <c r="D19" s="152" t="s">
        <v>428</v>
      </c>
      <c r="E19" s="300">
        <v>50254587</v>
      </c>
      <c r="F19" s="153">
        <v>57928422</v>
      </c>
      <c r="G19" s="153">
        <v>27923015</v>
      </c>
      <c r="H19" s="153">
        <f t="shared" si="3"/>
        <v>17768353</v>
      </c>
      <c r="I19" s="396">
        <v>153874377</v>
      </c>
      <c r="J19" s="443">
        <v>0</v>
      </c>
      <c r="K19" s="444">
        <v>0</v>
      </c>
      <c r="L19" s="153">
        <v>0</v>
      </c>
      <c r="M19" s="153">
        <v>0</v>
      </c>
      <c r="N19" s="153">
        <f t="shared" si="4"/>
        <v>0</v>
      </c>
      <c r="O19" s="396">
        <v>0</v>
      </c>
      <c r="P19" s="443">
        <v>0</v>
      </c>
      <c r="Q19" s="435">
        <f t="shared" si="0"/>
        <v>50254587</v>
      </c>
      <c r="R19" s="153">
        <v>57928422</v>
      </c>
      <c r="S19" s="153">
        <v>27923015</v>
      </c>
      <c r="T19" s="153">
        <f t="shared" si="5"/>
        <v>17768353</v>
      </c>
      <c r="U19" s="390">
        <f t="shared" si="1"/>
        <v>153874377</v>
      </c>
      <c r="V19" s="390">
        <f t="shared" si="2"/>
        <v>0</v>
      </c>
      <c r="X19" s="299"/>
      <c r="Y19" s="299"/>
    </row>
    <row r="20" spans="1:25" ht="25.5" customHeight="1" x14ac:dyDescent="0.25">
      <c r="A20" s="801"/>
      <c r="B20" s="797" t="s">
        <v>272</v>
      </c>
      <c r="C20" s="797"/>
      <c r="D20" s="621" t="s">
        <v>484</v>
      </c>
      <c r="E20" s="170">
        <f>SUM(E17:E19)</f>
        <v>319517854</v>
      </c>
      <c r="F20" s="170">
        <v>58984422</v>
      </c>
      <c r="G20" s="170">
        <v>33528916</v>
      </c>
      <c r="H20" s="170">
        <f t="shared" si="3"/>
        <v>-6088042</v>
      </c>
      <c r="I20" s="402">
        <f t="shared" ref="I20:J20" si="11">SUM(I17:I19)</f>
        <v>405943150</v>
      </c>
      <c r="J20" s="437">
        <f t="shared" si="11"/>
        <v>252068773</v>
      </c>
      <c r="K20" s="438">
        <f t="shared" ref="K20:P20" si="12">SUM(K17:K18)</f>
        <v>488205</v>
      </c>
      <c r="L20" s="170">
        <v>11923</v>
      </c>
      <c r="M20" s="170">
        <v>20852</v>
      </c>
      <c r="N20" s="170">
        <f t="shared" si="4"/>
        <v>-32775</v>
      </c>
      <c r="O20" s="402">
        <f t="shared" si="12"/>
        <v>488205</v>
      </c>
      <c r="P20" s="437">
        <f t="shared" si="12"/>
        <v>488205</v>
      </c>
      <c r="Q20" s="439">
        <f t="shared" si="0"/>
        <v>320006059</v>
      </c>
      <c r="R20" s="170">
        <v>58996345</v>
      </c>
      <c r="S20" s="170">
        <v>33549768</v>
      </c>
      <c r="T20" s="170">
        <f t="shared" si="5"/>
        <v>-6120817</v>
      </c>
      <c r="U20" s="402">
        <f t="shared" si="1"/>
        <v>406431355</v>
      </c>
      <c r="V20" s="402">
        <f t="shared" si="2"/>
        <v>252556978</v>
      </c>
    </row>
    <row r="21" spans="1:25" s="159" customFormat="1" ht="19.5" customHeight="1" x14ac:dyDescent="0.25">
      <c r="A21" s="319" t="s">
        <v>54</v>
      </c>
      <c r="B21" s="797" t="s">
        <v>273</v>
      </c>
      <c r="C21" s="797"/>
      <c r="D21" s="621" t="s">
        <v>429</v>
      </c>
      <c r="E21" s="170">
        <v>466274973</v>
      </c>
      <c r="F21" s="170">
        <v>-10450787</v>
      </c>
      <c r="G21" s="170">
        <v>1850147</v>
      </c>
      <c r="H21" s="170">
        <f t="shared" si="3"/>
        <v>-333776222</v>
      </c>
      <c r="I21" s="402">
        <v>123898111</v>
      </c>
      <c r="J21" s="437">
        <v>123898111</v>
      </c>
      <c r="K21" s="438">
        <v>0</v>
      </c>
      <c r="L21" s="170">
        <v>1750412</v>
      </c>
      <c r="M21" s="170">
        <v>24730</v>
      </c>
      <c r="N21" s="170">
        <f t="shared" si="4"/>
        <v>0</v>
      </c>
      <c r="O21" s="402">
        <v>1775142</v>
      </c>
      <c r="P21" s="437">
        <v>1775142</v>
      </c>
      <c r="Q21" s="439">
        <f t="shared" si="0"/>
        <v>466274973</v>
      </c>
      <c r="R21" s="170">
        <v>-8700375</v>
      </c>
      <c r="S21" s="170">
        <v>1874877</v>
      </c>
      <c r="T21" s="170">
        <f t="shared" si="5"/>
        <v>-333776222</v>
      </c>
      <c r="U21" s="402">
        <f t="shared" si="1"/>
        <v>125673253</v>
      </c>
      <c r="V21" s="402">
        <f t="shared" si="2"/>
        <v>125673253</v>
      </c>
      <c r="X21" s="180"/>
      <c r="Y21" s="180"/>
    </row>
    <row r="22" spans="1:25" s="159" customFormat="1" ht="18.75" customHeight="1" x14ac:dyDescent="0.25">
      <c r="A22" s="319" t="s">
        <v>55</v>
      </c>
      <c r="B22" s="797" t="s">
        <v>158</v>
      </c>
      <c r="C22" s="797"/>
      <c r="D22" s="621" t="s">
        <v>430</v>
      </c>
      <c r="E22" s="170">
        <v>43561791</v>
      </c>
      <c r="F22" s="170">
        <v>0</v>
      </c>
      <c r="G22" s="170">
        <v>999999</v>
      </c>
      <c r="H22" s="170">
        <f t="shared" si="3"/>
        <v>-4407211</v>
      </c>
      <c r="I22" s="402">
        <v>40154579</v>
      </c>
      <c r="J22" s="437">
        <v>40154579</v>
      </c>
      <c r="K22" s="438">
        <v>0</v>
      </c>
      <c r="L22" s="170">
        <v>0</v>
      </c>
      <c r="M22" s="170">
        <v>0</v>
      </c>
      <c r="N22" s="170">
        <f t="shared" si="4"/>
        <v>0</v>
      </c>
      <c r="O22" s="402">
        <v>0</v>
      </c>
      <c r="P22" s="437">
        <v>0</v>
      </c>
      <c r="Q22" s="439">
        <f t="shared" si="0"/>
        <v>43561791</v>
      </c>
      <c r="R22" s="170">
        <v>0</v>
      </c>
      <c r="S22" s="170">
        <v>999999</v>
      </c>
      <c r="T22" s="170">
        <f t="shared" si="5"/>
        <v>-4407211</v>
      </c>
      <c r="U22" s="402">
        <f t="shared" si="1"/>
        <v>40154579</v>
      </c>
      <c r="V22" s="402">
        <f t="shared" si="2"/>
        <v>40154579</v>
      </c>
      <c r="X22" s="180"/>
      <c r="Y22" s="180"/>
    </row>
    <row r="23" spans="1:25" ht="26.4" x14ac:dyDescent="0.25">
      <c r="A23" s="799" t="s">
        <v>56</v>
      </c>
      <c r="B23" s="151"/>
      <c r="C23" s="152" t="s">
        <v>485</v>
      </c>
      <c r="D23" s="152" t="s">
        <v>431</v>
      </c>
      <c r="E23" s="153">
        <v>0</v>
      </c>
      <c r="F23" s="153"/>
      <c r="G23" s="153">
        <v>0</v>
      </c>
      <c r="H23" s="390">
        <f t="shared" si="3"/>
        <v>0</v>
      </c>
      <c r="I23" s="390"/>
      <c r="J23" s="433"/>
      <c r="K23" s="434">
        <v>0</v>
      </c>
      <c r="L23" s="153">
        <v>0</v>
      </c>
      <c r="M23" s="153">
        <v>0</v>
      </c>
      <c r="N23" s="153">
        <f t="shared" si="4"/>
        <v>0</v>
      </c>
      <c r="O23" s="390">
        <v>0</v>
      </c>
      <c r="P23" s="433">
        <v>0</v>
      </c>
      <c r="Q23" s="435">
        <f t="shared" si="0"/>
        <v>0</v>
      </c>
      <c r="R23" s="153">
        <v>0</v>
      </c>
      <c r="S23" s="153">
        <v>0</v>
      </c>
      <c r="T23" s="153">
        <f t="shared" si="5"/>
        <v>0</v>
      </c>
      <c r="U23" s="390">
        <f t="shared" si="1"/>
        <v>0</v>
      </c>
      <c r="V23" s="390">
        <f t="shared" si="2"/>
        <v>0</v>
      </c>
    </row>
    <row r="24" spans="1:25" ht="26.4" x14ac:dyDescent="0.25">
      <c r="A24" s="840"/>
      <c r="B24" s="151"/>
      <c r="C24" s="152" t="s">
        <v>274</v>
      </c>
      <c r="D24" s="152" t="s">
        <v>83</v>
      </c>
      <c r="E24" s="153">
        <v>2000000</v>
      </c>
      <c r="F24" s="153">
        <v>0</v>
      </c>
      <c r="G24" s="153">
        <v>0</v>
      </c>
      <c r="H24" s="390">
        <f t="shared" si="3"/>
        <v>-2000000</v>
      </c>
      <c r="I24" s="390">
        <v>0</v>
      </c>
      <c r="J24" s="433">
        <v>0</v>
      </c>
      <c r="K24" s="434">
        <v>0</v>
      </c>
      <c r="L24" s="153">
        <v>0</v>
      </c>
      <c r="M24" s="153">
        <v>0</v>
      </c>
      <c r="N24" s="153">
        <f t="shared" si="4"/>
        <v>1300000</v>
      </c>
      <c r="O24" s="390">
        <v>1300000</v>
      </c>
      <c r="P24" s="433">
        <v>1300000</v>
      </c>
      <c r="Q24" s="435">
        <f t="shared" si="0"/>
        <v>2000000</v>
      </c>
      <c r="R24" s="153">
        <v>0</v>
      </c>
      <c r="S24" s="153">
        <v>0</v>
      </c>
      <c r="T24" s="153">
        <f t="shared" si="5"/>
        <v>-700000</v>
      </c>
      <c r="U24" s="390">
        <f t="shared" si="1"/>
        <v>1300000</v>
      </c>
      <c r="V24" s="390">
        <f t="shared" si="2"/>
        <v>1300000</v>
      </c>
    </row>
    <row r="25" spans="1:25" ht="25.5" customHeight="1" x14ac:dyDescent="0.25">
      <c r="A25" s="840"/>
      <c r="B25" s="151"/>
      <c r="C25" s="152" t="s">
        <v>275</v>
      </c>
      <c r="D25" s="152" t="s">
        <v>82</v>
      </c>
      <c r="E25" s="153">
        <v>0</v>
      </c>
      <c r="F25" s="153"/>
      <c r="G25" s="153">
        <v>0</v>
      </c>
      <c r="H25" s="390">
        <f t="shared" si="3"/>
        <v>0</v>
      </c>
      <c r="I25" s="390"/>
      <c r="J25" s="433"/>
      <c r="K25" s="434">
        <v>0</v>
      </c>
      <c r="L25" s="153">
        <v>0</v>
      </c>
      <c r="M25" s="153">
        <v>0</v>
      </c>
      <c r="N25" s="153">
        <f t="shared" si="4"/>
        <v>0</v>
      </c>
      <c r="O25" s="390">
        <v>0</v>
      </c>
      <c r="P25" s="433">
        <v>0</v>
      </c>
      <c r="Q25" s="435">
        <f t="shared" si="0"/>
        <v>0</v>
      </c>
      <c r="R25" s="153">
        <v>0</v>
      </c>
      <c r="S25" s="153">
        <v>0</v>
      </c>
      <c r="T25" s="153">
        <f t="shared" si="5"/>
        <v>0</v>
      </c>
      <c r="U25" s="390">
        <f t="shared" si="1"/>
        <v>0</v>
      </c>
      <c r="V25" s="390">
        <f t="shared" si="2"/>
        <v>0</v>
      </c>
    </row>
    <row r="26" spans="1:25" s="150" customFormat="1" ht="25.5" customHeight="1" x14ac:dyDescent="0.25">
      <c r="A26" s="841"/>
      <c r="B26" s="797" t="s">
        <v>276</v>
      </c>
      <c r="C26" s="797"/>
      <c r="D26" s="621" t="s">
        <v>432</v>
      </c>
      <c r="E26" s="170">
        <f>SUM(E23:E25)</f>
        <v>2000000</v>
      </c>
      <c r="F26" s="170">
        <v>0</v>
      </c>
      <c r="G26" s="170">
        <v>0</v>
      </c>
      <c r="H26" s="402">
        <f t="shared" si="3"/>
        <v>-2000000</v>
      </c>
      <c r="I26" s="402">
        <f t="shared" ref="I26:J26" si="13">SUM(I23:I25)</f>
        <v>0</v>
      </c>
      <c r="J26" s="437">
        <f t="shared" si="13"/>
        <v>0</v>
      </c>
      <c r="K26" s="438">
        <f>SUM(K23:K25)</f>
        <v>0</v>
      </c>
      <c r="L26" s="438">
        <f t="shared" ref="L26:P26" si="14">SUM(L23:L25)</f>
        <v>0</v>
      </c>
      <c r="M26" s="438">
        <v>0</v>
      </c>
      <c r="N26" s="438">
        <f t="shared" si="4"/>
        <v>1300000</v>
      </c>
      <c r="O26" s="561">
        <f t="shared" si="14"/>
        <v>1300000</v>
      </c>
      <c r="P26" s="437">
        <f t="shared" si="14"/>
        <v>1300000</v>
      </c>
      <c r="Q26" s="439">
        <f t="shared" si="0"/>
        <v>2000000</v>
      </c>
      <c r="R26" s="170">
        <v>0</v>
      </c>
      <c r="S26" s="170">
        <v>0</v>
      </c>
      <c r="T26" s="170">
        <f t="shared" si="5"/>
        <v>-700000</v>
      </c>
      <c r="U26" s="402">
        <f t="shared" si="1"/>
        <v>1300000</v>
      </c>
      <c r="V26" s="402">
        <f t="shared" si="2"/>
        <v>1300000</v>
      </c>
      <c r="X26" s="179"/>
      <c r="Y26" s="179"/>
    </row>
    <row r="27" spans="1:25" s="150" customFormat="1" ht="25.5" customHeight="1" x14ac:dyDescent="0.25">
      <c r="A27" s="845" t="s">
        <v>277</v>
      </c>
      <c r="B27" s="845"/>
      <c r="C27" s="845"/>
      <c r="D27" s="629" t="s">
        <v>433</v>
      </c>
      <c r="E27" s="308">
        <f>E7+E8+E14+E15+E16+E20+E21+E22+E26</f>
        <v>980437907</v>
      </c>
      <c r="F27" s="308">
        <v>66642747</v>
      </c>
      <c r="G27" s="308">
        <v>42963873</v>
      </c>
      <c r="H27" s="419">
        <f t="shared" si="3"/>
        <v>-344423567</v>
      </c>
      <c r="I27" s="419">
        <f t="shared" ref="I27:J27" si="15">I7+I8+I14+I15+I16+I20+I21+I22+I26</f>
        <v>745620960</v>
      </c>
      <c r="J27" s="445">
        <f t="shared" si="15"/>
        <v>591746583</v>
      </c>
      <c r="K27" s="446">
        <f>K7+K8+K14+K15+K16+K20+K21+K22+K26+K19</f>
        <v>104382321</v>
      </c>
      <c r="L27" s="308">
        <v>5025574</v>
      </c>
      <c r="M27" s="308">
        <v>4653443</v>
      </c>
      <c r="N27" s="308">
        <f t="shared" si="4"/>
        <v>2057023</v>
      </c>
      <c r="O27" s="419">
        <f t="shared" ref="O27:P27" si="16">O7+O8+O14+O15+O16+O20+O21+O22+O26+O19</f>
        <v>116118361</v>
      </c>
      <c r="P27" s="445">
        <f t="shared" si="16"/>
        <v>113876539</v>
      </c>
      <c r="Q27" s="447">
        <f>Q7+Q8+Q14+Q15+Q16+Q20+Q21+Q22+Q26</f>
        <v>1084820228</v>
      </c>
      <c r="R27" s="307">
        <v>71668321</v>
      </c>
      <c r="S27" s="307">
        <v>47617316</v>
      </c>
      <c r="T27" s="307">
        <f t="shared" si="5"/>
        <v>-342366544</v>
      </c>
      <c r="U27" s="419">
        <f t="shared" ref="U27:V27" si="17">U7+U8+U14+U15+U16+U20+U21+U22+U26</f>
        <v>861739321</v>
      </c>
      <c r="V27" s="419">
        <f t="shared" si="17"/>
        <v>705623122</v>
      </c>
      <c r="X27" s="179"/>
      <c r="Y27" s="179"/>
    </row>
    <row r="28" spans="1:25" x14ac:dyDescent="0.25">
      <c r="A28" s="799" t="s">
        <v>57</v>
      </c>
      <c r="B28" s="151"/>
      <c r="C28" s="152" t="s">
        <v>280</v>
      </c>
      <c r="D28" s="152" t="s">
        <v>434</v>
      </c>
      <c r="E28" s="153">
        <v>9110753</v>
      </c>
      <c r="F28" s="153">
        <v>0</v>
      </c>
      <c r="G28" s="153">
        <v>0</v>
      </c>
      <c r="H28" s="153">
        <f t="shared" si="3"/>
        <v>0</v>
      </c>
      <c r="I28" s="390">
        <v>9110753</v>
      </c>
      <c r="J28" s="433">
        <v>9110753</v>
      </c>
      <c r="K28" s="434">
        <v>0</v>
      </c>
      <c r="L28" s="153"/>
      <c r="M28" s="153">
        <v>0</v>
      </c>
      <c r="N28" s="153">
        <f t="shared" si="4"/>
        <v>0</v>
      </c>
      <c r="O28" s="393"/>
      <c r="P28" s="442"/>
      <c r="Q28" s="435">
        <f>E28+K28</f>
        <v>9110753</v>
      </c>
      <c r="R28" s="153">
        <v>0</v>
      </c>
      <c r="S28" s="153">
        <v>0</v>
      </c>
      <c r="T28" s="153">
        <f t="shared" si="5"/>
        <v>0</v>
      </c>
      <c r="U28" s="390">
        <f>I28+O28</f>
        <v>9110753</v>
      </c>
      <c r="V28" s="390">
        <f>J28+P28</f>
        <v>9110753</v>
      </c>
    </row>
    <row r="29" spans="1:25" x14ac:dyDescent="0.25">
      <c r="A29" s="801"/>
      <c r="B29" s="151"/>
      <c r="C29" s="152" t="s">
        <v>281</v>
      </c>
      <c r="D29" s="152" t="s">
        <v>84</v>
      </c>
      <c r="E29" s="153">
        <v>102023405</v>
      </c>
      <c r="F29" s="153">
        <v>997200</v>
      </c>
      <c r="G29" s="153">
        <v>1595599</v>
      </c>
      <c r="H29" s="153">
        <f t="shared" si="3"/>
        <v>779440</v>
      </c>
      <c r="I29" s="390">
        <v>105395644</v>
      </c>
      <c r="J29" s="433">
        <v>105395644</v>
      </c>
      <c r="K29" s="434">
        <v>0</v>
      </c>
      <c r="L29" s="153"/>
      <c r="M29" s="153">
        <v>0</v>
      </c>
      <c r="N29" s="153">
        <f t="shared" si="4"/>
        <v>0</v>
      </c>
      <c r="O29" s="393"/>
      <c r="P29" s="442"/>
      <c r="Q29" s="435">
        <f>E29+K29</f>
        <v>102023405</v>
      </c>
      <c r="R29" s="153">
        <v>997200</v>
      </c>
      <c r="S29" s="153">
        <v>1595599</v>
      </c>
      <c r="T29" s="153">
        <f t="shared" si="5"/>
        <v>779440</v>
      </c>
      <c r="U29" s="390">
        <f>I29+O29</f>
        <v>105395644</v>
      </c>
      <c r="V29" s="390">
        <f>J29+P29</f>
        <v>105395644</v>
      </c>
    </row>
    <row r="30" spans="1:25" s="150" customFormat="1" ht="22.5" customHeight="1" x14ac:dyDescent="0.25">
      <c r="A30" s="842" t="s">
        <v>278</v>
      </c>
      <c r="B30" s="843"/>
      <c r="C30" s="844"/>
      <c r="D30" s="628" t="s">
        <v>435</v>
      </c>
      <c r="E30" s="308">
        <f>SUM(E28:E29)</f>
        <v>111134158</v>
      </c>
      <c r="F30" s="308">
        <v>997200</v>
      </c>
      <c r="G30" s="308">
        <v>1595599</v>
      </c>
      <c r="H30" s="308">
        <f t="shared" si="3"/>
        <v>779440</v>
      </c>
      <c r="I30" s="419">
        <f t="shared" ref="I30:J30" si="18">SUM(I28:I29)</f>
        <v>114506397</v>
      </c>
      <c r="J30" s="445">
        <f t="shared" si="18"/>
        <v>114506397</v>
      </c>
      <c r="K30" s="446">
        <f>SUM(K28:K29)</f>
        <v>0</v>
      </c>
      <c r="L30" s="308"/>
      <c r="M30" s="308">
        <v>0</v>
      </c>
      <c r="N30" s="308">
        <f t="shared" si="4"/>
        <v>0</v>
      </c>
      <c r="O30" s="448"/>
      <c r="P30" s="449"/>
      <c r="Q30" s="447">
        <f>SUM(Q28:Q29)</f>
        <v>111134158</v>
      </c>
      <c r="R30" s="307">
        <v>997200</v>
      </c>
      <c r="S30" s="307">
        <v>1595599</v>
      </c>
      <c r="T30" s="307">
        <f t="shared" si="5"/>
        <v>779440</v>
      </c>
      <c r="U30" s="419">
        <f t="shared" ref="U30:V30" si="19">SUM(U28:U29)</f>
        <v>114506397</v>
      </c>
      <c r="V30" s="419">
        <f t="shared" si="19"/>
        <v>114506397</v>
      </c>
      <c r="X30" s="179"/>
      <c r="Y30" s="179"/>
    </row>
    <row r="31" spans="1:25" s="148" customFormat="1" ht="22.5" customHeight="1" x14ac:dyDescent="0.25">
      <c r="A31" s="839" t="s">
        <v>279</v>
      </c>
      <c r="B31" s="839"/>
      <c r="C31" s="839"/>
      <c r="D31" s="627"/>
      <c r="E31" s="313">
        <f>E27+E30</f>
        <v>1091572065</v>
      </c>
      <c r="F31" s="313">
        <v>67639947</v>
      </c>
      <c r="G31" s="313">
        <v>44559472</v>
      </c>
      <c r="H31" s="313">
        <f t="shared" si="3"/>
        <v>-343644127</v>
      </c>
      <c r="I31" s="450">
        <f t="shared" ref="I31:J31" si="20">I27+I30</f>
        <v>860127357</v>
      </c>
      <c r="J31" s="451">
        <f t="shared" si="20"/>
        <v>706252980</v>
      </c>
      <c r="K31" s="562">
        <f>K27+K30</f>
        <v>104382321</v>
      </c>
      <c r="L31" s="450">
        <v>5025574</v>
      </c>
      <c r="M31" s="450">
        <v>4653443</v>
      </c>
      <c r="N31" s="450">
        <f t="shared" si="4"/>
        <v>2057023</v>
      </c>
      <c r="O31" s="450">
        <f t="shared" ref="O31:P31" si="21">O27+O30</f>
        <v>116118361</v>
      </c>
      <c r="P31" s="451">
        <f t="shared" si="21"/>
        <v>113876539</v>
      </c>
      <c r="Q31" s="452">
        <f>Q27+Q30</f>
        <v>1195954386</v>
      </c>
      <c r="R31" s="314">
        <v>72665521</v>
      </c>
      <c r="S31" s="314">
        <v>49212915</v>
      </c>
      <c r="T31" s="314">
        <f t="shared" si="5"/>
        <v>-341587104</v>
      </c>
      <c r="U31" s="450">
        <f t="shared" ref="U31:V31" si="22">U27+U30</f>
        <v>976245718</v>
      </c>
      <c r="V31" s="450">
        <f t="shared" si="22"/>
        <v>820129519</v>
      </c>
      <c r="X31" s="181"/>
      <c r="Y31" s="181"/>
    </row>
    <row r="32" spans="1:25" s="148" customFormat="1" x14ac:dyDescent="0.25">
      <c r="J32" s="432">
        <f>J31/I31</f>
        <v>0.82110279861729829</v>
      </c>
      <c r="K32" s="453"/>
      <c r="L32" s="453"/>
      <c r="M32" s="453"/>
      <c r="N32" s="453"/>
      <c r="O32" s="453"/>
      <c r="P32" s="432">
        <f>P31/O31</f>
        <v>0.98069364757912836</v>
      </c>
      <c r="X32" s="181"/>
      <c r="Y32" s="181"/>
    </row>
  </sheetData>
  <mergeCells count="24">
    <mergeCell ref="B8:C8"/>
    <mergeCell ref="A5:A7"/>
    <mergeCell ref="B20:C20"/>
    <mergeCell ref="A17:A20"/>
    <mergeCell ref="B14:C14"/>
    <mergeCell ref="A9:A14"/>
    <mergeCell ref="B15:C15"/>
    <mergeCell ref="B16:C16"/>
    <mergeCell ref="A3:C4"/>
    <mergeCell ref="B7:C7"/>
    <mergeCell ref="A1:V1"/>
    <mergeCell ref="A2:V2"/>
    <mergeCell ref="E3:J3"/>
    <mergeCell ref="K3:P3"/>
    <mergeCell ref="Q3:V3"/>
    <mergeCell ref="D3:D4"/>
    <mergeCell ref="A31:C31"/>
    <mergeCell ref="B26:C26"/>
    <mergeCell ref="B21:C21"/>
    <mergeCell ref="B22:C22"/>
    <mergeCell ref="A23:A26"/>
    <mergeCell ref="A28:A29"/>
    <mergeCell ref="A30:C30"/>
    <mergeCell ref="A27:C27"/>
  </mergeCells>
  <phoneticPr fontId="0" type="noConversion"/>
  <printOptions horizontalCentered="1"/>
  <pageMargins left="0.39370078740157483" right="0.15748031496062992" top="0.62992125984251968" bottom="0.43307086614173229" header="0.19685039370078741" footer="0.19685039370078741"/>
  <pageSetup paperSize="9" scale="44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topLeftCell="A10" workbookViewId="0">
      <selection activeCell="D23" sqref="D23:D27"/>
    </sheetView>
  </sheetViews>
  <sheetFormatPr defaultColWidth="9.109375" defaultRowHeight="13.2" x14ac:dyDescent="0.25"/>
  <cols>
    <col min="1" max="1" width="3.5546875" style="352" bestFit="1" customWidth="1"/>
    <col min="2" max="2" width="2.88671875" style="352" customWidth="1"/>
    <col min="3" max="3" width="51.44140625" style="352" customWidth="1"/>
    <col min="4" max="4" width="6.33203125" style="352" bestFit="1" customWidth="1"/>
    <col min="5" max="5" width="12.6640625" style="352" bestFit="1" customWidth="1"/>
    <col min="6" max="6" width="10.6640625" style="352" bestFit="1" customWidth="1"/>
    <col min="7" max="7" width="10.6640625" style="352" customWidth="1"/>
    <col min="8" max="8" width="11.6640625" style="352" bestFit="1" customWidth="1"/>
    <col min="9" max="9" width="11.109375" style="352" bestFit="1" customWidth="1"/>
    <col min="10" max="10" width="9.109375" style="352" bestFit="1" customWidth="1"/>
    <col min="11" max="12" width="9.109375" style="352" customWidth="1"/>
    <col min="13" max="13" width="12.6640625" style="352" bestFit="1" customWidth="1"/>
    <col min="14" max="14" width="10.109375" style="352" bestFit="1" customWidth="1"/>
    <col min="15" max="15" width="9.109375" style="370" bestFit="1" customWidth="1"/>
    <col min="16" max="16" width="9.109375" style="370" customWidth="1"/>
    <col min="17" max="17" width="9.6640625" style="370" bestFit="1" customWidth="1"/>
    <col min="18" max="18" width="9.109375" style="352" bestFit="1" customWidth="1"/>
    <col min="19" max="19" width="7.109375" style="352" bestFit="1" customWidth="1"/>
    <col min="20" max="20" width="7.5546875" style="352" bestFit="1" customWidth="1"/>
    <col min="21" max="21" width="9.109375" style="352" bestFit="1" customWidth="1"/>
    <col min="22" max="22" width="10.109375" style="352" bestFit="1" customWidth="1"/>
    <col min="23" max="23" width="7" style="352" customWidth="1"/>
    <col min="24" max="24" width="9.44140625" style="352" customWidth="1"/>
    <col min="25" max="25" width="9.44140625" style="352" bestFit="1" customWidth="1"/>
    <col min="26" max="26" width="13.109375" style="352" bestFit="1" customWidth="1"/>
    <col min="27" max="28" width="12.6640625" style="370" bestFit="1" customWidth="1"/>
    <col min="29" max="16384" width="9.109375" style="352"/>
  </cols>
  <sheetData>
    <row r="1" spans="1:28" x14ac:dyDescent="0.25">
      <c r="A1" s="782" t="s">
        <v>452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</row>
    <row r="2" spans="1:28" ht="15.6" x14ac:dyDescent="0.3">
      <c r="A2" s="852" t="s">
        <v>109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</row>
    <row r="3" spans="1:28" x14ac:dyDescent="0.25">
      <c r="A3" s="819" t="s">
        <v>41</v>
      </c>
      <c r="B3" s="820"/>
      <c r="C3" s="821"/>
      <c r="D3" s="828" t="s">
        <v>374</v>
      </c>
      <c r="E3" s="831" t="s">
        <v>436</v>
      </c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3"/>
      <c r="AA3" s="352"/>
      <c r="AB3" s="352"/>
    </row>
    <row r="4" spans="1:28" ht="12.75" customHeight="1" x14ac:dyDescent="0.25">
      <c r="A4" s="822"/>
      <c r="B4" s="823"/>
      <c r="C4" s="824"/>
      <c r="D4" s="829"/>
      <c r="E4" s="834" t="s">
        <v>375</v>
      </c>
      <c r="F4" s="836"/>
      <c r="G4" s="836"/>
      <c r="H4" s="836"/>
      <c r="I4" s="836"/>
      <c r="J4" s="836"/>
      <c r="K4" s="836"/>
      <c r="L4" s="836"/>
      <c r="M4" s="835"/>
      <c r="N4" s="834" t="s">
        <v>377</v>
      </c>
      <c r="O4" s="836"/>
      <c r="P4" s="836"/>
      <c r="Q4" s="836"/>
      <c r="R4" s="836"/>
      <c r="S4" s="836"/>
      <c r="T4" s="836"/>
      <c r="U4" s="836"/>
      <c r="V4" s="835"/>
      <c r="W4" s="834" t="s">
        <v>378</v>
      </c>
      <c r="X4" s="835"/>
      <c r="Y4" s="828" t="s">
        <v>376</v>
      </c>
      <c r="Z4" s="837" t="s">
        <v>105</v>
      </c>
      <c r="AA4" s="352"/>
      <c r="AB4" s="352"/>
    </row>
    <row r="5" spans="1:28" s="355" customFormat="1" ht="39.6" x14ac:dyDescent="0.25">
      <c r="A5" s="825"/>
      <c r="B5" s="826"/>
      <c r="C5" s="827"/>
      <c r="D5" s="830"/>
      <c r="E5" s="354" t="s">
        <v>437</v>
      </c>
      <c r="F5" s="354" t="s">
        <v>453</v>
      </c>
      <c r="G5" s="354" t="s">
        <v>454</v>
      </c>
      <c r="H5" s="578" t="s">
        <v>465</v>
      </c>
      <c r="I5" s="354" t="s">
        <v>438</v>
      </c>
      <c r="J5" s="354" t="s">
        <v>453</v>
      </c>
      <c r="K5" s="354" t="s">
        <v>454</v>
      </c>
      <c r="L5" s="578" t="s">
        <v>465</v>
      </c>
      <c r="M5" s="526" t="s">
        <v>376</v>
      </c>
      <c r="N5" s="354" t="s">
        <v>437</v>
      </c>
      <c r="O5" s="354" t="s">
        <v>453</v>
      </c>
      <c r="P5" s="354" t="s">
        <v>454</v>
      </c>
      <c r="Q5" s="578" t="s">
        <v>465</v>
      </c>
      <c r="R5" s="354" t="s">
        <v>438</v>
      </c>
      <c r="S5" s="354" t="s">
        <v>453</v>
      </c>
      <c r="T5" s="354" t="s">
        <v>454</v>
      </c>
      <c r="U5" s="578" t="s">
        <v>465</v>
      </c>
      <c r="V5" s="526" t="s">
        <v>376</v>
      </c>
      <c r="W5" s="353" t="s">
        <v>437</v>
      </c>
      <c r="X5" s="353" t="s">
        <v>438</v>
      </c>
      <c r="Y5" s="830"/>
      <c r="Z5" s="838"/>
    </row>
    <row r="6" spans="1:28" x14ac:dyDescent="0.25">
      <c r="A6" s="815" t="s">
        <v>42</v>
      </c>
      <c r="B6" s="151"/>
      <c r="C6" s="152" t="s">
        <v>260</v>
      </c>
      <c r="D6" s="152" t="s">
        <v>412</v>
      </c>
      <c r="E6" s="153">
        <v>29673740</v>
      </c>
      <c r="F6" s="153">
        <v>0</v>
      </c>
      <c r="G6" s="153">
        <v>0</v>
      </c>
      <c r="H6" s="153">
        <v>-1856887</v>
      </c>
      <c r="I6" s="153">
        <v>78449844</v>
      </c>
      <c r="J6" s="153">
        <v>278300</v>
      </c>
      <c r="K6" s="153">
        <v>850027</v>
      </c>
      <c r="L6" s="153">
        <v>-223142</v>
      </c>
      <c r="M6" s="153">
        <f>SUM(E6:L6)</f>
        <v>107171882</v>
      </c>
      <c r="N6" s="357">
        <v>0</v>
      </c>
      <c r="O6" s="153">
        <v>0</v>
      </c>
      <c r="P6" s="153"/>
      <c r="Q6" s="153"/>
      <c r="R6" s="357">
        <v>0</v>
      </c>
      <c r="S6" s="357">
        <v>0</v>
      </c>
      <c r="T6" s="357"/>
      <c r="U6" s="357"/>
      <c r="V6" s="153">
        <f>SUM(N6:T6)</f>
        <v>0</v>
      </c>
      <c r="W6" s="357">
        <v>0</v>
      </c>
      <c r="X6" s="357">
        <v>0</v>
      </c>
      <c r="Y6" s="153">
        <f>SUM(W6:X6)</f>
        <v>0</v>
      </c>
      <c r="Z6" s="153">
        <f>M6+V6+Y6</f>
        <v>107171882</v>
      </c>
    </row>
    <row r="7" spans="1:28" x14ac:dyDescent="0.25">
      <c r="A7" s="815"/>
      <c r="B7" s="151"/>
      <c r="C7" s="152" t="s">
        <v>261</v>
      </c>
      <c r="D7" s="152" t="s">
        <v>413</v>
      </c>
      <c r="E7" s="153">
        <v>14761386</v>
      </c>
      <c r="F7" s="153">
        <v>-883682</v>
      </c>
      <c r="G7" s="153">
        <v>-1129794</v>
      </c>
      <c r="H7" s="153">
        <v>1411754</v>
      </c>
      <c r="I7" s="153">
        <v>100000</v>
      </c>
      <c r="J7" s="153">
        <v>1921968</v>
      </c>
      <c r="K7" s="153">
        <v>2174421</v>
      </c>
      <c r="L7" s="153">
        <v>1101444</v>
      </c>
      <c r="M7" s="153">
        <f>SUM(E7:L7)</f>
        <v>19457497</v>
      </c>
      <c r="N7" s="357">
        <v>0</v>
      </c>
      <c r="O7" s="153">
        <v>0</v>
      </c>
      <c r="P7" s="153"/>
      <c r="Q7" s="153"/>
      <c r="R7" s="357">
        <v>0</v>
      </c>
      <c r="S7" s="357">
        <v>0</v>
      </c>
      <c r="T7" s="357"/>
      <c r="U7" s="357"/>
      <c r="V7" s="153">
        <f t="shared" ref="V7:V31" si="0">SUM(N7:T7)</f>
        <v>0</v>
      </c>
      <c r="W7" s="357">
        <v>0</v>
      </c>
      <c r="X7" s="357">
        <v>0</v>
      </c>
      <c r="Y7" s="153">
        <f>SUM(W7:X7)</f>
        <v>0</v>
      </c>
      <c r="Z7" s="153">
        <f>M7+V7+Y7</f>
        <v>19457497</v>
      </c>
    </row>
    <row r="8" spans="1:28" s="360" customFormat="1" ht="21.75" customHeight="1" x14ac:dyDescent="0.25">
      <c r="A8" s="815"/>
      <c r="B8" s="797" t="s">
        <v>259</v>
      </c>
      <c r="C8" s="797"/>
      <c r="D8" s="316" t="s">
        <v>414</v>
      </c>
      <c r="E8" s="170">
        <f>SUM(E6:E7)</f>
        <v>44435126</v>
      </c>
      <c r="F8" s="170">
        <f>SUM(F6:F7)</f>
        <v>-883682</v>
      </c>
      <c r="G8" s="170">
        <f t="shared" ref="G8:L8" si="1">SUM(G6:G7)</f>
        <v>-1129794</v>
      </c>
      <c r="H8" s="170">
        <f t="shared" si="1"/>
        <v>-445133</v>
      </c>
      <c r="I8" s="170">
        <f t="shared" si="1"/>
        <v>78549844</v>
      </c>
      <c r="J8" s="170">
        <f t="shared" si="1"/>
        <v>2200268</v>
      </c>
      <c r="K8" s="170">
        <f t="shared" si="1"/>
        <v>3024448</v>
      </c>
      <c r="L8" s="170">
        <f t="shared" si="1"/>
        <v>878302</v>
      </c>
      <c r="M8" s="170">
        <f t="shared" ref="M8:M33" si="2">SUM(E8:K8)</f>
        <v>125751077</v>
      </c>
      <c r="N8" s="170">
        <f t="shared" ref="N8:Z8" si="3">SUM(N6:N7)</f>
        <v>0</v>
      </c>
      <c r="O8" s="170">
        <f t="shared" si="3"/>
        <v>0</v>
      </c>
      <c r="P8" s="170">
        <f>SUM(P6:P7)</f>
        <v>0</v>
      </c>
      <c r="Q8" s="170">
        <f>SUM(Q6:Q7)</f>
        <v>0</v>
      </c>
      <c r="R8" s="170">
        <f t="shared" si="3"/>
        <v>0</v>
      </c>
      <c r="S8" s="170">
        <f t="shared" si="3"/>
        <v>0</v>
      </c>
      <c r="T8" s="170">
        <f t="shared" si="3"/>
        <v>0</v>
      </c>
      <c r="U8" s="170"/>
      <c r="V8" s="170">
        <f t="shared" si="0"/>
        <v>0</v>
      </c>
      <c r="W8" s="170">
        <f t="shared" si="3"/>
        <v>0</v>
      </c>
      <c r="X8" s="170">
        <f t="shared" si="3"/>
        <v>0</v>
      </c>
      <c r="Y8" s="170">
        <f>SUM(Y6:Y7)</f>
        <v>0</v>
      </c>
      <c r="Z8" s="170">
        <f t="shared" si="3"/>
        <v>126629379</v>
      </c>
      <c r="AA8" s="371"/>
      <c r="AB8" s="371"/>
    </row>
    <row r="9" spans="1:28" s="360" customFormat="1" ht="22.5" customHeight="1" x14ac:dyDescent="0.25">
      <c r="A9" s="372" t="s">
        <v>43</v>
      </c>
      <c r="B9" s="797" t="s">
        <v>262</v>
      </c>
      <c r="C9" s="797"/>
      <c r="D9" s="316" t="s">
        <v>415</v>
      </c>
      <c r="E9" s="170">
        <v>8215177</v>
      </c>
      <c r="F9" s="170">
        <v>-172318</v>
      </c>
      <c r="G9" s="170">
        <v>-312228</v>
      </c>
      <c r="H9" s="170">
        <v>-446594</v>
      </c>
      <c r="I9" s="170">
        <v>15474402</v>
      </c>
      <c r="J9" s="170">
        <v>332976</v>
      </c>
      <c r="K9" s="170">
        <v>648197</v>
      </c>
      <c r="L9" s="170">
        <v>-151622</v>
      </c>
      <c r="M9" s="170">
        <f>SUM(E9:L9)</f>
        <v>23587990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0"/>
      <c r="V9" s="170">
        <f t="shared" si="0"/>
        <v>0</v>
      </c>
      <c r="W9" s="170">
        <v>0</v>
      </c>
      <c r="X9" s="170">
        <v>0</v>
      </c>
      <c r="Y9" s="170">
        <f t="shared" ref="Y9:Y15" si="4">SUM(W9:X9)</f>
        <v>0</v>
      </c>
      <c r="Z9" s="170">
        <f>M9+V9+Y9</f>
        <v>23587990</v>
      </c>
      <c r="AA9" s="371"/>
      <c r="AB9" s="371"/>
    </row>
    <row r="10" spans="1:28" x14ac:dyDescent="0.25">
      <c r="A10" s="815" t="s">
        <v>44</v>
      </c>
      <c r="B10" s="151"/>
      <c r="C10" s="152" t="s">
        <v>263</v>
      </c>
      <c r="D10" s="152" t="s">
        <v>416</v>
      </c>
      <c r="E10" s="153">
        <v>7522671</v>
      </c>
      <c r="F10" s="153">
        <v>0</v>
      </c>
      <c r="G10" s="153">
        <v>309838</v>
      </c>
      <c r="H10" s="153">
        <v>313656</v>
      </c>
      <c r="I10" s="153">
        <v>2040720</v>
      </c>
      <c r="J10" s="153">
        <v>6932</v>
      </c>
      <c r="K10" s="153">
        <v>705530</v>
      </c>
      <c r="L10" s="153">
        <v>354535</v>
      </c>
      <c r="M10" s="153">
        <f>SUM(E10:L10)</f>
        <v>11253882</v>
      </c>
      <c r="N10" s="357">
        <v>0</v>
      </c>
      <c r="O10" s="153">
        <v>0</v>
      </c>
      <c r="P10" s="153"/>
      <c r="Q10" s="153"/>
      <c r="R10" s="357">
        <v>0</v>
      </c>
      <c r="S10" s="357">
        <v>0</v>
      </c>
      <c r="T10" s="357"/>
      <c r="U10" s="357"/>
      <c r="V10" s="153">
        <f t="shared" si="0"/>
        <v>0</v>
      </c>
      <c r="W10" s="357">
        <v>0</v>
      </c>
      <c r="X10" s="357">
        <v>0</v>
      </c>
      <c r="Y10" s="153">
        <f t="shared" si="4"/>
        <v>0</v>
      </c>
      <c r="Z10" s="153">
        <f t="shared" ref="Z10:Z15" si="5">M10+V10+Y10</f>
        <v>11253882</v>
      </c>
    </row>
    <row r="11" spans="1:28" x14ac:dyDescent="0.25">
      <c r="A11" s="815"/>
      <c r="B11" s="151"/>
      <c r="C11" s="152" t="s">
        <v>264</v>
      </c>
      <c r="D11" s="152" t="s">
        <v>417</v>
      </c>
      <c r="E11" s="153">
        <v>1650480</v>
      </c>
      <c r="F11" s="153">
        <v>0</v>
      </c>
      <c r="G11" s="153">
        <v>0</v>
      </c>
      <c r="H11" s="153">
        <v>54564</v>
      </c>
      <c r="I11" s="153">
        <v>440000</v>
      </c>
      <c r="J11" s="153">
        <v>0</v>
      </c>
      <c r="K11" s="153">
        <v>-105000</v>
      </c>
      <c r="L11" s="153">
        <v>-52160</v>
      </c>
      <c r="M11" s="153">
        <f>SUM(E11:L11)</f>
        <v>1987884</v>
      </c>
      <c r="N11" s="357">
        <v>0</v>
      </c>
      <c r="O11" s="153">
        <v>0</v>
      </c>
      <c r="P11" s="153"/>
      <c r="Q11" s="153"/>
      <c r="R11" s="357">
        <v>0</v>
      </c>
      <c r="S11" s="357">
        <v>0</v>
      </c>
      <c r="T11" s="357"/>
      <c r="U11" s="357"/>
      <c r="V11" s="153">
        <f t="shared" si="0"/>
        <v>0</v>
      </c>
      <c r="W11" s="357">
        <v>0</v>
      </c>
      <c r="X11" s="357">
        <v>0</v>
      </c>
      <c r="Y11" s="153">
        <f t="shared" si="4"/>
        <v>0</v>
      </c>
      <c r="Z11" s="153">
        <f t="shared" si="5"/>
        <v>1987884</v>
      </c>
    </row>
    <row r="12" spans="1:28" x14ac:dyDescent="0.25">
      <c r="A12" s="815"/>
      <c r="B12" s="151"/>
      <c r="C12" s="152" t="s">
        <v>265</v>
      </c>
      <c r="D12" s="152" t="s">
        <v>418</v>
      </c>
      <c r="E12" s="153">
        <v>54318852</v>
      </c>
      <c r="F12" s="153">
        <v>0</v>
      </c>
      <c r="G12" s="153">
        <v>870318</v>
      </c>
      <c r="H12" s="153">
        <v>4224691</v>
      </c>
      <c r="I12" s="153">
        <v>3325300</v>
      </c>
      <c r="J12" s="153">
        <v>62400</v>
      </c>
      <c r="K12" s="153">
        <v>703060</v>
      </c>
      <c r="L12" s="153">
        <v>-139523</v>
      </c>
      <c r="M12" s="153">
        <f>SUM(E12:L12)</f>
        <v>63365098</v>
      </c>
      <c r="N12" s="357">
        <v>0</v>
      </c>
      <c r="O12" s="153">
        <v>0</v>
      </c>
      <c r="P12" s="153">
        <v>0</v>
      </c>
      <c r="Q12" s="153">
        <v>0</v>
      </c>
      <c r="R12" s="153">
        <v>1600000</v>
      </c>
      <c r="S12" s="357">
        <v>0</v>
      </c>
      <c r="T12" s="153">
        <v>104926</v>
      </c>
      <c r="U12" s="153">
        <v>-71972</v>
      </c>
      <c r="V12" s="153">
        <f>SUM(N12:U12)</f>
        <v>1632954</v>
      </c>
      <c r="W12" s="357">
        <v>0</v>
      </c>
      <c r="X12" s="357">
        <v>0</v>
      </c>
      <c r="Y12" s="153">
        <f t="shared" si="4"/>
        <v>0</v>
      </c>
      <c r="Z12" s="153">
        <f>M12+V12+Y12</f>
        <v>64998052</v>
      </c>
    </row>
    <row r="13" spans="1:28" x14ac:dyDescent="0.25">
      <c r="A13" s="815"/>
      <c r="B13" s="151"/>
      <c r="C13" s="152" t="s">
        <v>419</v>
      </c>
      <c r="D13" s="152" t="s">
        <v>420</v>
      </c>
      <c r="E13" s="153">
        <v>0</v>
      </c>
      <c r="F13" s="153">
        <v>190000</v>
      </c>
      <c r="G13" s="153">
        <v>0</v>
      </c>
      <c r="H13" s="153"/>
      <c r="I13" s="153">
        <v>0</v>
      </c>
      <c r="J13" s="153">
        <v>0</v>
      </c>
      <c r="K13" s="153">
        <v>0</v>
      </c>
      <c r="L13" s="153"/>
      <c r="M13" s="153">
        <f t="shared" si="2"/>
        <v>190000</v>
      </c>
      <c r="N13" s="153">
        <v>112778</v>
      </c>
      <c r="O13" s="153">
        <v>1225403</v>
      </c>
      <c r="P13" s="153">
        <v>0</v>
      </c>
      <c r="Q13" s="153">
        <v>0</v>
      </c>
      <c r="R13" s="357">
        <v>0</v>
      </c>
      <c r="S13" s="357">
        <v>0</v>
      </c>
      <c r="T13" s="357"/>
      <c r="U13" s="357"/>
      <c r="V13" s="153">
        <f t="shared" si="0"/>
        <v>1338181</v>
      </c>
      <c r="W13" s="357">
        <v>0</v>
      </c>
      <c r="X13" s="357">
        <v>0</v>
      </c>
      <c r="Y13" s="153">
        <f t="shared" si="4"/>
        <v>0</v>
      </c>
      <c r="Z13" s="153">
        <f t="shared" si="5"/>
        <v>1528181</v>
      </c>
    </row>
    <row r="14" spans="1:28" x14ac:dyDescent="0.25">
      <c r="A14" s="815"/>
      <c r="B14" s="151"/>
      <c r="C14" s="152" t="s">
        <v>266</v>
      </c>
      <c r="D14" s="152" t="s">
        <v>421</v>
      </c>
      <c r="E14" s="153">
        <v>598000</v>
      </c>
      <c r="F14" s="153">
        <v>0</v>
      </c>
      <c r="G14" s="153">
        <v>0</v>
      </c>
      <c r="H14" s="153">
        <v>-381030</v>
      </c>
      <c r="I14" s="153">
        <v>1330000</v>
      </c>
      <c r="J14" s="153">
        <v>61000</v>
      </c>
      <c r="K14" s="153">
        <v>56000</v>
      </c>
      <c r="L14" s="153">
        <v>-53869</v>
      </c>
      <c r="M14" s="153">
        <f>SUM(E14:L14)</f>
        <v>1610101</v>
      </c>
      <c r="N14" s="357">
        <v>0</v>
      </c>
      <c r="O14" s="153">
        <v>0</v>
      </c>
      <c r="P14" s="153"/>
      <c r="Q14" s="153"/>
      <c r="R14" s="357">
        <v>0</v>
      </c>
      <c r="S14" s="357">
        <v>0</v>
      </c>
      <c r="T14" s="357"/>
      <c r="U14" s="357"/>
      <c r="V14" s="153">
        <f t="shared" si="0"/>
        <v>0</v>
      </c>
      <c r="W14" s="357">
        <v>0</v>
      </c>
      <c r="X14" s="357">
        <v>0</v>
      </c>
      <c r="Y14" s="153">
        <f t="shared" si="4"/>
        <v>0</v>
      </c>
      <c r="Z14" s="153">
        <f t="shared" si="5"/>
        <v>1610101</v>
      </c>
    </row>
    <row r="15" spans="1:28" x14ac:dyDescent="0.25">
      <c r="A15" s="815"/>
      <c r="B15" s="151"/>
      <c r="C15" s="152" t="s">
        <v>267</v>
      </c>
      <c r="D15" s="152" t="s">
        <v>422</v>
      </c>
      <c r="E15" s="153">
        <v>30830205</v>
      </c>
      <c r="F15" s="153">
        <v>17749709</v>
      </c>
      <c r="G15" s="153">
        <v>5356967</v>
      </c>
      <c r="H15" s="153">
        <v>814089</v>
      </c>
      <c r="I15" s="153">
        <v>1133850</v>
      </c>
      <c r="J15" s="153">
        <v>35363</v>
      </c>
      <c r="K15" s="153">
        <v>35000</v>
      </c>
      <c r="L15" s="153">
        <v>26107</v>
      </c>
      <c r="M15" s="153">
        <f>SUM(E15:L15)</f>
        <v>55981290</v>
      </c>
      <c r="N15" s="357">
        <v>0</v>
      </c>
      <c r="O15" s="153">
        <v>0</v>
      </c>
      <c r="P15" s="153"/>
      <c r="Q15" s="153"/>
      <c r="R15" s="357">
        <v>0</v>
      </c>
      <c r="S15" s="357">
        <v>0</v>
      </c>
      <c r="T15" s="357"/>
      <c r="U15" s="357"/>
      <c r="V15" s="153">
        <f t="shared" si="0"/>
        <v>0</v>
      </c>
      <c r="W15" s="357">
        <v>0</v>
      </c>
      <c r="X15" s="357">
        <v>0</v>
      </c>
      <c r="Y15" s="153">
        <f t="shared" si="4"/>
        <v>0</v>
      </c>
      <c r="Z15" s="153">
        <f t="shared" si="5"/>
        <v>55981290</v>
      </c>
    </row>
    <row r="16" spans="1:28" s="360" customFormat="1" ht="19.5" customHeight="1" x14ac:dyDescent="0.25">
      <c r="A16" s="815"/>
      <c r="B16" s="797" t="s">
        <v>268</v>
      </c>
      <c r="C16" s="797"/>
      <c r="D16" s="316" t="s">
        <v>423</v>
      </c>
      <c r="E16" s="170">
        <f>SUM(E10:E15)</f>
        <v>94920208</v>
      </c>
      <c r="F16" s="170">
        <f t="shared" ref="F16:Z16" si="6">SUM(F10:F15)</f>
        <v>17939709</v>
      </c>
      <c r="G16" s="170">
        <f t="shared" si="6"/>
        <v>6537123</v>
      </c>
      <c r="H16" s="170">
        <f t="shared" si="6"/>
        <v>5025970</v>
      </c>
      <c r="I16" s="170">
        <f t="shared" si="6"/>
        <v>8269870</v>
      </c>
      <c r="J16" s="170">
        <f t="shared" si="6"/>
        <v>165695</v>
      </c>
      <c r="K16" s="170">
        <f t="shared" si="6"/>
        <v>1394590</v>
      </c>
      <c r="L16" s="170">
        <f t="shared" si="6"/>
        <v>135090</v>
      </c>
      <c r="M16" s="170">
        <f t="shared" si="2"/>
        <v>134253165</v>
      </c>
      <c r="N16" s="170">
        <f t="shared" si="6"/>
        <v>112778</v>
      </c>
      <c r="O16" s="170">
        <f t="shared" si="6"/>
        <v>1225403</v>
      </c>
      <c r="P16" s="170">
        <f t="shared" si="6"/>
        <v>0</v>
      </c>
      <c r="Q16" s="170">
        <f t="shared" si="6"/>
        <v>0</v>
      </c>
      <c r="R16" s="170">
        <f t="shared" si="6"/>
        <v>1600000</v>
      </c>
      <c r="S16" s="170">
        <f t="shared" si="6"/>
        <v>0</v>
      </c>
      <c r="T16" s="170">
        <f t="shared" si="6"/>
        <v>104926</v>
      </c>
      <c r="U16" s="170"/>
      <c r="V16" s="170">
        <f t="shared" si="0"/>
        <v>3043107</v>
      </c>
      <c r="W16" s="170">
        <f t="shared" si="6"/>
        <v>0</v>
      </c>
      <c r="X16" s="170">
        <f t="shared" si="6"/>
        <v>0</v>
      </c>
      <c r="Y16" s="170">
        <f t="shared" si="6"/>
        <v>0</v>
      </c>
      <c r="Z16" s="170">
        <f t="shared" si="6"/>
        <v>137359390</v>
      </c>
      <c r="AA16" s="371"/>
      <c r="AB16" s="371"/>
    </row>
    <row r="17" spans="1:28" s="360" customFormat="1" ht="25.5" customHeight="1" x14ac:dyDescent="0.25">
      <c r="A17" s="372" t="s">
        <v>45</v>
      </c>
      <c r="B17" s="797" t="s">
        <v>112</v>
      </c>
      <c r="C17" s="797"/>
      <c r="D17" s="316" t="s">
        <v>424</v>
      </c>
      <c r="E17" s="170">
        <v>1400000</v>
      </c>
      <c r="F17" s="170">
        <v>0</v>
      </c>
      <c r="G17" s="170">
        <v>1489710</v>
      </c>
      <c r="H17" s="170">
        <v>-2286335</v>
      </c>
      <c r="I17" s="170">
        <v>0</v>
      </c>
      <c r="J17" s="170">
        <v>564300</v>
      </c>
      <c r="K17" s="170">
        <v>-564300</v>
      </c>
      <c r="L17" s="170">
        <v>0</v>
      </c>
      <c r="M17" s="170">
        <f>SUM(E17:L17)</f>
        <v>603375</v>
      </c>
      <c r="N17" s="373">
        <v>0</v>
      </c>
      <c r="O17" s="170">
        <v>0</v>
      </c>
      <c r="P17" s="170"/>
      <c r="Q17" s="170"/>
      <c r="R17" s="373">
        <v>0</v>
      </c>
      <c r="S17" s="373">
        <v>0</v>
      </c>
      <c r="T17" s="373"/>
      <c r="U17" s="373"/>
      <c r="V17" s="170">
        <f t="shared" si="0"/>
        <v>0</v>
      </c>
      <c r="W17" s="373">
        <v>0</v>
      </c>
      <c r="X17" s="373">
        <v>0</v>
      </c>
      <c r="Y17" s="170">
        <f t="shared" ref="Y17:Y19" si="7">SUM(W17:X17)</f>
        <v>0</v>
      </c>
      <c r="Z17" s="170">
        <f>M17+V17+Y17</f>
        <v>603375</v>
      </c>
      <c r="AA17" s="371"/>
      <c r="AB17" s="371"/>
    </row>
    <row r="18" spans="1:28" s="360" customFormat="1" ht="25.5" customHeight="1" x14ac:dyDescent="0.25">
      <c r="A18" s="372" t="s">
        <v>46</v>
      </c>
      <c r="B18" s="797" t="s">
        <v>269</v>
      </c>
      <c r="C18" s="797"/>
      <c r="D18" s="316" t="s">
        <v>425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f>SUM(E18:L18)</f>
        <v>0</v>
      </c>
      <c r="N18" s="373">
        <v>0</v>
      </c>
      <c r="O18" s="170">
        <v>0</v>
      </c>
      <c r="P18" s="170"/>
      <c r="Q18" s="170"/>
      <c r="R18" s="373">
        <v>0</v>
      </c>
      <c r="S18" s="373">
        <v>0</v>
      </c>
      <c r="T18" s="373"/>
      <c r="U18" s="373"/>
      <c r="V18" s="170">
        <f t="shared" si="0"/>
        <v>0</v>
      </c>
      <c r="W18" s="373">
        <v>0</v>
      </c>
      <c r="X18" s="373">
        <v>0</v>
      </c>
      <c r="Y18" s="170">
        <f t="shared" si="7"/>
        <v>0</v>
      </c>
      <c r="Z18" s="170">
        <f>M18+V18+Y18</f>
        <v>0</v>
      </c>
      <c r="AA18" s="371"/>
      <c r="AB18" s="371"/>
    </row>
    <row r="19" spans="1:28" x14ac:dyDescent="0.25">
      <c r="A19" s="816" t="s">
        <v>52</v>
      </c>
      <c r="B19" s="151"/>
      <c r="C19" s="152" t="s">
        <v>270</v>
      </c>
      <c r="D19" s="152" t="s">
        <v>426</v>
      </c>
      <c r="E19" s="153">
        <v>243693052</v>
      </c>
      <c r="F19" s="153">
        <v>0</v>
      </c>
      <c r="G19" s="153">
        <v>97500</v>
      </c>
      <c r="H19" s="153">
        <v>-24536527</v>
      </c>
      <c r="I19" s="153">
        <v>488205</v>
      </c>
      <c r="J19" s="153">
        <v>11923</v>
      </c>
      <c r="K19" s="153">
        <v>20852</v>
      </c>
      <c r="L19" s="153">
        <v>-23645</v>
      </c>
      <c r="M19" s="153">
        <f>SUM(E19:L19)</f>
        <v>219751360</v>
      </c>
      <c r="N19" s="357">
        <v>0</v>
      </c>
      <c r="O19" s="153">
        <v>0</v>
      </c>
      <c r="P19" s="153"/>
      <c r="Q19" s="153"/>
      <c r="R19" s="357">
        <v>0</v>
      </c>
      <c r="S19" s="357">
        <v>0</v>
      </c>
      <c r="T19" s="357"/>
      <c r="U19" s="357"/>
      <c r="V19" s="153">
        <f t="shared" si="0"/>
        <v>0</v>
      </c>
      <c r="W19" s="357">
        <v>0</v>
      </c>
      <c r="X19" s="357">
        <v>0</v>
      </c>
      <c r="Y19" s="153">
        <f t="shared" si="7"/>
        <v>0</v>
      </c>
      <c r="Z19" s="153">
        <f t="shared" ref="Z19:Z20" si="8">M19+V19+Y19</f>
        <v>219751360</v>
      </c>
    </row>
    <row r="20" spans="1:28" x14ac:dyDescent="0.25">
      <c r="A20" s="817"/>
      <c r="B20" s="151"/>
      <c r="C20" s="152" t="s">
        <v>271</v>
      </c>
      <c r="D20" s="152" t="s">
        <v>427</v>
      </c>
      <c r="E20" s="357">
        <v>0</v>
      </c>
      <c r="F20" s="357">
        <v>0</v>
      </c>
      <c r="G20" s="357">
        <v>0</v>
      </c>
      <c r="H20" s="357"/>
      <c r="I20" s="357">
        <v>0</v>
      </c>
      <c r="J20" s="357">
        <v>0</v>
      </c>
      <c r="K20" s="357"/>
      <c r="L20" s="357">
        <v>-9130</v>
      </c>
      <c r="M20" s="357">
        <f>SUM(E20:L20)</f>
        <v>-9130</v>
      </c>
      <c r="N20" s="153">
        <v>25570215</v>
      </c>
      <c r="O20" s="153">
        <v>1056000</v>
      </c>
      <c r="P20" s="153">
        <v>5508401</v>
      </c>
      <c r="Q20" s="153">
        <v>680132</v>
      </c>
      <c r="R20" s="153">
        <v>0</v>
      </c>
      <c r="S20" s="153">
        <v>0</v>
      </c>
      <c r="T20" s="153"/>
      <c r="U20" s="153"/>
      <c r="V20" s="153">
        <f t="shared" si="0"/>
        <v>32814748</v>
      </c>
      <c r="W20" s="357">
        <v>0</v>
      </c>
      <c r="X20" s="357">
        <v>0</v>
      </c>
      <c r="Y20" s="357">
        <v>0</v>
      </c>
      <c r="Z20" s="153">
        <f t="shared" si="8"/>
        <v>32805618</v>
      </c>
    </row>
    <row r="21" spans="1:28" ht="25.5" customHeight="1" x14ac:dyDescent="0.25">
      <c r="A21" s="818"/>
      <c r="B21" s="797" t="s">
        <v>272</v>
      </c>
      <c r="C21" s="797"/>
      <c r="D21" s="316" t="s">
        <v>484</v>
      </c>
      <c r="E21" s="170">
        <f>SUM(E19:E20)</f>
        <v>243693052</v>
      </c>
      <c r="F21" s="170">
        <f t="shared" ref="F21:T21" si="9">SUM(F19:F20)</f>
        <v>0</v>
      </c>
      <c r="G21" s="170">
        <f t="shared" si="9"/>
        <v>97500</v>
      </c>
      <c r="H21" s="170"/>
      <c r="I21" s="170">
        <f t="shared" si="9"/>
        <v>488205</v>
      </c>
      <c r="J21" s="170">
        <f t="shared" si="9"/>
        <v>11923</v>
      </c>
      <c r="K21" s="170">
        <f t="shared" si="9"/>
        <v>20852</v>
      </c>
      <c r="L21" s="170">
        <f t="shared" si="9"/>
        <v>-32775</v>
      </c>
      <c r="M21" s="170">
        <f t="shared" si="9"/>
        <v>219742230</v>
      </c>
      <c r="N21" s="170">
        <f t="shared" si="9"/>
        <v>25570215</v>
      </c>
      <c r="O21" s="170">
        <f t="shared" si="9"/>
        <v>1056000</v>
      </c>
      <c r="P21" s="170">
        <f t="shared" si="9"/>
        <v>5508401</v>
      </c>
      <c r="Q21" s="170">
        <f t="shared" si="9"/>
        <v>680132</v>
      </c>
      <c r="R21" s="170">
        <f t="shared" si="9"/>
        <v>0</v>
      </c>
      <c r="S21" s="170">
        <f t="shared" si="9"/>
        <v>0</v>
      </c>
      <c r="T21" s="170">
        <f t="shared" si="9"/>
        <v>0</v>
      </c>
      <c r="U21" s="170"/>
      <c r="V21" s="170">
        <f t="shared" si="0"/>
        <v>32814748</v>
      </c>
      <c r="W21" s="170">
        <f t="shared" ref="W21:Z21" si="10">SUM(W19:W20)</f>
        <v>0</v>
      </c>
      <c r="X21" s="170">
        <f t="shared" si="10"/>
        <v>0</v>
      </c>
      <c r="Y21" s="170">
        <f t="shared" ref="Y21:Y25" si="11">SUM(W21:X21)</f>
        <v>0</v>
      </c>
      <c r="Z21" s="170">
        <f t="shared" si="10"/>
        <v>252556978</v>
      </c>
    </row>
    <row r="22" spans="1:28" s="365" customFormat="1" ht="25.5" customHeight="1" x14ac:dyDescent="0.25">
      <c r="A22" s="372" t="s">
        <v>54</v>
      </c>
      <c r="B22" s="847" t="s">
        <v>115</v>
      </c>
      <c r="C22" s="848"/>
      <c r="D22" s="374" t="s">
        <v>428</v>
      </c>
      <c r="E22" s="375">
        <v>50254587</v>
      </c>
      <c r="F22" s="375">
        <v>57928422</v>
      </c>
      <c r="G22" s="375">
        <v>27923015</v>
      </c>
      <c r="H22" s="375">
        <v>17768353</v>
      </c>
      <c r="I22" s="376">
        <v>0</v>
      </c>
      <c r="J22" s="376">
        <v>0</v>
      </c>
      <c r="K22" s="376">
        <v>0</v>
      </c>
      <c r="L22" s="376">
        <v>0</v>
      </c>
      <c r="M22" s="376">
        <f t="shared" ref="M22:M27" si="12">SUM(E22:L22)</f>
        <v>153874377</v>
      </c>
      <c r="N22" s="377">
        <v>0</v>
      </c>
      <c r="O22" s="380">
        <v>0</v>
      </c>
      <c r="P22" s="380"/>
      <c r="Q22" s="380"/>
      <c r="R22" s="377">
        <v>0</v>
      </c>
      <c r="S22" s="377">
        <v>0</v>
      </c>
      <c r="T22" s="377"/>
      <c r="U22" s="377"/>
      <c r="V22" s="376">
        <f t="shared" si="0"/>
        <v>0</v>
      </c>
      <c r="W22" s="377">
        <v>0</v>
      </c>
      <c r="X22" s="377">
        <v>0</v>
      </c>
      <c r="Y22" s="376">
        <f t="shared" si="11"/>
        <v>0</v>
      </c>
      <c r="Z22" s="170">
        <f>M22+V22+Y22</f>
        <v>153874377</v>
      </c>
      <c r="AA22" s="378"/>
      <c r="AB22" s="378"/>
    </row>
    <row r="23" spans="1:28" s="159" customFormat="1" ht="19.5" customHeight="1" x14ac:dyDescent="0.25">
      <c r="A23" s="369" t="s">
        <v>55</v>
      </c>
      <c r="B23" s="797" t="s">
        <v>273</v>
      </c>
      <c r="C23" s="797"/>
      <c r="D23" s="316" t="s">
        <v>429</v>
      </c>
      <c r="E23" s="170">
        <v>466274973</v>
      </c>
      <c r="F23" s="170">
        <v>-10450787</v>
      </c>
      <c r="G23" s="170">
        <v>1850147</v>
      </c>
      <c r="H23" s="170">
        <v>-333776222</v>
      </c>
      <c r="I23" s="170">
        <v>0</v>
      </c>
      <c r="J23" s="170">
        <v>1750412</v>
      </c>
      <c r="K23" s="170">
        <v>24730</v>
      </c>
      <c r="L23" s="170">
        <v>0</v>
      </c>
      <c r="M23" s="170">
        <f t="shared" si="12"/>
        <v>125673253</v>
      </c>
      <c r="N23" s="373">
        <v>0</v>
      </c>
      <c r="O23" s="170">
        <v>0</v>
      </c>
      <c r="P23" s="170"/>
      <c r="Q23" s="170"/>
      <c r="R23" s="373">
        <v>0</v>
      </c>
      <c r="S23" s="373">
        <v>0</v>
      </c>
      <c r="T23" s="373"/>
      <c r="U23" s="373"/>
      <c r="V23" s="170">
        <f t="shared" si="0"/>
        <v>0</v>
      </c>
      <c r="W23" s="373">
        <v>0</v>
      </c>
      <c r="X23" s="373">
        <v>0</v>
      </c>
      <c r="Y23" s="170">
        <f t="shared" si="11"/>
        <v>0</v>
      </c>
      <c r="Z23" s="170">
        <f>M23+V23+Y23</f>
        <v>125673253</v>
      </c>
      <c r="AA23" s="180"/>
      <c r="AB23" s="180"/>
    </row>
    <row r="24" spans="1:28" s="159" customFormat="1" ht="18.75" customHeight="1" x14ac:dyDescent="0.25">
      <c r="A24" s="369" t="s">
        <v>56</v>
      </c>
      <c r="B24" s="797" t="s">
        <v>158</v>
      </c>
      <c r="C24" s="797"/>
      <c r="D24" s="316" t="s">
        <v>430</v>
      </c>
      <c r="E24" s="170">
        <v>43561791</v>
      </c>
      <c r="F24" s="170">
        <v>0</v>
      </c>
      <c r="G24" s="170">
        <v>999999</v>
      </c>
      <c r="H24" s="170">
        <v>-4407211</v>
      </c>
      <c r="I24" s="170">
        <v>0</v>
      </c>
      <c r="J24" s="170">
        <v>0</v>
      </c>
      <c r="K24" s="170">
        <v>0</v>
      </c>
      <c r="L24" s="170">
        <v>0</v>
      </c>
      <c r="M24" s="170">
        <f t="shared" si="12"/>
        <v>40154579</v>
      </c>
      <c r="N24" s="373">
        <v>0</v>
      </c>
      <c r="O24" s="170">
        <v>0</v>
      </c>
      <c r="P24" s="170"/>
      <c r="Q24" s="170"/>
      <c r="R24" s="373">
        <v>0</v>
      </c>
      <c r="S24" s="373">
        <v>0</v>
      </c>
      <c r="T24" s="373"/>
      <c r="U24" s="373"/>
      <c r="V24" s="170">
        <f t="shared" si="0"/>
        <v>0</v>
      </c>
      <c r="W24" s="373">
        <v>0</v>
      </c>
      <c r="X24" s="373">
        <v>0</v>
      </c>
      <c r="Y24" s="170">
        <f t="shared" si="11"/>
        <v>0</v>
      </c>
      <c r="Z24" s="170">
        <f>M24+V24+Y24</f>
        <v>40154579</v>
      </c>
      <c r="AA24" s="180"/>
      <c r="AB24" s="180"/>
    </row>
    <row r="25" spans="1:28" ht="26.4" x14ac:dyDescent="0.25">
      <c r="A25" s="816" t="s">
        <v>57</v>
      </c>
      <c r="B25" s="151"/>
      <c r="C25" s="152" t="s">
        <v>485</v>
      </c>
      <c r="D25" s="152" t="s">
        <v>431</v>
      </c>
      <c r="E25" s="153">
        <v>0</v>
      </c>
      <c r="F25" s="153">
        <v>0</v>
      </c>
      <c r="G25" s="153">
        <v>0</v>
      </c>
      <c r="H25" s="153"/>
      <c r="I25" s="153">
        <v>0</v>
      </c>
      <c r="J25" s="153">
        <v>0</v>
      </c>
      <c r="K25" s="153">
        <v>0</v>
      </c>
      <c r="L25" s="153">
        <v>0</v>
      </c>
      <c r="M25" s="153">
        <f t="shared" si="12"/>
        <v>0</v>
      </c>
      <c r="N25" s="357">
        <v>0</v>
      </c>
      <c r="O25" s="153">
        <v>0</v>
      </c>
      <c r="P25" s="153"/>
      <c r="Q25" s="153"/>
      <c r="R25" s="357">
        <v>0</v>
      </c>
      <c r="S25" s="357">
        <v>0</v>
      </c>
      <c r="T25" s="357"/>
      <c r="U25" s="357"/>
      <c r="V25" s="153">
        <f t="shared" si="0"/>
        <v>0</v>
      </c>
      <c r="W25" s="357">
        <v>0</v>
      </c>
      <c r="X25" s="357">
        <v>0</v>
      </c>
      <c r="Y25" s="153">
        <f t="shared" si="11"/>
        <v>0</v>
      </c>
      <c r="Z25" s="153">
        <f t="shared" ref="Z25:Z27" si="13">M25+V25+Y25</f>
        <v>0</v>
      </c>
    </row>
    <row r="26" spans="1:28" ht="26.4" x14ac:dyDescent="0.25">
      <c r="A26" s="817"/>
      <c r="B26" s="151"/>
      <c r="C26" s="152" t="s">
        <v>274</v>
      </c>
      <c r="D26" s="152" t="s">
        <v>83</v>
      </c>
      <c r="E26" s="357">
        <v>0</v>
      </c>
      <c r="F26" s="357">
        <v>0</v>
      </c>
      <c r="G26" s="357">
        <v>0</v>
      </c>
      <c r="H26" s="357"/>
      <c r="I26" s="357">
        <v>0</v>
      </c>
      <c r="J26" s="357">
        <v>0</v>
      </c>
      <c r="K26" s="357">
        <v>0</v>
      </c>
      <c r="L26" s="357">
        <v>0</v>
      </c>
      <c r="M26" s="357">
        <f t="shared" si="12"/>
        <v>0</v>
      </c>
      <c r="N26" s="153">
        <v>2000000</v>
      </c>
      <c r="O26" s="153">
        <v>0</v>
      </c>
      <c r="P26" s="153"/>
      <c r="Q26" s="153">
        <v>-2000000</v>
      </c>
      <c r="R26" s="153">
        <v>0</v>
      </c>
      <c r="S26" s="153">
        <v>0</v>
      </c>
      <c r="T26" s="153"/>
      <c r="U26" s="153">
        <v>1300000</v>
      </c>
      <c r="V26" s="153">
        <f>SUM(N26:U26)</f>
        <v>1300000</v>
      </c>
      <c r="W26" s="357">
        <v>0</v>
      </c>
      <c r="X26" s="357">
        <v>0</v>
      </c>
      <c r="Y26" s="357">
        <v>0</v>
      </c>
      <c r="Z26" s="153">
        <f t="shared" si="13"/>
        <v>1300000</v>
      </c>
    </row>
    <row r="27" spans="1:28" ht="26.4" x14ac:dyDescent="0.25">
      <c r="A27" s="817"/>
      <c r="B27" s="151"/>
      <c r="C27" s="152" t="s">
        <v>275</v>
      </c>
      <c r="D27" s="152" t="s">
        <v>82</v>
      </c>
      <c r="E27" s="153">
        <v>0</v>
      </c>
      <c r="F27" s="153">
        <v>0</v>
      </c>
      <c r="G27" s="153">
        <v>0</v>
      </c>
      <c r="H27" s="153"/>
      <c r="I27" s="153">
        <v>0</v>
      </c>
      <c r="J27" s="153">
        <v>0</v>
      </c>
      <c r="K27" s="153">
        <v>0</v>
      </c>
      <c r="L27" s="153">
        <v>0</v>
      </c>
      <c r="M27" s="153">
        <f t="shared" si="12"/>
        <v>0</v>
      </c>
      <c r="N27" s="357">
        <v>0</v>
      </c>
      <c r="O27" s="153">
        <v>0</v>
      </c>
      <c r="P27" s="153"/>
      <c r="Q27" s="153"/>
      <c r="R27" s="357">
        <v>0</v>
      </c>
      <c r="S27" s="357">
        <v>0</v>
      </c>
      <c r="T27" s="357"/>
      <c r="U27" s="357"/>
      <c r="V27" s="153">
        <f t="shared" si="0"/>
        <v>0</v>
      </c>
      <c r="W27" s="357">
        <v>0</v>
      </c>
      <c r="X27" s="357">
        <v>0</v>
      </c>
      <c r="Y27" s="153">
        <f t="shared" ref="Y27" si="14">SUM(W27:X27)</f>
        <v>0</v>
      </c>
      <c r="Z27" s="153">
        <f t="shared" si="13"/>
        <v>0</v>
      </c>
    </row>
    <row r="28" spans="1:28" s="360" customFormat="1" ht="25.5" customHeight="1" x14ac:dyDescent="0.25">
      <c r="A28" s="818"/>
      <c r="B28" s="797" t="s">
        <v>276</v>
      </c>
      <c r="C28" s="797"/>
      <c r="D28" s="316" t="s">
        <v>432</v>
      </c>
      <c r="E28" s="170">
        <f>SUM(E25:E27)</f>
        <v>0</v>
      </c>
      <c r="F28" s="170">
        <f>SUM(F25:F27)</f>
        <v>0</v>
      </c>
      <c r="G28" s="170">
        <f t="shared" ref="G28:M28" si="15">SUM(G25:G27)</f>
        <v>0</v>
      </c>
      <c r="H28" s="170"/>
      <c r="I28" s="170">
        <f t="shared" si="15"/>
        <v>0</v>
      </c>
      <c r="J28" s="170">
        <f t="shared" si="15"/>
        <v>0</v>
      </c>
      <c r="K28" s="170">
        <f t="shared" si="15"/>
        <v>0</v>
      </c>
      <c r="L28" s="170"/>
      <c r="M28" s="170">
        <f t="shared" si="15"/>
        <v>0</v>
      </c>
      <c r="N28" s="170">
        <f t="shared" ref="N28:X28" si="16">SUM(N25:N27)</f>
        <v>2000000</v>
      </c>
      <c r="O28" s="170">
        <f t="shared" si="16"/>
        <v>0</v>
      </c>
      <c r="P28" s="170">
        <f t="shared" si="16"/>
        <v>0</v>
      </c>
      <c r="Q28" s="170">
        <f t="shared" si="16"/>
        <v>-2000000</v>
      </c>
      <c r="R28" s="170">
        <f t="shared" si="16"/>
        <v>0</v>
      </c>
      <c r="S28" s="170">
        <f t="shared" si="16"/>
        <v>0</v>
      </c>
      <c r="T28" s="170">
        <f t="shared" si="16"/>
        <v>0</v>
      </c>
      <c r="U28" s="170">
        <f t="shared" si="16"/>
        <v>1300000</v>
      </c>
      <c r="V28" s="170">
        <f t="shared" si="16"/>
        <v>1300000</v>
      </c>
      <c r="W28" s="170">
        <f t="shared" si="16"/>
        <v>0</v>
      </c>
      <c r="X28" s="170">
        <f t="shared" si="16"/>
        <v>0</v>
      </c>
      <c r="Y28" s="170">
        <f>SUM(Y25:Y27)</f>
        <v>0</v>
      </c>
      <c r="Z28" s="170">
        <f>M28+V28+Y28</f>
        <v>1300000</v>
      </c>
      <c r="AA28" s="371"/>
      <c r="AB28" s="371"/>
    </row>
    <row r="29" spans="1:28" s="360" customFormat="1" ht="25.5" customHeight="1" x14ac:dyDescent="0.25">
      <c r="A29" s="810" t="s">
        <v>277</v>
      </c>
      <c r="B29" s="810"/>
      <c r="C29" s="810"/>
      <c r="D29" s="363" t="s">
        <v>433</v>
      </c>
      <c r="E29" s="364">
        <f>E8+E9+E16+E17+E18+E21+E23+E24+E28+E22</f>
        <v>952754914</v>
      </c>
      <c r="F29" s="364">
        <f>F8+F9+F16+F17+F18+F21+F23+F24+F28+F22</f>
        <v>64361344</v>
      </c>
      <c r="G29" s="364">
        <f t="shared" ref="G29:L29" si="17">G8+G9+G16+G17+G18+G21+G23+G24+G28+G22</f>
        <v>37455472</v>
      </c>
      <c r="H29" s="364">
        <f t="shared" si="17"/>
        <v>-318567172</v>
      </c>
      <c r="I29" s="364">
        <f t="shared" si="17"/>
        <v>102782321</v>
      </c>
      <c r="J29" s="364">
        <f t="shared" si="17"/>
        <v>5025574</v>
      </c>
      <c r="K29" s="364">
        <f t="shared" si="17"/>
        <v>4548517</v>
      </c>
      <c r="L29" s="364">
        <f t="shared" si="17"/>
        <v>828995</v>
      </c>
      <c r="M29" s="364">
        <f t="shared" si="2"/>
        <v>848360970</v>
      </c>
      <c r="N29" s="364">
        <f t="shared" ref="N29:Z29" si="18">N8+N9+N16+N17+N18+N21+N23+N24+N28+N22</f>
        <v>27682993</v>
      </c>
      <c r="O29" s="364">
        <f t="shared" si="18"/>
        <v>2281403</v>
      </c>
      <c r="P29" s="364">
        <f>P8+P9+P16+P17+P18+P21+P23+P24+P28+P22</f>
        <v>5508401</v>
      </c>
      <c r="Q29" s="364">
        <f>Q8+Q9+Q16+Q17+Q18+Q21+Q23+Q24+Q28+Q22</f>
        <v>-1319868</v>
      </c>
      <c r="R29" s="364">
        <f t="shared" si="18"/>
        <v>1600000</v>
      </c>
      <c r="S29" s="364">
        <f t="shared" si="18"/>
        <v>0</v>
      </c>
      <c r="T29" s="364">
        <f t="shared" si="18"/>
        <v>104926</v>
      </c>
      <c r="U29" s="364">
        <f t="shared" si="18"/>
        <v>1300000</v>
      </c>
      <c r="V29" s="364">
        <f t="shared" si="18"/>
        <v>37157855</v>
      </c>
      <c r="W29" s="364">
        <f t="shared" si="18"/>
        <v>0</v>
      </c>
      <c r="X29" s="364">
        <f t="shared" si="18"/>
        <v>0</v>
      </c>
      <c r="Y29" s="364">
        <f t="shared" si="18"/>
        <v>0</v>
      </c>
      <c r="Z29" s="364">
        <f t="shared" si="18"/>
        <v>861739321</v>
      </c>
      <c r="AA29" s="371"/>
      <c r="AB29" s="371"/>
    </row>
    <row r="30" spans="1:28" x14ac:dyDescent="0.25">
      <c r="A30" s="816" t="s">
        <v>29</v>
      </c>
      <c r="B30" s="151"/>
      <c r="C30" s="152" t="s">
        <v>280</v>
      </c>
      <c r="D30" s="152" t="s">
        <v>434</v>
      </c>
      <c r="E30" s="153">
        <v>9110753</v>
      </c>
      <c r="F30" s="153">
        <v>0</v>
      </c>
      <c r="G30" s="153"/>
      <c r="H30" s="153"/>
      <c r="I30" s="153">
        <v>0</v>
      </c>
      <c r="J30" s="153">
        <v>0</v>
      </c>
      <c r="K30" s="153"/>
      <c r="L30" s="153"/>
      <c r="M30" s="153">
        <f t="shared" si="2"/>
        <v>9110753</v>
      </c>
      <c r="N30" s="357">
        <v>0</v>
      </c>
      <c r="O30" s="153">
        <v>0</v>
      </c>
      <c r="P30" s="153">
        <v>0</v>
      </c>
      <c r="Q30" s="153"/>
      <c r="R30" s="357">
        <v>0</v>
      </c>
      <c r="S30" s="357">
        <v>0</v>
      </c>
      <c r="T30" s="357"/>
      <c r="U30" s="357"/>
      <c r="V30" s="153">
        <f t="shared" si="0"/>
        <v>0</v>
      </c>
      <c r="W30" s="357">
        <v>0</v>
      </c>
      <c r="X30" s="357">
        <v>0</v>
      </c>
      <c r="Y30" s="153">
        <f>SUM(W30:X30)</f>
        <v>0</v>
      </c>
      <c r="Z30" s="153">
        <f t="shared" ref="Z30:Z31" si="19">M30+V30+Y30</f>
        <v>9110753</v>
      </c>
    </row>
    <row r="31" spans="1:28" x14ac:dyDescent="0.25">
      <c r="A31" s="818"/>
      <c r="B31" s="151"/>
      <c r="C31" s="152" t="s">
        <v>281</v>
      </c>
      <c r="D31" s="152" t="s">
        <v>84</v>
      </c>
      <c r="E31" s="153">
        <v>102023405</v>
      </c>
      <c r="F31" s="153">
        <v>997200</v>
      </c>
      <c r="G31" s="153">
        <v>1595599</v>
      </c>
      <c r="H31" s="153">
        <v>779440</v>
      </c>
      <c r="I31" s="153">
        <v>0</v>
      </c>
      <c r="J31" s="153">
        <v>0</v>
      </c>
      <c r="K31" s="153">
        <v>0</v>
      </c>
      <c r="L31" s="153"/>
      <c r="M31" s="153">
        <f t="shared" si="2"/>
        <v>105395644</v>
      </c>
      <c r="N31" s="357">
        <v>0</v>
      </c>
      <c r="O31" s="153">
        <v>0</v>
      </c>
      <c r="P31" s="153">
        <v>0</v>
      </c>
      <c r="Q31" s="153"/>
      <c r="R31" s="357">
        <v>0</v>
      </c>
      <c r="S31" s="357">
        <v>0</v>
      </c>
      <c r="T31" s="357"/>
      <c r="U31" s="357"/>
      <c r="V31" s="153">
        <f t="shared" si="0"/>
        <v>0</v>
      </c>
      <c r="W31" s="357">
        <v>0</v>
      </c>
      <c r="X31" s="357">
        <v>0</v>
      </c>
      <c r="Y31" s="153">
        <f>SUM(W31:X31)</f>
        <v>0</v>
      </c>
      <c r="Z31" s="153">
        <f t="shared" si="19"/>
        <v>105395644</v>
      </c>
    </row>
    <row r="32" spans="1:28" s="360" customFormat="1" ht="22.5" customHeight="1" x14ac:dyDescent="0.25">
      <c r="A32" s="849" t="s">
        <v>278</v>
      </c>
      <c r="B32" s="850"/>
      <c r="C32" s="851"/>
      <c r="D32" s="379" t="s">
        <v>435</v>
      </c>
      <c r="E32" s="364">
        <f>SUM(E30:E31)</f>
        <v>111134158</v>
      </c>
      <c r="F32" s="364">
        <f>SUM(F30:F31)</f>
        <v>997200</v>
      </c>
      <c r="G32" s="364">
        <f t="shared" ref="G32:V32" si="20">SUM(G30:G31)</f>
        <v>1595599</v>
      </c>
      <c r="H32" s="364">
        <f t="shared" si="20"/>
        <v>779440</v>
      </c>
      <c r="I32" s="364">
        <f t="shared" si="20"/>
        <v>0</v>
      </c>
      <c r="J32" s="364">
        <f t="shared" si="20"/>
        <v>0</v>
      </c>
      <c r="K32" s="364">
        <f t="shared" si="20"/>
        <v>0</v>
      </c>
      <c r="L32" s="364">
        <f t="shared" si="20"/>
        <v>0</v>
      </c>
      <c r="M32" s="364">
        <f t="shared" si="20"/>
        <v>114506397</v>
      </c>
      <c r="N32" s="364">
        <f t="shared" si="20"/>
        <v>0</v>
      </c>
      <c r="O32" s="364">
        <f t="shared" si="20"/>
        <v>0</v>
      </c>
      <c r="P32" s="364">
        <f t="shared" si="20"/>
        <v>0</v>
      </c>
      <c r="Q32" s="364"/>
      <c r="R32" s="364">
        <f t="shared" si="20"/>
        <v>0</v>
      </c>
      <c r="S32" s="364">
        <f t="shared" si="20"/>
        <v>0</v>
      </c>
      <c r="T32" s="364">
        <f t="shared" si="20"/>
        <v>0</v>
      </c>
      <c r="U32" s="364">
        <f t="shared" si="20"/>
        <v>0</v>
      </c>
      <c r="V32" s="364">
        <f t="shared" si="20"/>
        <v>0</v>
      </c>
      <c r="W32" s="364">
        <f t="shared" ref="W32:Z32" si="21">SUM(W30:W31)</f>
        <v>0</v>
      </c>
      <c r="X32" s="364">
        <f t="shared" si="21"/>
        <v>0</v>
      </c>
      <c r="Y32" s="364">
        <f>SUM(Y30:Y31)</f>
        <v>0</v>
      </c>
      <c r="Z32" s="364">
        <f t="shared" si="21"/>
        <v>114506397</v>
      </c>
      <c r="AA32" s="371"/>
      <c r="AB32" s="371"/>
    </row>
    <row r="33" spans="1:28" s="148" customFormat="1" ht="22.5" customHeight="1" x14ac:dyDescent="0.25">
      <c r="A33" s="811" t="s">
        <v>279</v>
      </c>
      <c r="B33" s="811"/>
      <c r="C33" s="811"/>
      <c r="D33" s="367"/>
      <c r="E33" s="368">
        <f t="shared" ref="E33:J33" si="22">E29+E32</f>
        <v>1063889072</v>
      </c>
      <c r="F33" s="368">
        <f t="shared" si="22"/>
        <v>65358544</v>
      </c>
      <c r="G33" s="368">
        <f t="shared" si="22"/>
        <v>39051071</v>
      </c>
      <c r="H33" s="368">
        <f t="shared" si="22"/>
        <v>-317787732</v>
      </c>
      <c r="I33" s="368">
        <f t="shared" si="22"/>
        <v>102782321</v>
      </c>
      <c r="J33" s="368">
        <f t="shared" si="22"/>
        <v>5025574</v>
      </c>
      <c r="K33" s="368">
        <f t="shared" ref="K33:L33" si="23">K29+K32</f>
        <v>4548517</v>
      </c>
      <c r="L33" s="368">
        <f t="shared" si="23"/>
        <v>828995</v>
      </c>
      <c r="M33" s="368">
        <f t="shared" si="2"/>
        <v>962867367</v>
      </c>
      <c r="N33" s="368">
        <f t="shared" ref="N33:Z33" si="24">N29+N32</f>
        <v>27682993</v>
      </c>
      <c r="O33" s="368">
        <f t="shared" si="24"/>
        <v>2281403</v>
      </c>
      <c r="P33" s="368"/>
      <c r="Q33" s="368"/>
      <c r="R33" s="368">
        <f t="shared" si="24"/>
        <v>1600000</v>
      </c>
      <c r="S33" s="368">
        <f t="shared" si="24"/>
        <v>0</v>
      </c>
      <c r="T33" s="368">
        <f t="shared" si="24"/>
        <v>104926</v>
      </c>
      <c r="U33" s="368">
        <f t="shared" si="24"/>
        <v>1300000</v>
      </c>
      <c r="V33" s="368">
        <f t="shared" si="24"/>
        <v>37157855</v>
      </c>
      <c r="W33" s="368">
        <f t="shared" si="24"/>
        <v>0</v>
      </c>
      <c r="X33" s="368">
        <f t="shared" si="24"/>
        <v>0</v>
      </c>
      <c r="Y33" s="368">
        <f>Y29+Y32</f>
        <v>0</v>
      </c>
      <c r="Z33" s="368">
        <f t="shared" si="24"/>
        <v>976245718</v>
      </c>
      <c r="AA33" s="181"/>
      <c r="AB33" s="181"/>
    </row>
  </sheetData>
  <mergeCells count="28">
    <mergeCell ref="A6:A8"/>
    <mergeCell ref="B8:C8"/>
    <mergeCell ref="B9:C9"/>
    <mergeCell ref="A1:Z1"/>
    <mergeCell ref="A2:Z2"/>
    <mergeCell ref="A3:C5"/>
    <mergeCell ref="D3:D5"/>
    <mergeCell ref="E3:Z3"/>
    <mergeCell ref="W4:X4"/>
    <mergeCell ref="E4:M4"/>
    <mergeCell ref="N4:V4"/>
    <mergeCell ref="Y4:Y5"/>
    <mergeCell ref="Z4:Z5"/>
    <mergeCell ref="A33:C33"/>
    <mergeCell ref="B24:C24"/>
    <mergeCell ref="A25:A28"/>
    <mergeCell ref="B28:C28"/>
    <mergeCell ref="A29:C29"/>
    <mergeCell ref="A30:A31"/>
    <mergeCell ref="A32:C32"/>
    <mergeCell ref="B23:C23"/>
    <mergeCell ref="A10:A16"/>
    <mergeCell ref="B17:C17"/>
    <mergeCell ref="B18:C18"/>
    <mergeCell ref="A19:A21"/>
    <mergeCell ref="B21:C21"/>
    <mergeCell ref="B22:C22"/>
    <mergeCell ref="B16:C1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B1" zoomScale="106" zoomScaleNormal="106" workbookViewId="0">
      <selection activeCell="F36" sqref="F36"/>
    </sheetView>
  </sheetViews>
  <sheetFormatPr defaultColWidth="9.109375" defaultRowHeight="13.2" x14ac:dyDescent="0.25"/>
  <cols>
    <col min="1" max="1" width="5.44140625" style="164" bestFit="1" customWidth="1"/>
    <col min="2" max="2" width="46.109375" style="165" customWidth="1"/>
    <col min="3" max="4" width="12.5546875" style="174" bestFit="1" customWidth="1"/>
    <col min="5" max="5" width="11.33203125" style="174" customWidth="1"/>
    <col min="6" max="6" width="12.109375" style="174" bestFit="1" customWidth="1"/>
    <col min="7" max="8" width="12.5546875" style="174" bestFit="1" customWidth="1"/>
    <col min="9" max="9" width="46.109375" style="164" customWidth="1"/>
    <col min="10" max="10" width="14" style="174" customWidth="1"/>
    <col min="11" max="11" width="12.5546875" style="174" bestFit="1" customWidth="1"/>
    <col min="12" max="13" width="11" style="174" customWidth="1"/>
    <col min="14" max="15" width="12.5546875" style="174" bestFit="1" customWidth="1"/>
    <col min="16" max="16" width="4.109375" style="164" customWidth="1"/>
    <col min="17" max="16384" width="9.109375" style="164"/>
  </cols>
  <sheetData>
    <row r="1" spans="1:16" ht="39.75" customHeight="1" x14ac:dyDescent="0.25">
      <c r="A1" s="162"/>
      <c r="B1" s="85" t="s">
        <v>106</v>
      </c>
      <c r="C1" s="173"/>
      <c r="D1" s="173"/>
      <c r="E1" s="173"/>
      <c r="F1" s="173"/>
      <c r="G1" s="173"/>
      <c r="H1" s="173"/>
      <c r="I1" s="163"/>
      <c r="J1" s="173"/>
      <c r="K1" s="173"/>
      <c r="L1" s="173"/>
      <c r="M1" s="173"/>
      <c r="N1" s="173"/>
      <c r="O1" s="173"/>
      <c r="P1" s="853"/>
    </row>
    <row r="2" spans="1:16" ht="14.4" thickBot="1" x14ac:dyDescent="0.3">
      <c r="J2" s="86" t="s">
        <v>223</v>
      </c>
      <c r="K2" s="86"/>
      <c r="L2" s="86"/>
      <c r="M2" s="86"/>
      <c r="N2" s="86"/>
      <c r="O2" s="86"/>
      <c r="P2" s="853"/>
    </row>
    <row r="3" spans="1:16" ht="18" customHeight="1" thickBot="1" x14ac:dyDescent="0.3">
      <c r="A3" s="854" t="s">
        <v>107</v>
      </c>
      <c r="B3" s="87" t="s">
        <v>108</v>
      </c>
      <c r="C3" s="88"/>
      <c r="D3" s="231"/>
      <c r="E3" s="231"/>
      <c r="F3" s="231"/>
      <c r="G3" s="231"/>
      <c r="H3" s="231"/>
      <c r="I3" s="87" t="s">
        <v>109</v>
      </c>
      <c r="J3" s="89"/>
      <c r="K3" s="242"/>
      <c r="L3" s="242"/>
      <c r="M3" s="242"/>
      <c r="N3" s="242"/>
      <c r="O3" s="242"/>
      <c r="P3" s="853"/>
    </row>
    <row r="4" spans="1:16" s="92" customFormat="1" ht="35.25" customHeight="1" thickBot="1" x14ac:dyDescent="0.3">
      <c r="A4" s="855"/>
      <c r="B4" s="90" t="s">
        <v>41</v>
      </c>
      <c r="C4" s="91" t="s">
        <v>351</v>
      </c>
      <c r="D4" s="157" t="s">
        <v>348</v>
      </c>
      <c r="E4" s="157" t="s">
        <v>446</v>
      </c>
      <c r="F4" s="157" t="s">
        <v>459</v>
      </c>
      <c r="G4" s="157" t="s">
        <v>349</v>
      </c>
      <c r="H4" s="157" t="s">
        <v>350</v>
      </c>
      <c r="I4" s="90" t="s">
        <v>41</v>
      </c>
      <c r="J4" s="244" t="s">
        <v>351</v>
      </c>
      <c r="K4" s="157" t="s">
        <v>348</v>
      </c>
      <c r="L4" s="157" t="s">
        <v>446</v>
      </c>
      <c r="M4" s="157" t="s">
        <v>455</v>
      </c>
      <c r="N4" s="157" t="s">
        <v>349</v>
      </c>
      <c r="O4" s="157" t="s">
        <v>350</v>
      </c>
      <c r="P4" s="853"/>
    </row>
    <row r="5" spans="1:16" s="96" customFormat="1" ht="12" customHeight="1" thickBot="1" x14ac:dyDescent="0.3">
      <c r="A5" s="93">
        <v>1</v>
      </c>
      <c r="B5" s="94">
        <v>2</v>
      </c>
      <c r="C5" s="95" t="s">
        <v>44</v>
      </c>
      <c r="D5" s="232"/>
      <c r="E5" s="232"/>
      <c r="F5" s="232"/>
      <c r="G5" s="232"/>
      <c r="H5" s="232"/>
      <c r="I5" s="94" t="s">
        <v>45</v>
      </c>
      <c r="J5" s="245" t="s">
        <v>46</v>
      </c>
      <c r="K5" s="252"/>
      <c r="L5" s="252"/>
      <c r="M5" s="252"/>
      <c r="N5" s="252"/>
      <c r="O5" s="252"/>
      <c r="P5" s="853"/>
    </row>
    <row r="6" spans="1:16" ht="12.9" customHeight="1" x14ac:dyDescent="0.25">
      <c r="A6" s="166" t="s">
        <v>42</v>
      </c>
      <c r="B6" s="97" t="s">
        <v>13</v>
      </c>
      <c r="C6" s="160">
        <f>'1. Bevételek'!Q29</f>
        <v>170900000</v>
      </c>
      <c r="D6" s="233">
        <v>0</v>
      </c>
      <c r="E6" s="533">
        <v>0</v>
      </c>
      <c r="F6" s="566">
        <f>G6-C6-D6-E6</f>
        <v>41944802</v>
      </c>
      <c r="G6" s="539">
        <v>212844802</v>
      </c>
      <c r="H6" s="539">
        <v>200569730</v>
      </c>
      <c r="I6" s="97" t="s">
        <v>1</v>
      </c>
      <c r="J6" s="246">
        <f>'2. Kiadások'!Q7</f>
        <v>122984970</v>
      </c>
      <c r="K6" s="99">
        <v>1316586</v>
      </c>
      <c r="L6" s="533">
        <v>1894654</v>
      </c>
      <c r="M6" s="533">
        <f>N6-J6-K6-L6</f>
        <v>433169</v>
      </c>
      <c r="N6" s="545">
        <v>126629379</v>
      </c>
      <c r="O6" s="545">
        <v>125280604</v>
      </c>
      <c r="P6" s="853"/>
    </row>
    <row r="7" spans="1:16" ht="12.9" customHeight="1" x14ac:dyDescent="0.25">
      <c r="A7" s="167" t="s">
        <v>43</v>
      </c>
      <c r="B7" s="98" t="s">
        <v>211</v>
      </c>
      <c r="C7" s="99">
        <f>'1. Bevételek'!Q39</f>
        <v>17487054</v>
      </c>
      <c r="D7" s="233">
        <v>3737005</v>
      </c>
      <c r="E7" s="233">
        <v>4116048</v>
      </c>
      <c r="F7" s="233">
        <f t="shared" ref="F7:F30" si="0">G7-C7-D7-E7</f>
        <v>8115081</v>
      </c>
      <c r="G7" s="540">
        <v>33455188</v>
      </c>
      <c r="H7" s="540">
        <v>33455188</v>
      </c>
      <c r="I7" s="98" t="s">
        <v>110</v>
      </c>
      <c r="J7" s="102">
        <f>'2. Kiadások'!Q8</f>
        <v>23689579</v>
      </c>
      <c r="K7" s="99">
        <v>160658</v>
      </c>
      <c r="L7" s="533">
        <v>335969</v>
      </c>
      <c r="M7" s="533">
        <f t="shared" ref="M7:M26" si="1">N7-J7-K7-L7</f>
        <v>-598216</v>
      </c>
      <c r="N7" s="545">
        <v>23587990</v>
      </c>
      <c r="O7" s="545">
        <v>22905605</v>
      </c>
      <c r="P7" s="853"/>
    </row>
    <row r="8" spans="1:16" ht="12.9" customHeight="1" x14ac:dyDescent="0.25">
      <c r="A8" s="167" t="s">
        <v>44</v>
      </c>
      <c r="B8" s="98" t="s">
        <v>111</v>
      </c>
      <c r="C8" s="99"/>
      <c r="D8" s="233">
        <v>0</v>
      </c>
      <c r="E8" s="233">
        <v>0</v>
      </c>
      <c r="F8" s="233">
        <f t="shared" si="0"/>
        <v>0</v>
      </c>
      <c r="G8" s="534"/>
      <c r="H8" s="534"/>
      <c r="I8" s="98" t="s">
        <v>40</v>
      </c>
      <c r="J8" s="102">
        <f>'2. Kiadások'!Q14</f>
        <v>104902856</v>
      </c>
      <c r="K8" s="99">
        <v>19330807</v>
      </c>
      <c r="L8" s="533">
        <v>8036639</v>
      </c>
      <c r="M8" s="533">
        <f t="shared" si="1"/>
        <v>5089088</v>
      </c>
      <c r="N8" s="545">
        <v>137359390</v>
      </c>
      <c r="O8" s="545">
        <v>137148728</v>
      </c>
      <c r="P8" s="853"/>
    </row>
    <row r="9" spans="1:16" ht="12.9" customHeight="1" x14ac:dyDescent="0.25">
      <c r="A9" s="167" t="s">
        <v>45</v>
      </c>
      <c r="B9" s="101" t="s">
        <v>212</v>
      </c>
      <c r="C9" s="99">
        <f>'1. Bevételek'!Q11</f>
        <v>276381087</v>
      </c>
      <c r="D9" s="233">
        <v>12784266</v>
      </c>
      <c r="E9" s="233">
        <v>12148369</v>
      </c>
      <c r="F9" s="233">
        <f t="shared" si="0"/>
        <v>4086984</v>
      </c>
      <c r="G9" s="540">
        <v>305400706</v>
      </c>
      <c r="H9" s="540">
        <v>305400706</v>
      </c>
      <c r="I9" s="98" t="s">
        <v>112</v>
      </c>
      <c r="J9" s="102">
        <f>'2. Kiadások'!Q15</f>
        <v>1400000</v>
      </c>
      <c r="K9" s="99">
        <v>564300</v>
      </c>
      <c r="L9" s="533">
        <v>925410</v>
      </c>
      <c r="M9" s="533">
        <f t="shared" si="1"/>
        <v>-2286335</v>
      </c>
      <c r="N9" s="545">
        <v>603375</v>
      </c>
      <c r="O9" s="545">
        <v>603375</v>
      </c>
      <c r="P9" s="853"/>
    </row>
    <row r="10" spans="1:16" ht="12.9" customHeight="1" x14ac:dyDescent="0.25">
      <c r="A10" s="167" t="s">
        <v>46</v>
      </c>
      <c r="B10" s="98" t="s">
        <v>113</v>
      </c>
      <c r="C10" s="99">
        <f>'1. Bevételek'!Q17</f>
        <v>38651021</v>
      </c>
      <c r="D10" s="233">
        <v>2286878</v>
      </c>
      <c r="E10" s="233">
        <v>2420188</v>
      </c>
      <c r="F10" s="233">
        <f t="shared" si="0"/>
        <v>1015832</v>
      </c>
      <c r="G10" s="540">
        <v>44373919</v>
      </c>
      <c r="H10" s="540">
        <v>44373919</v>
      </c>
      <c r="I10" s="98" t="s">
        <v>363</v>
      </c>
      <c r="J10" s="102">
        <f>'2. Kiadások'!Q17+'2. Kiadások'!Q18</f>
        <v>269751472</v>
      </c>
      <c r="K10" s="99">
        <v>1067923</v>
      </c>
      <c r="L10" s="533">
        <v>5626753</v>
      </c>
      <c r="M10" s="533">
        <f t="shared" si="1"/>
        <v>-23889170</v>
      </c>
      <c r="N10" s="545">
        <v>252556978</v>
      </c>
      <c r="O10" s="545">
        <v>252556978</v>
      </c>
      <c r="P10" s="853"/>
    </row>
    <row r="11" spans="1:16" ht="12.9" customHeight="1" x14ac:dyDescent="0.25">
      <c r="A11" s="167" t="s">
        <v>52</v>
      </c>
      <c r="B11" s="98" t="s">
        <v>114</v>
      </c>
      <c r="C11" s="102"/>
      <c r="D11" s="233">
        <v>0</v>
      </c>
      <c r="E11" s="528">
        <v>0</v>
      </c>
      <c r="F11" s="528">
        <f t="shared" si="0"/>
        <v>0</v>
      </c>
      <c r="G11" s="535"/>
      <c r="H11" s="535"/>
      <c r="I11" s="98" t="s">
        <v>115</v>
      </c>
      <c r="J11" s="102">
        <f>'2. Kiadások'!Q19</f>
        <v>50254587</v>
      </c>
      <c r="K11" s="99">
        <v>57928422</v>
      </c>
      <c r="L11" s="533">
        <v>27923015</v>
      </c>
      <c r="M11" s="533">
        <f t="shared" si="1"/>
        <v>17768353</v>
      </c>
      <c r="N11" s="545">
        <v>153874377</v>
      </c>
      <c r="O11" s="538">
        <v>0</v>
      </c>
      <c r="P11" s="853"/>
    </row>
    <row r="12" spans="1:16" ht="12.9" customHeight="1" x14ac:dyDescent="0.25">
      <c r="A12" s="167" t="s">
        <v>54</v>
      </c>
      <c r="B12" s="98" t="s">
        <v>116</v>
      </c>
      <c r="C12" s="99"/>
      <c r="D12" s="233">
        <v>16654</v>
      </c>
      <c r="E12" s="233">
        <v>0</v>
      </c>
      <c r="F12" s="233">
        <f t="shared" si="0"/>
        <v>0</v>
      </c>
      <c r="G12" s="540">
        <v>16654</v>
      </c>
      <c r="H12" s="540">
        <v>16654</v>
      </c>
      <c r="I12" s="98" t="s">
        <v>14</v>
      </c>
      <c r="J12" s="102"/>
      <c r="K12" s="99"/>
      <c r="L12" s="99"/>
      <c r="M12" s="99">
        <f t="shared" si="1"/>
        <v>0</v>
      </c>
      <c r="N12" s="538"/>
      <c r="O12" s="538"/>
      <c r="P12" s="853"/>
    </row>
    <row r="13" spans="1:16" ht="12.9" customHeight="1" x14ac:dyDescent="0.25">
      <c r="A13" s="167" t="s">
        <v>55</v>
      </c>
      <c r="B13" s="98" t="s">
        <v>117</v>
      </c>
      <c r="C13" s="99"/>
      <c r="D13" s="233">
        <v>0</v>
      </c>
      <c r="E13" s="233">
        <v>0</v>
      </c>
      <c r="F13" s="233">
        <f t="shared" si="0"/>
        <v>0</v>
      </c>
      <c r="G13" s="234"/>
      <c r="H13" s="234"/>
      <c r="I13" s="103" t="s">
        <v>324</v>
      </c>
      <c r="J13" s="102"/>
      <c r="K13" s="99"/>
      <c r="L13" s="99"/>
      <c r="M13" s="99">
        <f t="shared" si="1"/>
        <v>0</v>
      </c>
      <c r="N13" s="538"/>
      <c r="O13" s="538"/>
      <c r="P13" s="853"/>
    </row>
    <row r="14" spans="1:16" ht="12.9" customHeight="1" x14ac:dyDescent="0.25">
      <c r="A14" s="167" t="s">
        <v>56</v>
      </c>
      <c r="B14" s="104" t="s">
        <v>118</v>
      </c>
      <c r="C14" s="102"/>
      <c r="D14" s="233">
        <v>0</v>
      </c>
      <c r="E14" s="528">
        <v>0</v>
      </c>
      <c r="F14" s="528">
        <f t="shared" si="0"/>
        <v>0</v>
      </c>
      <c r="G14" s="235"/>
      <c r="H14" s="235"/>
      <c r="I14" s="103" t="s">
        <v>285</v>
      </c>
      <c r="J14" s="102">
        <v>0</v>
      </c>
      <c r="K14" s="99"/>
      <c r="L14" s="99"/>
      <c r="M14" s="99">
        <f t="shared" si="1"/>
        <v>0</v>
      </c>
      <c r="N14" s="538"/>
      <c r="O14" s="538"/>
      <c r="P14" s="853"/>
    </row>
    <row r="15" spans="1:16" ht="12.9" customHeight="1" x14ac:dyDescent="0.25">
      <c r="A15" s="167" t="s">
        <v>57</v>
      </c>
      <c r="B15" s="103" t="s">
        <v>324</v>
      </c>
      <c r="C15" s="99"/>
      <c r="D15" s="233">
        <v>0</v>
      </c>
      <c r="E15" s="233">
        <v>0</v>
      </c>
      <c r="F15" s="233">
        <f t="shared" si="0"/>
        <v>0</v>
      </c>
      <c r="G15" s="234"/>
      <c r="H15" s="234"/>
      <c r="I15" s="103"/>
      <c r="J15" s="102"/>
      <c r="K15" s="99"/>
      <c r="L15" s="99"/>
      <c r="M15" s="99">
        <f t="shared" si="1"/>
        <v>0</v>
      </c>
      <c r="N15" s="538"/>
      <c r="O15" s="538"/>
      <c r="P15" s="853"/>
    </row>
    <row r="16" spans="1:16" ht="12.9" customHeight="1" x14ac:dyDescent="0.25">
      <c r="A16" s="167" t="s">
        <v>29</v>
      </c>
      <c r="B16" s="103"/>
      <c r="C16" s="99"/>
      <c r="D16" s="233">
        <v>0</v>
      </c>
      <c r="E16" s="233">
        <v>0</v>
      </c>
      <c r="F16" s="233">
        <f t="shared" si="0"/>
        <v>0</v>
      </c>
      <c r="G16" s="234"/>
      <c r="H16" s="234"/>
      <c r="I16" s="103"/>
      <c r="J16" s="102"/>
      <c r="K16" s="99"/>
      <c r="L16" s="99"/>
      <c r="M16" s="99">
        <f t="shared" si="1"/>
        <v>0</v>
      </c>
      <c r="N16" s="538"/>
      <c r="O16" s="538"/>
      <c r="P16" s="853"/>
    </row>
    <row r="17" spans="1:16" ht="12.9" customHeight="1" thickBot="1" x14ac:dyDescent="0.3">
      <c r="A17" s="167" t="s">
        <v>30</v>
      </c>
      <c r="B17" s="105"/>
      <c r="C17" s="106"/>
      <c r="D17" s="233">
        <v>0</v>
      </c>
      <c r="E17" s="529">
        <v>0</v>
      </c>
      <c r="F17" s="529">
        <f t="shared" si="0"/>
        <v>0</v>
      </c>
      <c r="G17" s="236"/>
      <c r="H17" s="236"/>
      <c r="I17" s="103"/>
      <c r="J17" s="247"/>
      <c r="K17" s="106"/>
      <c r="L17" s="106"/>
      <c r="M17" s="106">
        <f t="shared" si="1"/>
        <v>0</v>
      </c>
      <c r="N17" s="106"/>
      <c r="O17" s="106"/>
      <c r="P17" s="853"/>
    </row>
    <row r="18" spans="1:16" ht="15.9" customHeight="1" thickBot="1" x14ac:dyDescent="0.3">
      <c r="A18" s="107" t="s">
        <v>35</v>
      </c>
      <c r="B18" s="108" t="s">
        <v>119</v>
      </c>
      <c r="C18" s="109">
        <f>+C6+C7+C8+C9+C10+C12+C13+C14+C15+C16+C17</f>
        <v>503419162</v>
      </c>
      <c r="D18" s="109">
        <f>+D6+D7+D8+D9+D10+D12+D13+D14+D15+D16+D17</f>
        <v>18824803</v>
      </c>
      <c r="E18" s="109">
        <f>+E6+E7+E8+E9+E10+E12+E13+E14+E15+E16+E17</f>
        <v>18684605</v>
      </c>
      <c r="F18" s="109">
        <f>G18-C18-D18-E18</f>
        <v>55162699</v>
      </c>
      <c r="G18" s="109">
        <f>+G6+G7+G8+G9+G10+G12+G13+G14+G15+G16+G17</f>
        <v>596091269</v>
      </c>
      <c r="H18" s="109">
        <f>+H6+H7+H8+H9+H10+H12+H13+H14+H15+H16+H17</f>
        <v>583816197</v>
      </c>
      <c r="I18" s="108" t="s">
        <v>120</v>
      </c>
      <c r="J18" s="248">
        <f>SUM(J6:J17)</f>
        <v>572983464</v>
      </c>
      <c r="K18" s="248">
        <f>SUM(K6:K17)</f>
        <v>80368696</v>
      </c>
      <c r="L18" s="248">
        <v>44742440</v>
      </c>
      <c r="M18" s="248">
        <f t="shared" si="1"/>
        <v>-3483111</v>
      </c>
      <c r="N18" s="248">
        <f t="shared" ref="N18:O18" si="2">SUM(N6:N17)</f>
        <v>694611489</v>
      </c>
      <c r="O18" s="248">
        <f t="shared" si="2"/>
        <v>538495290</v>
      </c>
      <c r="P18" s="853"/>
    </row>
    <row r="19" spans="1:16" ht="12.9" customHeight="1" x14ac:dyDescent="0.25">
      <c r="A19" s="110" t="s">
        <v>31</v>
      </c>
      <c r="B19" s="111" t="s">
        <v>121</v>
      </c>
      <c r="C19" s="161">
        <f>+C20+C21+C22+C23</f>
        <v>180698460</v>
      </c>
      <c r="D19" s="652">
        <v>997200</v>
      </c>
      <c r="E19" s="533">
        <v>1595599</v>
      </c>
      <c r="F19" s="567">
        <f t="shared" si="0"/>
        <v>29735358</v>
      </c>
      <c r="G19" s="543">
        <f t="shared" ref="G19:H19" si="3">+G20+G21+G22+G23</f>
        <v>213026617</v>
      </c>
      <c r="H19" s="543">
        <f t="shared" si="3"/>
        <v>211726617</v>
      </c>
      <c r="I19" s="112" t="s">
        <v>122</v>
      </c>
      <c r="J19" s="249"/>
      <c r="K19" s="254"/>
      <c r="L19" s="254"/>
      <c r="M19" s="254">
        <f t="shared" si="1"/>
        <v>0</v>
      </c>
      <c r="N19" s="254"/>
      <c r="O19" s="254"/>
      <c r="P19" s="853"/>
    </row>
    <row r="20" spans="1:16" ht="12.9" customHeight="1" x14ac:dyDescent="0.25">
      <c r="A20" s="113" t="s">
        <v>60</v>
      </c>
      <c r="B20" s="112" t="s">
        <v>123</v>
      </c>
      <c r="C20" s="114">
        <v>36175056</v>
      </c>
      <c r="D20" s="233">
        <v>0</v>
      </c>
      <c r="E20" s="533">
        <v>0</v>
      </c>
      <c r="F20" s="568">
        <f t="shared" si="0"/>
        <v>0</v>
      </c>
      <c r="G20" s="541">
        <v>36175056</v>
      </c>
      <c r="H20" s="541">
        <v>34875056</v>
      </c>
      <c r="I20" s="112" t="s">
        <v>124</v>
      </c>
      <c r="J20" s="250"/>
      <c r="K20" s="114"/>
      <c r="L20" s="114"/>
      <c r="M20" s="114">
        <f t="shared" si="1"/>
        <v>0</v>
      </c>
      <c r="N20" s="114"/>
      <c r="O20" s="114"/>
      <c r="P20" s="853"/>
    </row>
    <row r="21" spans="1:16" ht="12.9" customHeight="1" x14ac:dyDescent="0.25">
      <c r="A21" s="113" t="s">
        <v>72</v>
      </c>
      <c r="B21" s="112" t="s">
        <v>125</v>
      </c>
      <c r="C21" s="114"/>
      <c r="D21" s="233">
        <v>0</v>
      </c>
      <c r="E21" s="533">
        <v>0</v>
      </c>
      <c r="F21" s="568">
        <f t="shared" si="0"/>
        <v>0</v>
      </c>
      <c r="G21" s="537"/>
      <c r="H21" s="537"/>
      <c r="I21" s="112" t="s">
        <v>126</v>
      </c>
      <c r="J21" s="250"/>
      <c r="K21" s="114"/>
      <c r="L21" s="114"/>
      <c r="M21" s="114">
        <f t="shared" si="1"/>
        <v>0</v>
      </c>
      <c r="N21" s="114"/>
      <c r="O21" s="114"/>
      <c r="P21" s="853"/>
    </row>
    <row r="22" spans="1:16" ht="12.9" customHeight="1" x14ac:dyDescent="0.25">
      <c r="A22" s="113" t="s">
        <v>32</v>
      </c>
      <c r="B22" s="112" t="s">
        <v>220</v>
      </c>
      <c r="C22" s="114">
        <v>42499999</v>
      </c>
      <c r="D22" s="233">
        <v>0</v>
      </c>
      <c r="E22" s="533">
        <v>0</v>
      </c>
      <c r="F22" s="568">
        <f t="shared" si="0"/>
        <v>17636191</v>
      </c>
      <c r="G22" s="541">
        <v>60136190</v>
      </c>
      <c r="H22" s="541">
        <v>60136190</v>
      </c>
      <c r="I22" s="112" t="s">
        <v>127</v>
      </c>
      <c r="J22" s="250"/>
      <c r="K22" s="114"/>
      <c r="L22" s="114"/>
      <c r="M22" s="114">
        <f t="shared" si="1"/>
        <v>0</v>
      </c>
      <c r="N22" s="114"/>
      <c r="O22" s="114"/>
      <c r="P22" s="853"/>
    </row>
    <row r="23" spans="1:16" ht="12.9" customHeight="1" x14ac:dyDescent="0.25">
      <c r="A23" s="113" t="s">
        <v>73</v>
      </c>
      <c r="B23" s="112" t="s">
        <v>494</v>
      </c>
      <c r="C23" s="114">
        <f>'1. Bevételek'!K56</f>
        <v>102023405</v>
      </c>
      <c r="D23" s="233">
        <v>997200</v>
      </c>
      <c r="E23" s="533">
        <v>1595599</v>
      </c>
      <c r="F23" s="569">
        <v>12099167</v>
      </c>
      <c r="G23" s="542">
        <v>116715371</v>
      </c>
      <c r="H23" s="542">
        <v>116715371</v>
      </c>
      <c r="I23" s="111" t="s">
        <v>128</v>
      </c>
      <c r="J23" s="250"/>
      <c r="K23" s="114"/>
      <c r="L23" s="114"/>
      <c r="M23" s="114">
        <f t="shared" si="1"/>
        <v>0</v>
      </c>
      <c r="N23" s="114"/>
      <c r="O23" s="114"/>
      <c r="P23" s="853"/>
    </row>
    <row r="24" spans="1:16" ht="12.9" customHeight="1" x14ac:dyDescent="0.25">
      <c r="A24" s="113" t="s">
        <v>58</v>
      </c>
      <c r="B24" s="112" t="s">
        <v>129</v>
      </c>
      <c r="C24" s="115">
        <f>+C25+C26</f>
        <v>0</v>
      </c>
      <c r="D24" s="239"/>
      <c r="E24" s="533">
        <v>0</v>
      </c>
      <c r="F24" s="568">
        <f t="shared" si="0"/>
        <v>0</v>
      </c>
      <c r="G24" s="571"/>
      <c r="H24" s="571"/>
      <c r="I24" s="112" t="s">
        <v>130</v>
      </c>
      <c r="J24" s="250"/>
      <c r="K24" s="114"/>
      <c r="L24" s="114"/>
      <c r="M24" s="114">
        <f t="shared" si="1"/>
        <v>0</v>
      </c>
      <c r="N24" s="114"/>
      <c r="O24" s="114"/>
      <c r="P24" s="853"/>
    </row>
    <row r="25" spans="1:16" ht="12.9" customHeight="1" x14ac:dyDescent="0.25">
      <c r="A25" s="110" t="s">
        <v>87</v>
      </c>
      <c r="B25" s="111" t="s">
        <v>131</v>
      </c>
      <c r="C25" s="116"/>
      <c r="D25" s="238"/>
      <c r="E25" s="533">
        <v>0</v>
      </c>
      <c r="F25" s="569">
        <f t="shared" si="0"/>
        <v>0</v>
      </c>
      <c r="G25" s="570"/>
      <c r="H25" s="570"/>
      <c r="I25" s="97" t="s">
        <v>132</v>
      </c>
      <c r="J25" s="249">
        <f>'2. Kiadások'!Q29</f>
        <v>102023405</v>
      </c>
      <c r="K25" s="114">
        <v>997200</v>
      </c>
      <c r="L25" s="533">
        <v>1595599</v>
      </c>
      <c r="M25" s="533">
        <f t="shared" si="1"/>
        <v>779440</v>
      </c>
      <c r="N25" s="547">
        <v>105395644</v>
      </c>
      <c r="O25" s="547">
        <v>105395644</v>
      </c>
      <c r="P25" s="853"/>
    </row>
    <row r="26" spans="1:16" ht="12.9" customHeight="1" thickBot="1" x14ac:dyDescent="0.3">
      <c r="A26" s="113" t="s">
        <v>133</v>
      </c>
      <c r="B26" s="112" t="s">
        <v>134</v>
      </c>
      <c r="C26" s="114"/>
      <c r="D26" s="237"/>
      <c r="E26" s="533">
        <v>0</v>
      </c>
      <c r="F26" s="568">
        <f t="shared" si="0"/>
        <v>0</v>
      </c>
      <c r="G26" s="537"/>
      <c r="H26" s="537"/>
      <c r="I26" s="103" t="s">
        <v>213</v>
      </c>
      <c r="J26" s="250">
        <f>'2. Kiadások'!Q28</f>
        <v>9110753</v>
      </c>
      <c r="K26" s="114">
        <f>N26-J26</f>
        <v>0</v>
      </c>
      <c r="L26" s="533">
        <v>0</v>
      </c>
      <c r="M26" s="575">
        <f t="shared" si="1"/>
        <v>0</v>
      </c>
      <c r="N26" s="548">
        <v>9110753</v>
      </c>
      <c r="O26" s="548">
        <v>9110753</v>
      </c>
      <c r="P26" s="853"/>
    </row>
    <row r="27" spans="1:16" ht="15.9" customHeight="1" thickBot="1" x14ac:dyDescent="0.3">
      <c r="A27" s="107" t="s">
        <v>135</v>
      </c>
      <c r="B27" s="108" t="s">
        <v>136</v>
      </c>
      <c r="C27" s="109">
        <f>+C19+C24</f>
        <v>180698460</v>
      </c>
      <c r="D27" s="109">
        <f>+D19+D24</f>
        <v>997200</v>
      </c>
      <c r="E27" s="109">
        <v>1595599</v>
      </c>
      <c r="F27" s="109">
        <f t="shared" si="0"/>
        <v>29735358</v>
      </c>
      <c r="G27" s="109">
        <f t="shared" ref="G27:H27" si="4">+G19+G24</f>
        <v>213026617</v>
      </c>
      <c r="H27" s="109">
        <f t="shared" si="4"/>
        <v>211726617</v>
      </c>
      <c r="I27" s="108" t="s">
        <v>137</v>
      </c>
      <c r="J27" s="248">
        <f>SUM(J19:J26)</f>
        <v>111134158</v>
      </c>
      <c r="K27" s="248">
        <f t="shared" ref="K27:O27" si="5">SUM(K19:K26)</f>
        <v>997200</v>
      </c>
      <c r="L27" s="248">
        <f t="shared" si="5"/>
        <v>1595599</v>
      </c>
      <c r="M27" s="248">
        <f t="shared" si="5"/>
        <v>779440</v>
      </c>
      <c r="N27" s="248">
        <f t="shared" si="5"/>
        <v>114506397</v>
      </c>
      <c r="O27" s="248">
        <f t="shared" si="5"/>
        <v>114506397</v>
      </c>
      <c r="P27" s="853"/>
    </row>
    <row r="28" spans="1:16" ht="18" customHeight="1" thickBot="1" x14ac:dyDescent="0.3">
      <c r="A28" s="107" t="s">
        <v>138</v>
      </c>
      <c r="B28" s="117" t="s">
        <v>139</v>
      </c>
      <c r="C28" s="109">
        <f>+C18+C27</f>
        <v>684117622</v>
      </c>
      <c r="D28" s="109">
        <f>+D18+D27</f>
        <v>19822003</v>
      </c>
      <c r="E28" s="109">
        <v>20280204</v>
      </c>
      <c r="F28" s="109">
        <f t="shared" si="0"/>
        <v>84898057</v>
      </c>
      <c r="G28" s="109">
        <f>+G18+G27</f>
        <v>809117886</v>
      </c>
      <c r="H28" s="109">
        <f>+H18+H27</f>
        <v>795542814</v>
      </c>
      <c r="I28" s="117" t="s">
        <v>140</v>
      </c>
      <c r="J28" s="248">
        <f>+J18+J27</f>
        <v>684117622</v>
      </c>
      <c r="K28" s="248">
        <f t="shared" ref="K28:O28" si="6">+K18+K27</f>
        <v>81365896</v>
      </c>
      <c r="L28" s="248">
        <f t="shared" si="6"/>
        <v>46338039</v>
      </c>
      <c r="M28" s="248">
        <f t="shared" si="6"/>
        <v>-2703671</v>
      </c>
      <c r="N28" s="248">
        <f t="shared" si="6"/>
        <v>809117886</v>
      </c>
      <c r="O28" s="248">
        <f t="shared" si="6"/>
        <v>653001687</v>
      </c>
      <c r="P28" s="853"/>
    </row>
    <row r="29" spans="1:16" ht="18" customHeight="1" thickBot="1" x14ac:dyDescent="0.3">
      <c r="A29" s="107" t="s">
        <v>141</v>
      </c>
      <c r="B29" s="108" t="s">
        <v>142</v>
      </c>
      <c r="C29" s="118"/>
      <c r="D29" s="240"/>
      <c r="E29" s="240"/>
      <c r="F29" s="240">
        <f t="shared" si="0"/>
        <v>0</v>
      </c>
      <c r="G29" s="240"/>
      <c r="H29" s="240"/>
      <c r="I29" s="108" t="s">
        <v>143</v>
      </c>
      <c r="J29" s="251"/>
      <c r="K29" s="253"/>
      <c r="L29" s="253"/>
      <c r="M29" s="253"/>
      <c r="N29" s="253"/>
      <c r="O29" s="253"/>
      <c r="P29" s="853"/>
    </row>
    <row r="30" spans="1:16" ht="13.8" thickBot="1" x14ac:dyDescent="0.3">
      <c r="A30" s="107" t="s">
        <v>144</v>
      </c>
      <c r="B30" s="119" t="s">
        <v>145</v>
      </c>
      <c r="C30" s="120">
        <f>+C28+C29</f>
        <v>684117622</v>
      </c>
      <c r="D30" s="120">
        <f>+D28+D29</f>
        <v>19822003</v>
      </c>
      <c r="E30" s="120">
        <v>20280204</v>
      </c>
      <c r="F30" s="120">
        <f t="shared" si="0"/>
        <v>84898057</v>
      </c>
      <c r="G30" s="120">
        <f t="shared" ref="G30:H30" si="7">+G28+G29</f>
        <v>809117886</v>
      </c>
      <c r="H30" s="120">
        <f t="shared" si="7"/>
        <v>795542814</v>
      </c>
      <c r="I30" s="119" t="s">
        <v>146</v>
      </c>
      <c r="J30" s="241">
        <f>+J28+J29</f>
        <v>684117622</v>
      </c>
      <c r="K30" s="241">
        <f t="shared" ref="K30:O30" si="8">+K28+K29</f>
        <v>81365896</v>
      </c>
      <c r="L30" s="241">
        <f t="shared" si="8"/>
        <v>46338039</v>
      </c>
      <c r="M30" s="241">
        <f t="shared" si="8"/>
        <v>-2703671</v>
      </c>
      <c r="N30" s="241">
        <f t="shared" si="8"/>
        <v>809117886</v>
      </c>
      <c r="O30" s="241">
        <f t="shared" si="8"/>
        <v>653001687</v>
      </c>
      <c r="P30" s="853"/>
    </row>
    <row r="31" spans="1:16" ht="13.8" thickBot="1" x14ac:dyDescent="0.3">
      <c r="A31" s="107" t="s">
        <v>147</v>
      </c>
      <c r="B31" s="119" t="s">
        <v>148</v>
      </c>
      <c r="C31" s="120">
        <f>IF(C18-J18&lt;0,J18-C18,"-")</f>
        <v>69564302</v>
      </c>
      <c r="D31" s="120"/>
      <c r="E31" s="120"/>
      <c r="F31" s="120" t="str">
        <f t="shared" ref="F31" si="9">IF(F18-M18&lt;0,M18-F18,"-")</f>
        <v>-</v>
      </c>
      <c r="G31" s="120"/>
      <c r="H31" s="120" t="str">
        <f>IF(H18-O18&lt;0,O18-H18,"-")</f>
        <v>-</v>
      </c>
      <c r="I31" s="119" t="s">
        <v>149</v>
      </c>
      <c r="J31" s="241" t="str">
        <f>IF(C18-J18&gt;0,C18-J18,"-")</f>
        <v>-</v>
      </c>
      <c r="K31" s="241" t="str">
        <f t="shared" ref="K31:N31" si="10">IF(D18-K18&gt;0,D18-K18,"-")</f>
        <v>-</v>
      </c>
      <c r="L31" s="241" t="str">
        <f t="shared" si="10"/>
        <v>-</v>
      </c>
      <c r="M31" s="241"/>
      <c r="N31" s="241" t="str">
        <f t="shared" si="10"/>
        <v>-</v>
      </c>
      <c r="O31" s="241">
        <f>IF(H18-O18&gt;0,H18-O18,"-")</f>
        <v>45320907</v>
      </c>
      <c r="P31" s="853"/>
    </row>
    <row r="32" spans="1:16" ht="13.8" thickBot="1" x14ac:dyDescent="0.3">
      <c r="A32" s="107" t="s">
        <v>150</v>
      </c>
      <c r="B32" s="119" t="s">
        <v>151</v>
      </c>
      <c r="C32" s="120" t="str">
        <f>IF(C18+C19-J28&lt;0,J28-(C18+C19),"-")</f>
        <v>-</v>
      </c>
      <c r="D32" s="120"/>
      <c r="E32" s="120"/>
      <c r="F32" s="120" t="str">
        <f t="shared" ref="F32:H32" si="11">IF(F18+F19-M28&lt;0,M28-(F18+F19),"-")</f>
        <v>-</v>
      </c>
      <c r="G32" s="120"/>
      <c r="H32" s="120" t="str">
        <f t="shared" si="11"/>
        <v>-</v>
      </c>
      <c r="I32" s="119" t="s">
        <v>152</v>
      </c>
      <c r="J32" s="241" t="str">
        <f>IF(C18+C19-J28&gt;0,C18+C19-J28,"-")</f>
        <v>-</v>
      </c>
      <c r="K32" s="241" t="str">
        <f t="shared" ref="K32:N32" si="12">IF(D18+D19-K28&gt;0,D18+D19-K28,"-")</f>
        <v>-</v>
      </c>
      <c r="L32" s="241" t="str">
        <f t="shared" si="12"/>
        <v>-</v>
      </c>
      <c r="M32" s="241"/>
      <c r="N32" s="241" t="str">
        <f t="shared" si="12"/>
        <v>-</v>
      </c>
      <c r="O32" s="241">
        <f>IF(H18+H19-O28&gt;0,H18+H19-O28,"-")</f>
        <v>142541127</v>
      </c>
      <c r="P32" s="853"/>
    </row>
  </sheetData>
  <mergeCells count="2">
    <mergeCell ref="P1:P32"/>
    <mergeCell ref="A3:A4"/>
  </mergeCells>
  <phoneticPr fontId="7" type="noConversion"/>
  <pageMargins left="0.75" right="0.75" top="0.73" bottom="1" header="0.5" footer="0.5"/>
  <pageSetup paperSize="9" scale="53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workbookViewId="0">
      <selection activeCell="G28" sqref="G28"/>
    </sheetView>
  </sheetViews>
  <sheetFormatPr defaultColWidth="9.109375" defaultRowHeight="13.2" x14ac:dyDescent="0.25"/>
  <cols>
    <col min="1" max="1" width="5.33203125" style="164" bestFit="1" customWidth="1"/>
    <col min="2" max="2" width="47.33203125" style="165" customWidth="1"/>
    <col min="3" max="3" width="14" style="174" customWidth="1"/>
    <col min="4" max="4" width="12.5546875" style="174" bestFit="1" customWidth="1"/>
    <col min="5" max="5" width="11.44140625" style="174" customWidth="1"/>
    <col min="6" max="6" width="13.33203125" style="174" bestFit="1" customWidth="1"/>
    <col min="7" max="8" width="12.5546875" style="174" bestFit="1" customWidth="1"/>
    <col min="9" max="9" width="47.33203125" style="164" customWidth="1"/>
    <col min="10" max="11" width="12.5546875" style="174" bestFit="1" customWidth="1"/>
    <col min="12" max="12" width="11.33203125" style="174" customWidth="1"/>
    <col min="13" max="13" width="13.33203125" style="174" bestFit="1" customWidth="1"/>
    <col min="14" max="14" width="12.5546875" style="174" bestFit="1" customWidth="1"/>
    <col min="15" max="15" width="14" style="174" customWidth="1"/>
    <col min="16" max="16" width="4.109375" style="164" customWidth="1"/>
    <col min="17" max="17" width="11.6640625" style="164" bestFit="1" customWidth="1"/>
    <col min="18" max="16384" width="9.109375" style="164"/>
  </cols>
  <sheetData>
    <row r="1" spans="1:16" ht="31.2" x14ac:dyDescent="0.25">
      <c r="A1" s="162"/>
      <c r="B1" s="85" t="s">
        <v>153</v>
      </c>
      <c r="C1" s="173"/>
      <c r="D1" s="173"/>
      <c r="E1" s="173"/>
      <c r="F1" s="173"/>
      <c r="G1" s="173"/>
      <c r="H1" s="173"/>
      <c r="I1" s="163"/>
      <c r="J1" s="173"/>
      <c r="K1" s="173"/>
      <c r="L1" s="173"/>
      <c r="M1" s="173"/>
      <c r="N1" s="173"/>
      <c r="O1" s="173"/>
      <c r="P1" s="853"/>
    </row>
    <row r="2" spans="1:16" ht="14.4" thickBot="1" x14ac:dyDescent="0.3">
      <c r="J2" s="260"/>
      <c r="K2" s="261"/>
      <c r="L2" s="261"/>
      <c r="M2" s="261"/>
      <c r="N2" s="261"/>
      <c r="O2" s="261" t="s">
        <v>223</v>
      </c>
      <c r="P2" s="853"/>
    </row>
    <row r="3" spans="1:16" ht="13.8" thickBot="1" x14ac:dyDescent="0.3">
      <c r="A3" s="856" t="s">
        <v>107</v>
      </c>
      <c r="B3" s="87" t="s">
        <v>108</v>
      </c>
      <c r="C3" s="88"/>
      <c r="D3" s="231"/>
      <c r="E3" s="231"/>
      <c r="F3" s="231"/>
      <c r="G3" s="231"/>
      <c r="H3" s="231"/>
      <c r="I3" s="87" t="s">
        <v>109</v>
      </c>
      <c r="J3" s="259"/>
      <c r="K3" s="88"/>
      <c r="L3" s="88"/>
      <c r="M3" s="88"/>
      <c r="N3" s="88"/>
      <c r="O3" s="88"/>
      <c r="P3" s="853"/>
    </row>
    <row r="4" spans="1:16" s="92" customFormat="1" ht="30.6" thickBot="1" x14ac:dyDescent="0.3">
      <c r="A4" s="857"/>
      <c r="B4" s="90" t="s">
        <v>41</v>
      </c>
      <c r="C4" s="91" t="s">
        <v>351</v>
      </c>
      <c r="D4" s="157" t="s">
        <v>348</v>
      </c>
      <c r="E4" s="157" t="s">
        <v>446</v>
      </c>
      <c r="F4" s="157" t="s">
        <v>459</v>
      </c>
      <c r="G4" s="157" t="s">
        <v>349</v>
      </c>
      <c r="H4" s="157" t="s">
        <v>350</v>
      </c>
      <c r="I4" s="90" t="s">
        <v>41</v>
      </c>
      <c r="J4" s="244" t="s">
        <v>351</v>
      </c>
      <c r="K4" s="262" t="s">
        <v>348</v>
      </c>
      <c r="L4" s="157" t="s">
        <v>446</v>
      </c>
      <c r="M4" s="157" t="s">
        <v>455</v>
      </c>
      <c r="N4" s="262" t="s">
        <v>349</v>
      </c>
      <c r="O4" s="262" t="s">
        <v>350</v>
      </c>
      <c r="P4" s="853"/>
    </row>
    <row r="5" spans="1:16" s="92" customFormat="1" ht="13.8" thickBot="1" x14ac:dyDescent="0.3">
      <c r="A5" s="93">
        <v>1</v>
      </c>
      <c r="B5" s="94">
        <v>2</v>
      </c>
      <c r="C5" s="95">
        <v>3</v>
      </c>
      <c r="D5" s="232"/>
      <c r="E5" s="232"/>
      <c r="F5" s="232"/>
      <c r="G5" s="232"/>
      <c r="H5" s="232"/>
      <c r="I5" s="94">
        <v>4</v>
      </c>
      <c r="J5" s="245">
        <v>5</v>
      </c>
      <c r="K5" s="95"/>
      <c r="L5" s="95"/>
      <c r="M5" s="95"/>
      <c r="N5" s="95"/>
      <c r="O5" s="95"/>
      <c r="P5" s="853"/>
    </row>
    <row r="6" spans="1:16" ht="12.9" customHeight="1" x14ac:dyDescent="0.25">
      <c r="A6" s="166" t="s">
        <v>42</v>
      </c>
      <c r="B6" s="97" t="s">
        <v>154</v>
      </c>
      <c r="C6" s="160">
        <f>'1. Bevételek'!Q42</f>
        <v>2372880</v>
      </c>
      <c r="D6" s="233">
        <v>1797839</v>
      </c>
      <c r="E6" s="233">
        <v>-22697</v>
      </c>
      <c r="F6" s="233">
        <f>G6-C6-D6-E6</f>
        <v>0</v>
      </c>
      <c r="G6" s="539">
        <v>4148022</v>
      </c>
      <c r="H6" s="539">
        <v>4148022</v>
      </c>
      <c r="I6" s="97" t="s">
        <v>155</v>
      </c>
      <c r="J6" s="246">
        <f>'2. Kiadások'!Q21</f>
        <v>466274973</v>
      </c>
      <c r="K6" s="160">
        <v>-8700375</v>
      </c>
      <c r="L6" s="233">
        <v>1874877</v>
      </c>
      <c r="M6" s="233">
        <f>N6-J6-K6-L6</f>
        <v>-333776222</v>
      </c>
      <c r="N6" s="549">
        <v>125673253</v>
      </c>
      <c r="O6" s="549">
        <v>125673253</v>
      </c>
      <c r="P6" s="853"/>
    </row>
    <row r="7" spans="1:16" ht="12.9" customHeight="1" x14ac:dyDescent="0.25">
      <c r="A7" s="166" t="s">
        <v>43</v>
      </c>
      <c r="B7" s="76" t="s">
        <v>156</v>
      </c>
      <c r="C7" s="160"/>
      <c r="D7" s="233">
        <v>0</v>
      </c>
      <c r="E7" s="233">
        <v>0</v>
      </c>
      <c r="F7" s="233">
        <f t="shared" ref="F7:F35" si="0">G7-C7-D7-E7</f>
        <v>0</v>
      </c>
      <c r="G7" s="536"/>
      <c r="H7" s="536"/>
      <c r="I7" s="97"/>
      <c r="J7" s="246"/>
      <c r="K7" s="160">
        <v>0</v>
      </c>
      <c r="L7" s="233">
        <v>0</v>
      </c>
      <c r="M7" s="233">
        <f t="shared" ref="M7:M18" si="1">N7-J7-K7-L7</f>
        <v>0</v>
      </c>
      <c r="N7" s="538"/>
      <c r="O7" s="538"/>
      <c r="P7" s="853"/>
    </row>
    <row r="8" spans="1:16" ht="22.5" customHeight="1" x14ac:dyDescent="0.25">
      <c r="A8" s="166" t="s">
        <v>44</v>
      </c>
      <c r="B8" s="98" t="s">
        <v>157</v>
      </c>
      <c r="C8" s="99">
        <v>0</v>
      </c>
      <c r="D8" s="233">
        <v>0</v>
      </c>
      <c r="E8" s="233">
        <v>0</v>
      </c>
      <c r="F8" s="233">
        <f t="shared" si="0"/>
        <v>0</v>
      </c>
      <c r="G8" s="534"/>
      <c r="H8" s="534"/>
      <c r="I8" s="98" t="s">
        <v>158</v>
      </c>
      <c r="J8" s="102">
        <f>'2. Kiadások'!Q22</f>
        <v>43561791</v>
      </c>
      <c r="K8" s="160">
        <v>0</v>
      </c>
      <c r="L8" s="233">
        <v>999999</v>
      </c>
      <c r="M8" s="233">
        <f t="shared" si="1"/>
        <v>-4407211</v>
      </c>
      <c r="N8" s="545">
        <v>40154579</v>
      </c>
      <c r="O8" s="545">
        <v>40154579</v>
      </c>
      <c r="P8" s="853"/>
    </row>
    <row r="9" spans="1:16" ht="12.9" customHeight="1" x14ac:dyDescent="0.25">
      <c r="A9" s="166" t="s">
        <v>45</v>
      </c>
      <c r="B9" s="98" t="s">
        <v>159</v>
      </c>
      <c r="C9" s="99"/>
      <c r="D9" s="233">
        <v>0</v>
      </c>
      <c r="E9" s="233">
        <v>0</v>
      </c>
      <c r="F9" s="233">
        <f t="shared" si="0"/>
        <v>0</v>
      </c>
      <c r="G9" s="534"/>
      <c r="H9" s="534"/>
      <c r="I9" s="98" t="s">
        <v>160</v>
      </c>
      <c r="J9" s="102">
        <f>SUM(J10:J16)</f>
        <v>0</v>
      </c>
      <c r="K9" s="99"/>
      <c r="L9" s="99"/>
      <c r="M9" s="99">
        <f t="shared" si="1"/>
        <v>0</v>
      </c>
      <c r="N9" s="538"/>
      <c r="O9" s="538"/>
      <c r="P9" s="853"/>
    </row>
    <row r="10" spans="1:16" ht="12.9" customHeight="1" x14ac:dyDescent="0.25">
      <c r="A10" s="166" t="s">
        <v>46</v>
      </c>
      <c r="B10" s="98" t="s">
        <v>161</v>
      </c>
      <c r="C10" s="99"/>
      <c r="D10" s="233">
        <v>0</v>
      </c>
      <c r="E10" s="233">
        <v>0</v>
      </c>
      <c r="F10" s="233">
        <f t="shared" si="0"/>
        <v>0</v>
      </c>
      <c r="G10" s="534"/>
      <c r="H10" s="534"/>
      <c r="I10" s="98" t="s">
        <v>162</v>
      </c>
      <c r="J10" s="102">
        <v>0</v>
      </c>
      <c r="K10" s="99"/>
      <c r="L10" s="99"/>
      <c r="M10" s="99">
        <f t="shared" si="1"/>
        <v>0</v>
      </c>
      <c r="N10" s="538"/>
      <c r="O10" s="538"/>
      <c r="P10" s="853"/>
    </row>
    <row r="11" spans="1:16" ht="12.75" customHeight="1" x14ac:dyDescent="0.25">
      <c r="A11" s="166" t="s">
        <v>52</v>
      </c>
      <c r="B11" s="98" t="s">
        <v>163</v>
      </c>
      <c r="C11" s="99"/>
      <c r="D11" s="99">
        <v>0</v>
      </c>
      <c r="E11" s="233">
        <v>0</v>
      </c>
      <c r="F11" s="233">
        <f t="shared" si="0"/>
        <v>0</v>
      </c>
      <c r="G11" s="538"/>
      <c r="H11" s="538"/>
      <c r="I11" s="531" t="s">
        <v>164</v>
      </c>
      <c r="J11" s="102">
        <v>0</v>
      </c>
      <c r="K11" s="99"/>
      <c r="L11" s="99"/>
      <c r="M11" s="99">
        <f t="shared" si="1"/>
        <v>0</v>
      </c>
      <c r="N11" s="538"/>
      <c r="O11" s="538"/>
      <c r="P11" s="853"/>
    </row>
    <row r="12" spans="1:16" ht="12.9" customHeight="1" x14ac:dyDescent="0.25">
      <c r="A12" s="166" t="s">
        <v>54</v>
      </c>
      <c r="B12" s="98" t="s">
        <v>165</v>
      </c>
      <c r="C12" s="99"/>
      <c r="D12" s="99">
        <v>0</v>
      </c>
      <c r="E12" s="233">
        <v>0</v>
      </c>
      <c r="F12" s="233">
        <f t="shared" si="0"/>
        <v>0</v>
      </c>
      <c r="G12" s="538"/>
      <c r="H12" s="538"/>
      <c r="I12" s="532" t="s">
        <v>166</v>
      </c>
      <c r="J12" s="102"/>
      <c r="K12" s="99"/>
      <c r="L12" s="99"/>
      <c r="M12" s="99">
        <f t="shared" si="1"/>
        <v>0</v>
      </c>
      <c r="N12" s="538"/>
      <c r="O12" s="538"/>
      <c r="P12" s="853"/>
    </row>
    <row r="13" spans="1:16" ht="12.9" customHeight="1" x14ac:dyDescent="0.25">
      <c r="A13" s="166" t="s">
        <v>55</v>
      </c>
      <c r="B13" s="98" t="s">
        <v>167</v>
      </c>
      <c r="C13" s="99"/>
      <c r="D13" s="233">
        <v>0</v>
      </c>
      <c r="E13" s="233">
        <v>0</v>
      </c>
      <c r="F13" s="233">
        <f t="shared" si="0"/>
        <v>0</v>
      </c>
      <c r="G13" s="534"/>
      <c r="H13" s="534"/>
      <c r="I13" s="121" t="s">
        <v>168</v>
      </c>
      <c r="J13" s="102"/>
      <c r="K13" s="99"/>
      <c r="L13" s="99"/>
      <c r="M13" s="99">
        <f t="shared" si="1"/>
        <v>0</v>
      </c>
      <c r="N13" s="538"/>
      <c r="O13" s="538"/>
      <c r="P13" s="853"/>
    </row>
    <row r="14" spans="1:16" ht="12.9" customHeight="1" x14ac:dyDescent="0.25">
      <c r="A14" s="166" t="s">
        <v>56</v>
      </c>
      <c r="B14" s="98" t="s">
        <v>169</v>
      </c>
      <c r="C14" s="99">
        <f>SUM(C15)</f>
        <v>0</v>
      </c>
      <c r="D14" s="99">
        <v>49996154</v>
      </c>
      <c r="E14" s="233">
        <v>28955408</v>
      </c>
      <c r="F14" s="233">
        <f t="shared" si="0"/>
        <v>51043571</v>
      </c>
      <c r="G14" s="545">
        <v>129995133</v>
      </c>
      <c r="H14" s="545">
        <v>129995133</v>
      </c>
      <c r="I14" s="122" t="s">
        <v>170</v>
      </c>
      <c r="J14" s="102"/>
      <c r="K14" s="99"/>
      <c r="L14" s="99"/>
      <c r="M14" s="99">
        <f t="shared" si="1"/>
        <v>0</v>
      </c>
      <c r="N14" s="538"/>
      <c r="O14" s="538"/>
      <c r="P14" s="853"/>
    </row>
    <row r="15" spans="1:16" ht="12.9" customHeight="1" x14ac:dyDescent="0.25">
      <c r="A15" s="166" t="s">
        <v>57</v>
      </c>
      <c r="B15" s="123" t="s">
        <v>171</v>
      </c>
      <c r="C15" s="99">
        <v>0</v>
      </c>
      <c r="D15" s="99">
        <v>49996154</v>
      </c>
      <c r="E15" s="233">
        <v>28955408</v>
      </c>
      <c r="F15" s="233">
        <f t="shared" si="0"/>
        <v>51043571</v>
      </c>
      <c r="G15" s="545">
        <v>129995133</v>
      </c>
      <c r="H15" s="544">
        <v>129995133</v>
      </c>
      <c r="I15" s="121" t="s">
        <v>172</v>
      </c>
      <c r="J15" s="102"/>
      <c r="K15" s="99"/>
      <c r="L15" s="99"/>
      <c r="M15" s="99">
        <f t="shared" si="1"/>
        <v>0</v>
      </c>
      <c r="N15" s="538"/>
      <c r="O15" s="538"/>
      <c r="P15" s="853"/>
    </row>
    <row r="16" spans="1:16" ht="22.5" customHeight="1" x14ac:dyDescent="0.25">
      <c r="A16" s="166" t="s">
        <v>29</v>
      </c>
      <c r="B16" s="98" t="s">
        <v>173</v>
      </c>
      <c r="C16" s="99">
        <f>'1. Bevételek'!Q47</f>
        <v>7280000</v>
      </c>
      <c r="D16" s="99">
        <v>1049525</v>
      </c>
      <c r="E16" s="539">
        <v>-7280000</v>
      </c>
      <c r="F16" s="539">
        <f t="shared" si="0"/>
        <v>3819129</v>
      </c>
      <c r="G16" s="545">
        <v>4868654</v>
      </c>
      <c r="H16" s="544">
        <v>4868654</v>
      </c>
      <c r="I16" s="121" t="s">
        <v>174</v>
      </c>
      <c r="J16" s="102"/>
      <c r="K16" s="99"/>
      <c r="L16" s="99"/>
      <c r="M16" s="99">
        <f t="shared" si="1"/>
        <v>0</v>
      </c>
      <c r="N16" s="538"/>
      <c r="O16" s="538"/>
      <c r="P16" s="853"/>
    </row>
    <row r="17" spans="1:16" ht="12.9" customHeight="1" x14ac:dyDescent="0.25">
      <c r="A17" s="166" t="s">
        <v>30</v>
      </c>
      <c r="B17" s="98" t="s">
        <v>175</v>
      </c>
      <c r="C17" s="100">
        <f>'1. Bevételek'!Q46</f>
        <v>701680</v>
      </c>
      <c r="D17" s="233">
        <v>0</v>
      </c>
      <c r="E17" s="539">
        <v>7280000</v>
      </c>
      <c r="F17" s="572">
        <f t="shared" si="0"/>
        <v>1288330</v>
      </c>
      <c r="G17" s="544">
        <v>9270010</v>
      </c>
      <c r="H17" s="544">
        <v>7970010</v>
      </c>
      <c r="I17" s="98" t="s">
        <v>115</v>
      </c>
      <c r="J17" s="102">
        <v>0</v>
      </c>
      <c r="K17" s="99"/>
      <c r="L17" s="99"/>
      <c r="M17" s="99">
        <f t="shared" si="1"/>
        <v>0</v>
      </c>
      <c r="N17" s="538"/>
      <c r="O17" s="538"/>
      <c r="P17" s="853"/>
    </row>
    <row r="18" spans="1:16" ht="12.9" customHeight="1" thickBot="1" x14ac:dyDescent="0.3">
      <c r="A18" s="166" t="s">
        <v>35</v>
      </c>
      <c r="B18" s="124" t="s">
        <v>176</v>
      </c>
      <c r="C18" s="125">
        <v>0</v>
      </c>
      <c r="D18" s="233">
        <v>0</v>
      </c>
      <c r="E18" s="233">
        <v>0</v>
      </c>
      <c r="F18" s="243">
        <f t="shared" si="0"/>
        <v>0</v>
      </c>
      <c r="G18" s="243"/>
      <c r="H18" s="243"/>
      <c r="I18" s="124" t="s">
        <v>14</v>
      </c>
      <c r="J18" s="125">
        <f>'2. Kiadások'!Q24</f>
        <v>2000000</v>
      </c>
      <c r="K18" s="160">
        <v>0</v>
      </c>
      <c r="L18" s="530"/>
      <c r="M18" s="530">
        <f t="shared" si="1"/>
        <v>-700000</v>
      </c>
      <c r="N18" s="550">
        <v>1300000</v>
      </c>
      <c r="O18" s="550">
        <v>1300000</v>
      </c>
      <c r="P18" s="853"/>
    </row>
    <row r="19" spans="1:16" ht="15.9" customHeight="1" thickBot="1" x14ac:dyDescent="0.3">
      <c r="A19" s="107" t="s">
        <v>35</v>
      </c>
      <c r="B19" s="108" t="s">
        <v>177</v>
      </c>
      <c r="C19" s="109">
        <f>C6+C7+C8+C9+C10+C11+C12+C13+C14+C16+C17+C18</f>
        <v>10354560</v>
      </c>
      <c r="D19" s="109">
        <v>52843518</v>
      </c>
      <c r="E19" s="109">
        <v>28932711</v>
      </c>
      <c r="F19" s="109">
        <f t="shared" si="0"/>
        <v>56151030</v>
      </c>
      <c r="G19" s="109">
        <f t="shared" ref="G19:H19" si="2">G6+G7+G8+G9+G10+G11+G12+G13+G14+G16+G17+G18</f>
        <v>148281819</v>
      </c>
      <c r="H19" s="109">
        <f t="shared" si="2"/>
        <v>146981819</v>
      </c>
      <c r="I19" s="108" t="s">
        <v>12</v>
      </c>
      <c r="J19" s="248">
        <f>+J6+J8+J9+J17+J18</f>
        <v>511836764</v>
      </c>
      <c r="K19" s="248">
        <f t="shared" ref="K19:N19" si="3">+K6+K8+K9+K17+K18</f>
        <v>-8700375</v>
      </c>
      <c r="L19" s="248">
        <f t="shared" si="3"/>
        <v>2874876</v>
      </c>
      <c r="M19" s="248">
        <f t="shared" si="3"/>
        <v>-338883433</v>
      </c>
      <c r="N19" s="248">
        <f t="shared" si="3"/>
        <v>167127832</v>
      </c>
      <c r="O19" s="248">
        <f>+O6+O8+O9+O17+O18</f>
        <v>167127832</v>
      </c>
      <c r="P19" s="853"/>
    </row>
    <row r="20" spans="1:16" ht="12.9" customHeight="1" x14ac:dyDescent="0.25">
      <c r="A20" s="126" t="s">
        <v>31</v>
      </c>
      <c r="B20" s="127" t="s">
        <v>178</v>
      </c>
      <c r="C20" s="128">
        <f>+C21+C22+C23+C24+C25</f>
        <v>101482204</v>
      </c>
      <c r="D20" s="128">
        <v>0</v>
      </c>
      <c r="E20" s="128"/>
      <c r="F20" s="128">
        <f t="shared" si="0"/>
        <v>-82636191</v>
      </c>
      <c r="G20" s="546">
        <f t="shared" ref="G20:H20" si="4">+G21+G22+G23+G24+G25</f>
        <v>18846013</v>
      </c>
      <c r="H20" s="546">
        <f t="shared" si="4"/>
        <v>20146013</v>
      </c>
      <c r="I20" s="112" t="s">
        <v>122</v>
      </c>
      <c r="J20" s="257"/>
      <c r="K20" s="254"/>
      <c r="L20" s="254"/>
      <c r="M20" s="254"/>
      <c r="N20" s="254"/>
      <c r="O20" s="254"/>
      <c r="P20" s="853"/>
    </row>
    <row r="21" spans="1:16" ht="12.9" customHeight="1" x14ac:dyDescent="0.25">
      <c r="A21" s="167" t="s">
        <v>60</v>
      </c>
      <c r="B21" s="129" t="s">
        <v>179</v>
      </c>
      <c r="C21" s="114">
        <v>12098299</v>
      </c>
      <c r="D21" s="237"/>
      <c r="E21" s="237"/>
      <c r="F21" s="237">
        <f t="shared" si="0"/>
        <v>0</v>
      </c>
      <c r="G21" s="541">
        <v>12098299</v>
      </c>
      <c r="H21" s="541">
        <v>13398299</v>
      </c>
      <c r="I21" s="112" t="s">
        <v>180</v>
      </c>
      <c r="J21" s="250"/>
      <c r="K21" s="114"/>
      <c r="L21" s="114"/>
      <c r="M21" s="114"/>
      <c r="N21" s="114"/>
      <c r="O21" s="114"/>
      <c r="P21" s="853"/>
    </row>
    <row r="22" spans="1:16" ht="12.9" customHeight="1" x14ac:dyDescent="0.25">
      <c r="A22" s="126" t="s">
        <v>72</v>
      </c>
      <c r="B22" s="129" t="s">
        <v>181</v>
      </c>
      <c r="C22" s="114"/>
      <c r="D22" s="237"/>
      <c r="E22" s="237"/>
      <c r="F22" s="237">
        <f t="shared" si="0"/>
        <v>0</v>
      </c>
      <c r="G22" s="537"/>
      <c r="H22" s="537"/>
      <c r="I22" s="112" t="s">
        <v>126</v>
      </c>
      <c r="J22" s="250"/>
      <c r="K22" s="114"/>
      <c r="L22" s="114"/>
      <c r="M22" s="114"/>
      <c r="N22" s="114"/>
      <c r="O22" s="114"/>
      <c r="P22" s="853"/>
    </row>
    <row r="23" spans="1:16" ht="12.9" customHeight="1" x14ac:dyDescent="0.25">
      <c r="A23" s="167" t="s">
        <v>32</v>
      </c>
      <c r="B23" s="129" t="s">
        <v>182</v>
      </c>
      <c r="C23" s="114"/>
      <c r="D23" s="237"/>
      <c r="E23" s="237"/>
      <c r="F23" s="237">
        <f t="shared" si="0"/>
        <v>0</v>
      </c>
      <c r="G23" s="237"/>
      <c r="H23" s="237"/>
      <c r="I23" s="112" t="s">
        <v>127</v>
      </c>
      <c r="J23" s="250"/>
      <c r="K23" s="114"/>
      <c r="L23" s="114"/>
      <c r="M23" s="114"/>
      <c r="N23" s="114"/>
      <c r="O23" s="114"/>
      <c r="P23" s="853"/>
    </row>
    <row r="24" spans="1:16" ht="12.9" customHeight="1" x14ac:dyDescent="0.25">
      <c r="A24" s="126" t="s">
        <v>73</v>
      </c>
      <c r="B24" s="129" t="s">
        <v>183</v>
      </c>
      <c r="C24" s="114">
        <v>89383905</v>
      </c>
      <c r="D24" s="238">
        <v>0</v>
      </c>
      <c r="E24" s="238"/>
      <c r="F24" s="238">
        <f t="shared" si="0"/>
        <v>-82636191</v>
      </c>
      <c r="G24" s="238">
        <v>6747714</v>
      </c>
      <c r="H24" s="238">
        <v>6747714</v>
      </c>
      <c r="I24" s="111" t="s">
        <v>15</v>
      </c>
      <c r="J24" s="250"/>
      <c r="K24" s="114"/>
      <c r="L24" s="114"/>
      <c r="M24" s="114"/>
      <c r="N24" s="114"/>
      <c r="O24" s="114"/>
      <c r="P24" s="853"/>
    </row>
    <row r="25" spans="1:16" ht="12.9" customHeight="1" x14ac:dyDescent="0.25">
      <c r="A25" s="167" t="s">
        <v>58</v>
      </c>
      <c r="B25" s="130" t="s">
        <v>184</v>
      </c>
      <c r="C25" s="114"/>
      <c r="D25" s="237"/>
      <c r="E25" s="237"/>
      <c r="F25" s="237">
        <f t="shared" si="0"/>
        <v>0</v>
      </c>
      <c r="G25" s="237"/>
      <c r="H25" s="237"/>
      <c r="I25" s="112" t="s">
        <v>185</v>
      </c>
      <c r="J25" s="250"/>
      <c r="K25" s="114"/>
      <c r="L25" s="114"/>
      <c r="M25" s="114"/>
      <c r="N25" s="114"/>
      <c r="O25" s="114"/>
      <c r="P25" s="853"/>
    </row>
    <row r="26" spans="1:16" ht="12.9" customHeight="1" x14ac:dyDescent="0.25">
      <c r="A26" s="126" t="s">
        <v>87</v>
      </c>
      <c r="B26" s="131" t="s">
        <v>186</v>
      </c>
      <c r="C26" s="115">
        <f>+C27+C28+C29+C30+C31</f>
        <v>400000000</v>
      </c>
      <c r="D26" s="115">
        <v>0</v>
      </c>
      <c r="E26" s="115"/>
      <c r="F26" s="115">
        <f t="shared" si="0"/>
        <v>-400000000</v>
      </c>
      <c r="G26" s="573">
        <f t="shared" ref="G26:H26" si="5">+G27+G28+G29+G30+G31</f>
        <v>0</v>
      </c>
      <c r="H26" s="115">
        <f t="shared" si="5"/>
        <v>0</v>
      </c>
      <c r="I26" s="132" t="s">
        <v>187</v>
      </c>
      <c r="J26" s="250"/>
      <c r="K26" s="114"/>
      <c r="L26" s="114"/>
      <c r="M26" s="114"/>
      <c r="N26" s="114"/>
      <c r="O26" s="114"/>
      <c r="P26" s="853"/>
    </row>
    <row r="27" spans="1:16" ht="12.9" customHeight="1" x14ac:dyDescent="0.25">
      <c r="A27" s="167" t="s">
        <v>133</v>
      </c>
      <c r="B27" s="130" t="s">
        <v>188</v>
      </c>
      <c r="C27" s="114">
        <v>400000000</v>
      </c>
      <c r="D27" s="256">
        <v>0</v>
      </c>
      <c r="E27" s="256"/>
      <c r="F27" s="256">
        <f t="shared" si="0"/>
        <v>-400000000</v>
      </c>
      <c r="G27" s="574">
        <v>0</v>
      </c>
      <c r="H27" s="256">
        <v>0</v>
      </c>
      <c r="I27" s="132" t="s">
        <v>189</v>
      </c>
      <c r="J27" s="250"/>
      <c r="K27" s="114"/>
      <c r="L27" s="114"/>
      <c r="M27" s="114"/>
      <c r="N27" s="114"/>
      <c r="O27" s="114"/>
      <c r="P27" s="853"/>
    </row>
    <row r="28" spans="1:16" ht="12.9" customHeight="1" x14ac:dyDescent="0.25">
      <c r="A28" s="126" t="s">
        <v>135</v>
      </c>
      <c r="B28" s="130" t="s">
        <v>190</v>
      </c>
      <c r="C28" s="114"/>
      <c r="D28" s="256"/>
      <c r="E28" s="256"/>
      <c r="F28" s="256">
        <f t="shared" si="0"/>
        <v>0</v>
      </c>
      <c r="G28" s="256"/>
      <c r="H28" s="256"/>
      <c r="I28" s="133"/>
      <c r="J28" s="250"/>
      <c r="K28" s="114"/>
      <c r="L28" s="114"/>
      <c r="M28" s="114"/>
      <c r="N28" s="114"/>
      <c r="O28" s="114"/>
      <c r="P28" s="853"/>
    </row>
    <row r="29" spans="1:16" ht="12.9" customHeight="1" x14ac:dyDescent="0.25">
      <c r="A29" s="167" t="s">
        <v>138</v>
      </c>
      <c r="B29" s="129" t="s">
        <v>191</v>
      </c>
      <c r="C29" s="114"/>
      <c r="D29" s="256"/>
      <c r="E29" s="256"/>
      <c r="F29" s="256">
        <f t="shared" si="0"/>
        <v>0</v>
      </c>
      <c r="G29" s="256"/>
      <c r="H29" s="256"/>
      <c r="I29" s="134"/>
      <c r="J29" s="250"/>
      <c r="K29" s="114"/>
      <c r="L29" s="114"/>
      <c r="M29" s="114"/>
      <c r="N29" s="114"/>
      <c r="O29" s="114"/>
      <c r="P29" s="853"/>
    </row>
    <row r="30" spans="1:16" ht="12.9" customHeight="1" x14ac:dyDescent="0.25">
      <c r="A30" s="126" t="s">
        <v>141</v>
      </c>
      <c r="B30" s="135" t="s">
        <v>192</v>
      </c>
      <c r="C30" s="114"/>
      <c r="D30" s="237"/>
      <c r="E30" s="237"/>
      <c r="F30" s="237">
        <f t="shared" si="0"/>
        <v>0</v>
      </c>
      <c r="G30" s="237"/>
      <c r="H30" s="237"/>
      <c r="I30" s="103"/>
      <c r="J30" s="250"/>
      <c r="K30" s="114"/>
      <c r="L30" s="114"/>
      <c r="M30" s="114"/>
      <c r="N30" s="114"/>
      <c r="O30" s="114"/>
      <c r="P30" s="853"/>
    </row>
    <row r="31" spans="1:16" ht="12.9" customHeight="1" thickBot="1" x14ac:dyDescent="0.3">
      <c r="A31" s="167" t="s">
        <v>144</v>
      </c>
      <c r="B31" s="136" t="s">
        <v>193</v>
      </c>
      <c r="C31" s="114"/>
      <c r="D31" s="256"/>
      <c r="E31" s="256"/>
      <c r="F31" s="256">
        <f t="shared" si="0"/>
        <v>0</v>
      </c>
      <c r="G31" s="256"/>
      <c r="H31" s="256"/>
      <c r="I31" s="134"/>
      <c r="J31" s="250"/>
      <c r="K31" s="255"/>
      <c r="L31" s="255"/>
      <c r="M31" s="255"/>
      <c r="N31" s="255"/>
      <c r="O31" s="255"/>
      <c r="P31" s="853"/>
    </row>
    <row r="32" spans="1:16" ht="21.75" customHeight="1" thickBot="1" x14ac:dyDescent="0.3">
      <c r="A32" s="107" t="s">
        <v>147</v>
      </c>
      <c r="B32" s="108" t="s">
        <v>194</v>
      </c>
      <c r="C32" s="109">
        <f>+C20+C26</f>
        <v>501482204</v>
      </c>
      <c r="D32" s="109">
        <v>0</v>
      </c>
      <c r="E32" s="109">
        <v>0</v>
      </c>
      <c r="F32" s="109">
        <f t="shared" si="0"/>
        <v>-482636191</v>
      </c>
      <c r="G32" s="109">
        <f t="shared" ref="G32:H32" si="6">+G20+G26</f>
        <v>18846013</v>
      </c>
      <c r="H32" s="109">
        <f t="shared" si="6"/>
        <v>20146013</v>
      </c>
      <c r="I32" s="108" t="s">
        <v>195</v>
      </c>
      <c r="J32" s="248">
        <f>SUM(J20:J31)</f>
        <v>0</v>
      </c>
      <c r="K32" s="109"/>
      <c r="L32" s="109"/>
      <c r="M32" s="109"/>
      <c r="N32" s="109"/>
      <c r="O32" s="109"/>
      <c r="P32" s="853"/>
    </row>
    <row r="33" spans="1:16" ht="18" customHeight="1" thickBot="1" x14ac:dyDescent="0.3">
      <c r="A33" s="107" t="s">
        <v>150</v>
      </c>
      <c r="B33" s="117" t="s">
        <v>196</v>
      </c>
      <c r="C33" s="109">
        <f>+C19+C32</f>
        <v>511836764</v>
      </c>
      <c r="D33" s="109">
        <v>52843518</v>
      </c>
      <c r="E33" s="109">
        <v>28932711</v>
      </c>
      <c r="F33" s="109">
        <f t="shared" si="0"/>
        <v>-426485161</v>
      </c>
      <c r="G33" s="109">
        <f t="shared" ref="G33:H33" si="7">+G19+G32</f>
        <v>167127832</v>
      </c>
      <c r="H33" s="109">
        <f t="shared" si="7"/>
        <v>167127832</v>
      </c>
      <c r="I33" s="117" t="s">
        <v>197</v>
      </c>
      <c r="J33" s="248">
        <f>+J19+J32</f>
        <v>511836764</v>
      </c>
      <c r="K33" s="248">
        <f t="shared" ref="K33:O33" si="8">+K19+K32</f>
        <v>-8700375</v>
      </c>
      <c r="L33" s="248">
        <f t="shared" si="8"/>
        <v>2874876</v>
      </c>
      <c r="M33" s="248">
        <f t="shared" si="8"/>
        <v>-338883433</v>
      </c>
      <c r="N33" s="248">
        <f t="shared" si="8"/>
        <v>167127832</v>
      </c>
      <c r="O33" s="248">
        <f t="shared" si="8"/>
        <v>167127832</v>
      </c>
      <c r="P33" s="853"/>
    </row>
    <row r="34" spans="1:16" ht="18" customHeight="1" thickBot="1" x14ac:dyDescent="0.3">
      <c r="A34" s="107" t="s">
        <v>198</v>
      </c>
      <c r="B34" s="108" t="s">
        <v>142</v>
      </c>
      <c r="C34" s="118" t="s">
        <v>199</v>
      </c>
      <c r="D34" s="240"/>
      <c r="E34" s="240"/>
      <c r="F34" s="240"/>
      <c r="G34" s="240"/>
      <c r="H34" s="240"/>
      <c r="I34" s="108" t="s">
        <v>143</v>
      </c>
      <c r="J34" s="251"/>
      <c r="K34" s="258"/>
      <c r="L34" s="258"/>
      <c r="M34" s="258"/>
      <c r="N34" s="258"/>
      <c r="O34" s="258"/>
      <c r="P34" s="853"/>
    </row>
    <row r="35" spans="1:16" ht="16.5" customHeight="1" thickBot="1" x14ac:dyDescent="0.3">
      <c r="A35" s="107" t="s">
        <v>200</v>
      </c>
      <c r="B35" s="119" t="s">
        <v>201</v>
      </c>
      <c r="C35" s="120">
        <f>SUM(C33:C34)</f>
        <v>511836764</v>
      </c>
      <c r="D35" s="120">
        <v>52843518</v>
      </c>
      <c r="E35" s="120">
        <v>28932711</v>
      </c>
      <c r="F35" s="120">
        <f t="shared" si="0"/>
        <v>-426485161</v>
      </c>
      <c r="G35" s="120">
        <f t="shared" ref="G35:H35" si="9">SUM(G33:G34)</f>
        <v>167127832</v>
      </c>
      <c r="H35" s="120">
        <f t="shared" si="9"/>
        <v>167127832</v>
      </c>
      <c r="I35" s="119" t="s">
        <v>202</v>
      </c>
      <c r="J35" s="241">
        <f>+J33+J34</f>
        <v>511836764</v>
      </c>
      <c r="K35" s="241">
        <f t="shared" ref="K35:O35" si="10">+K33+K34</f>
        <v>-8700375</v>
      </c>
      <c r="L35" s="241">
        <f t="shared" si="10"/>
        <v>2874876</v>
      </c>
      <c r="M35" s="241">
        <f t="shared" si="10"/>
        <v>-338883433</v>
      </c>
      <c r="N35" s="241">
        <f t="shared" si="10"/>
        <v>167127832</v>
      </c>
      <c r="O35" s="241">
        <f t="shared" si="10"/>
        <v>167127832</v>
      </c>
      <c r="P35" s="853"/>
    </row>
    <row r="36" spans="1:16" ht="18.75" customHeight="1" thickBot="1" x14ac:dyDescent="0.3">
      <c r="A36" s="107" t="s">
        <v>203</v>
      </c>
      <c r="B36" s="119" t="s">
        <v>148</v>
      </c>
      <c r="C36" s="120">
        <f>IF(C19-J19&lt;0,J19-C19,"-")</f>
        <v>501482204</v>
      </c>
      <c r="D36" s="120" t="str">
        <f t="shared" ref="D36:F36" si="11">IF(D19-K19&lt;0,K19-D19,"-")</f>
        <v>-</v>
      </c>
      <c r="E36" s="120" t="str">
        <f t="shared" si="11"/>
        <v>-</v>
      </c>
      <c r="F36" s="120" t="str">
        <f t="shared" si="11"/>
        <v>-</v>
      </c>
      <c r="G36" s="120"/>
      <c r="H36" s="120">
        <f>IF(H19-O19&lt;0,O19-H19,"-")</f>
        <v>20146013</v>
      </c>
      <c r="I36" s="119" t="s">
        <v>149</v>
      </c>
      <c r="J36" s="241" t="str">
        <f>IF(C19-J19&gt;0,C19-J19,"-")</f>
        <v>-</v>
      </c>
      <c r="K36" s="241"/>
      <c r="L36" s="241"/>
      <c r="M36" s="241"/>
      <c r="N36" s="241" t="str">
        <f t="shared" ref="N36:O36" si="12">IF(G19-N19&gt;0,G19-N19,"-")</f>
        <v>-</v>
      </c>
      <c r="O36" s="241" t="str">
        <f t="shared" si="12"/>
        <v>-</v>
      </c>
      <c r="P36" s="853"/>
    </row>
    <row r="37" spans="1:16" ht="22.5" customHeight="1" thickBot="1" x14ac:dyDescent="0.3">
      <c r="A37" s="107" t="s">
        <v>204</v>
      </c>
      <c r="B37" s="119" t="s">
        <v>151</v>
      </c>
      <c r="C37" s="120">
        <f>IF(C19+C20-J33&lt;0,J33-(C19+C20),"-")</f>
        <v>400000000</v>
      </c>
      <c r="D37" s="120" t="str">
        <f t="shared" ref="D37:G37" si="13">IF(D19+D20-K33&lt;0,K33-(D19+D20),"-")</f>
        <v>-</v>
      </c>
      <c r="E37" s="120" t="str">
        <f t="shared" si="13"/>
        <v>-</v>
      </c>
      <c r="F37" s="120" t="str">
        <f t="shared" si="13"/>
        <v>-</v>
      </c>
      <c r="G37" s="120" t="str">
        <f t="shared" si="13"/>
        <v>-</v>
      </c>
      <c r="H37" s="120" t="str">
        <f>IF(H19+H20-O33&lt;0,O33-(H19+H20),"-")</f>
        <v>-</v>
      </c>
      <c r="I37" s="119" t="s">
        <v>152</v>
      </c>
      <c r="J37" s="241" t="str">
        <f>IF(C19+C20-J33&gt;0,C19+C20-J33,"-")</f>
        <v>-</v>
      </c>
      <c r="K37" s="241"/>
      <c r="L37" s="241"/>
      <c r="M37" s="241"/>
      <c r="N37" s="241" t="str">
        <f t="shared" ref="N37:O37" si="14">IF(G19+G20-N33&gt;0,G19+G20-N33,"-")</f>
        <v>-</v>
      </c>
      <c r="O37" s="241" t="str">
        <f t="shared" si="14"/>
        <v>-</v>
      </c>
      <c r="P37" s="853"/>
    </row>
  </sheetData>
  <mergeCells count="2">
    <mergeCell ref="P1:P37"/>
    <mergeCell ref="A3:A4"/>
  </mergeCells>
  <phoneticPr fontId="7" type="noConversion"/>
  <pageMargins left="0.75" right="0.75" top="0.42" bottom="0.22" header="0.17" footer="0.17"/>
  <pageSetup paperSize="9" scale="51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61"/>
  <sheetViews>
    <sheetView zoomScale="80" zoomScaleNormal="80" workbookViewId="0">
      <selection activeCell="F13" sqref="F13"/>
    </sheetView>
  </sheetViews>
  <sheetFormatPr defaultColWidth="9.109375" defaultRowHeight="15" customHeight="1" x14ac:dyDescent="0.25"/>
  <cols>
    <col min="1" max="1" width="3" style="2" customWidth="1"/>
    <col min="2" max="2" width="44.6640625" style="2" bestFit="1" customWidth="1"/>
    <col min="3" max="3" width="8.33203125" style="15" bestFit="1" customWidth="1"/>
    <col min="4" max="4" width="12" style="175" bestFit="1" customWidth="1"/>
    <col min="5" max="5" width="12.33203125" style="175" bestFit="1" customWidth="1"/>
    <col min="6" max="7" width="11.6640625" style="175" customWidth="1"/>
    <col min="8" max="9" width="12" style="175" bestFit="1" customWidth="1"/>
    <col min="10" max="10" width="11.5546875" style="10" bestFit="1" customWidth="1"/>
    <col min="11" max="15" width="11.5546875" style="10" customWidth="1"/>
    <col min="16" max="16" width="12" style="10" bestFit="1" customWidth="1"/>
    <col min="17" max="17" width="11.88671875" style="10" bestFit="1" customWidth="1"/>
    <col min="18" max="19" width="11.88671875" style="10" customWidth="1"/>
    <col min="20" max="21" width="12" style="10" bestFit="1" customWidth="1"/>
    <col min="22" max="22" width="9.109375" style="2"/>
    <col min="23" max="23" width="10.109375" style="10" bestFit="1" customWidth="1"/>
    <col min="24" max="24" width="9.5546875" style="10" bestFit="1" customWidth="1"/>
    <col min="25" max="16384" width="9.109375" style="2"/>
  </cols>
  <sheetData>
    <row r="1" spans="1:24" ht="21" customHeight="1" x14ac:dyDescent="0.25">
      <c r="A1" s="782" t="s">
        <v>458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</row>
    <row r="2" spans="1:24" ht="18.75" customHeight="1" x14ac:dyDescent="0.25">
      <c r="A2" s="782" t="s">
        <v>48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  <c r="R2" s="782"/>
      <c r="S2" s="782"/>
      <c r="T2" s="782"/>
      <c r="U2" s="782"/>
    </row>
    <row r="3" spans="1:24" ht="15" customHeight="1" x14ac:dyDescent="0.25">
      <c r="Q3" s="14"/>
      <c r="R3" s="14"/>
      <c r="S3" s="14"/>
      <c r="T3" s="14"/>
      <c r="U3" s="14" t="s">
        <v>221</v>
      </c>
    </row>
    <row r="4" spans="1:24" customFormat="1" ht="36.75" customHeight="1" x14ac:dyDescent="0.25">
      <c r="A4" s="789" t="s">
        <v>41</v>
      </c>
      <c r="B4" s="790"/>
      <c r="C4" s="791"/>
      <c r="D4" s="784" t="s">
        <v>208</v>
      </c>
      <c r="E4" s="785"/>
      <c r="F4" s="785"/>
      <c r="G4" s="785"/>
      <c r="H4" s="785"/>
      <c r="I4" s="785"/>
      <c r="J4" s="786" t="s">
        <v>95</v>
      </c>
      <c r="K4" s="785"/>
      <c r="L4" s="785"/>
      <c r="M4" s="785"/>
      <c r="N4" s="785"/>
      <c r="O4" s="787"/>
      <c r="P4" s="785" t="s">
        <v>376</v>
      </c>
      <c r="Q4" s="785"/>
      <c r="R4" s="785"/>
      <c r="S4" s="785"/>
      <c r="T4" s="785"/>
      <c r="U4" s="788"/>
      <c r="W4" s="147"/>
      <c r="X4" s="147"/>
    </row>
    <row r="5" spans="1:24" customFormat="1" ht="30" customHeight="1" thickBot="1" x14ac:dyDescent="0.3">
      <c r="A5" s="792"/>
      <c r="B5" s="793"/>
      <c r="C5" s="794"/>
      <c r="D5" s="321" t="s">
        <v>445</v>
      </c>
      <c r="E5" s="157" t="s">
        <v>348</v>
      </c>
      <c r="F5" s="157" t="s">
        <v>446</v>
      </c>
      <c r="G5" s="157" t="s">
        <v>455</v>
      </c>
      <c r="H5" s="157" t="s">
        <v>349</v>
      </c>
      <c r="I5" s="320" t="s">
        <v>350</v>
      </c>
      <c r="J5" s="509" t="s">
        <v>445</v>
      </c>
      <c r="K5" s="157" t="s">
        <v>348</v>
      </c>
      <c r="L5" s="157" t="s">
        <v>446</v>
      </c>
      <c r="M5" s="157" t="s">
        <v>455</v>
      </c>
      <c r="N5" s="157" t="s">
        <v>349</v>
      </c>
      <c r="O5" s="388" t="s">
        <v>350</v>
      </c>
      <c r="P5" s="321" t="s">
        <v>362</v>
      </c>
      <c r="Q5" s="157" t="s">
        <v>348</v>
      </c>
      <c r="R5" s="157" t="s">
        <v>446</v>
      </c>
      <c r="S5" s="157" t="s">
        <v>455</v>
      </c>
      <c r="T5" s="389" t="s">
        <v>349</v>
      </c>
      <c r="U5" s="157" t="s">
        <v>350</v>
      </c>
      <c r="W5" s="147"/>
      <c r="X5" s="147"/>
    </row>
    <row r="6" spans="1:24" ht="21" customHeight="1" x14ac:dyDescent="0.25">
      <c r="A6" s="52" t="s">
        <v>23</v>
      </c>
      <c r="B6" s="34"/>
      <c r="C6" s="34"/>
      <c r="D6" s="176"/>
      <c r="E6" s="176"/>
      <c r="F6" s="176"/>
      <c r="G6" s="176"/>
      <c r="H6" s="176"/>
      <c r="I6" s="176"/>
      <c r="J6" s="510"/>
      <c r="K6" s="143"/>
      <c r="L6" s="143"/>
      <c r="M6" s="143"/>
      <c r="N6" s="143"/>
      <c r="O6" s="511"/>
      <c r="P6" s="143"/>
      <c r="Q6" s="19"/>
      <c r="R6" s="19"/>
      <c r="S6" s="19"/>
      <c r="T6" s="19"/>
      <c r="U6" s="19"/>
    </row>
    <row r="7" spans="1:24" s="11" customFormat="1" ht="18" customHeight="1" x14ac:dyDescent="0.25">
      <c r="A7" s="53" t="s">
        <v>20</v>
      </c>
      <c r="B7" s="54"/>
      <c r="C7" s="54"/>
      <c r="D7" s="177"/>
      <c r="E7" s="263"/>
      <c r="F7" s="263"/>
      <c r="G7" s="263"/>
      <c r="H7" s="263"/>
      <c r="I7" s="263"/>
      <c r="J7" s="512"/>
      <c r="K7" s="269"/>
      <c r="L7" s="269"/>
      <c r="M7" s="269"/>
      <c r="N7" s="269"/>
      <c r="O7" s="513"/>
      <c r="P7" s="269"/>
      <c r="Q7" s="279"/>
      <c r="R7" s="279"/>
      <c r="S7" s="279"/>
      <c r="T7" s="279"/>
      <c r="U7" s="279"/>
      <c r="W7" s="144"/>
      <c r="X7" s="144"/>
    </row>
    <row r="8" spans="1:24" ht="26.4" x14ac:dyDescent="0.25">
      <c r="A8" s="58" t="s">
        <v>42</v>
      </c>
      <c r="B8" s="59" t="s">
        <v>80</v>
      </c>
      <c r="C8" s="60" t="s">
        <v>84</v>
      </c>
      <c r="D8" s="271">
        <f>SUM(D9:D10)</f>
        <v>102023405</v>
      </c>
      <c r="E8" s="454">
        <v>997200</v>
      </c>
      <c r="F8" s="454">
        <v>1595599</v>
      </c>
      <c r="G8" s="454">
        <f>H8-D8-E8-F8</f>
        <v>779440</v>
      </c>
      <c r="H8" s="576">
        <f t="shared" ref="H8:I8" si="0">SUM(H9:H10)</f>
        <v>105395644</v>
      </c>
      <c r="I8" s="577">
        <f t="shared" si="0"/>
        <v>105395644</v>
      </c>
      <c r="J8" s="521">
        <f>SUM(J9:J10)</f>
        <v>0</v>
      </c>
      <c r="K8" s="454"/>
      <c r="L8" s="454">
        <v>0</v>
      </c>
      <c r="M8" s="454">
        <f>N8-J8-K8-L8</f>
        <v>0</v>
      </c>
      <c r="N8" s="579"/>
      <c r="O8" s="580"/>
      <c r="P8" s="494">
        <f>SUM(P9:P10)</f>
        <v>102023405</v>
      </c>
      <c r="Q8" s="271">
        <f t="shared" ref="Q8:U8" si="1">SUM(Q9:Q10)</f>
        <v>997200</v>
      </c>
      <c r="R8" s="271">
        <v>1595599</v>
      </c>
      <c r="S8" s="271">
        <f>T8-P8-Q8-R8</f>
        <v>779440</v>
      </c>
      <c r="T8" s="271">
        <f t="shared" si="1"/>
        <v>105395644</v>
      </c>
      <c r="U8" s="271">
        <f t="shared" si="1"/>
        <v>105395644</v>
      </c>
    </row>
    <row r="9" spans="1:24" ht="26.4" x14ac:dyDescent="0.25">
      <c r="A9" s="24" t="s">
        <v>42</v>
      </c>
      <c r="B9" s="12" t="s">
        <v>85</v>
      </c>
      <c r="C9" s="37"/>
      <c r="D9" s="141">
        <v>102023405</v>
      </c>
      <c r="E9" s="21">
        <v>997200</v>
      </c>
      <c r="F9" s="21">
        <v>1595599</v>
      </c>
      <c r="G9" s="21">
        <f t="shared" ref="G9:G31" si="2">H9-D9-E9-F9</f>
        <v>779440</v>
      </c>
      <c r="H9" s="456">
        <v>105395644</v>
      </c>
      <c r="I9" s="496">
        <v>105395644</v>
      </c>
      <c r="J9" s="514">
        <v>0</v>
      </c>
      <c r="K9" s="265">
        <v>0</v>
      </c>
      <c r="L9" s="265">
        <v>0</v>
      </c>
      <c r="M9" s="265">
        <f t="shared" ref="M9:M25" si="3">N9-J9-K9-L9</f>
        <v>0</v>
      </c>
      <c r="N9" s="498">
        <v>0</v>
      </c>
      <c r="O9" s="581">
        <v>0</v>
      </c>
      <c r="P9" s="265">
        <f>D9+J9</f>
        <v>102023405</v>
      </c>
      <c r="Q9" s="19">
        <f>E9+K9</f>
        <v>997200</v>
      </c>
      <c r="R9" s="19">
        <v>1595599</v>
      </c>
      <c r="S9" s="19">
        <f t="shared" ref="S9:S59" si="4">T9-P9-Q9-R9</f>
        <v>779440</v>
      </c>
      <c r="T9" s="602">
        <f>H9+N9</f>
        <v>105395644</v>
      </c>
      <c r="U9" s="602">
        <f>I9+O9</f>
        <v>105395644</v>
      </c>
    </row>
    <row r="10" spans="1:24" ht="15.75" customHeight="1" x14ac:dyDescent="0.25">
      <c r="A10" s="55"/>
      <c r="B10" s="56"/>
      <c r="C10" s="56"/>
      <c r="D10" s="178"/>
      <c r="E10" s="264"/>
      <c r="F10" s="455"/>
      <c r="G10" s="455">
        <f t="shared" si="2"/>
        <v>0</v>
      </c>
      <c r="H10" s="264"/>
      <c r="I10" s="264"/>
      <c r="J10" s="515"/>
      <c r="K10" s="267"/>
      <c r="L10" s="267"/>
      <c r="M10" s="267">
        <f t="shared" si="3"/>
        <v>0</v>
      </c>
      <c r="N10" s="461"/>
      <c r="O10" s="582"/>
      <c r="P10" s="267"/>
      <c r="Q10" s="19">
        <f>E10+K10</f>
        <v>0</v>
      </c>
      <c r="R10" s="19"/>
      <c r="S10" s="19">
        <f t="shared" si="4"/>
        <v>0</v>
      </c>
      <c r="T10" s="602">
        <f>H10+N10</f>
        <v>0</v>
      </c>
      <c r="U10" s="602">
        <f>I10+O10</f>
        <v>0</v>
      </c>
    </row>
    <row r="11" spans="1:24" ht="15" customHeight="1" x14ac:dyDescent="0.25">
      <c r="A11" s="26" t="s">
        <v>43</v>
      </c>
      <c r="B11" s="29" t="s">
        <v>291</v>
      </c>
      <c r="C11" s="35" t="s">
        <v>426</v>
      </c>
      <c r="D11" s="272">
        <f>SUM(D12:D12)</f>
        <v>555000</v>
      </c>
      <c r="E11" s="33">
        <v>0</v>
      </c>
      <c r="F11" s="33">
        <v>0</v>
      </c>
      <c r="G11" s="33">
        <f t="shared" si="2"/>
        <v>-5000</v>
      </c>
      <c r="H11" s="457">
        <f t="shared" ref="H11:I11" si="5">SUM(H12:H12)</f>
        <v>550000</v>
      </c>
      <c r="I11" s="499">
        <f t="shared" si="5"/>
        <v>550000</v>
      </c>
      <c r="J11" s="522">
        <f>SUM(J12:J12)</f>
        <v>0</v>
      </c>
      <c r="K11" s="33"/>
      <c r="L11" s="33">
        <v>0</v>
      </c>
      <c r="M11" s="33">
        <f t="shared" si="3"/>
        <v>0</v>
      </c>
      <c r="N11" s="583"/>
      <c r="O11" s="584"/>
      <c r="P11" s="495">
        <f>SUM(P12:P12)</f>
        <v>555000</v>
      </c>
      <c r="Q11" s="272">
        <f t="shared" ref="Q11:U11" si="6">SUM(Q12:Q12)</f>
        <v>0</v>
      </c>
      <c r="R11" s="272">
        <v>0</v>
      </c>
      <c r="S11" s="272">
        <f t="shared" si="4"/>
        <v>-5000</v>
      </c>
      <c r="T11" s="483">
        <f t="shared" si="6"/>
        <v>550000</v>
      </c>
      <c r="U11" s="483">
        <f t="shared" si="6"/>
        <v>550000</v>
      </c>
    </row>
    <row r="12" spans="1:24" ht="15" customHeight="1" x14ac:dyDescent="0.25">
      <c r="A12" s="24" t="s">
        <v>42</v>
      </c>
      <c r="B12" s="12" t="s">
        <v>222</v>
      </c>
      <c r="C12" s="37"/>
      <c r="D12" s="141">
        <v>555000</v>
      </c>
      <c r="E12" s="21">
        <v>0</v>
      </c>
      <c r="F12" s="21">
        <v>0</v>
      </c>
      <c r="G12" s="21">
        <f t="shared" si="2"/>
        <v>-5000</v>
      </c>
      <c r="H12" s="456">
        <v>550000</v>
      </c>
      <c r="I12" s="496">
        <v>550000</v>
      </c>
      <c r="J12" s="514">
        <v>0</v>
      </c>
      <c r="K12" s="265"/>
      <c r="L12" s="265">
        <v>0</v>
      </c>
      <c r="M12" s="265">
        <f t="shared" si="3"/>
        <v>0</v>
      </c>
      <c r="N12" s="498"/>
      <c r="O12" s="581"/>
      <c r="P12" s="265">
        <f>D12+J12</f>
        <v>555000</v>
      </c>
      <c r="Q12" s="19">
        <f>E12+K12</f>
        <v>0</v>
      </c>
      <c r="R12" s="19">
        <v>0</v>
      </c>
      <c r="S12" s="19">
        <f t="shared" si="4"/>
        <v>-5000</v>
      </c>
      <c r="T12" s="602">
        <f>H12+N12</f>
        <v>550000</v>
      </c>
      <c r="U12" s="602">
        <f>I12+O12</f>
        <v>550000</v>
      </c>
    </row>
    <row r="13" spans="1:24" ht="26.25" customHeight="1" x14ac:dyDescent="0.25">
      <c r="A13" s="26" t="s">
        <v>44</v>
      </c>
      <c r="B13" s="27" t="s">
        <v>38</v>
      </c>
      <c r="C13" s="35" t="s">
        <v>426</v>
      </c>
      <c r="D13" s="272">
        <f>SUM(D14:D20)</f>
        <v>2101693</v>
      </c>
      <c r="E13" s="33">
        <v>0</v>
      </c>
      <c r="F13" s="33">
        <v>0</v>
      </c>
      <c r="G13" s="33">
        <f t="shared" si="2"/>
        <v>50300</v>
      </c>
      <c r="H13" s="457">
        <f t="shared" ref="H13:I13" si="7">SUM(H14:H20)</f>
        <v>2151993</v>
      </c>
      <c r="I13" s="499">
        <f t="shared" si="7"/>
        <v>2151993</v>
      </c>
      <c r="J13" s="522">
        <f>SUM(J14:J20)</f>
        <v>488205</v>
      </c>
      <c r="K13" s="33">
        <v>11923</v>
      </c>
      <c r="L13" s="33">
        <v>20852</v>
      </c>
      <c r="M13" s="33">
        <f t="shared" si="3"/>
        <v>-32775</v>
      </c>
      <c r="N13" s="457">
        <f t="shared" ref="N13:O13" si="8">SUM(N14:N20)</f>
        <v>488205</v>
      </c>
      <c r="O13" s="587">
        <f t="shared" si="8"/>
        <v>488205</v>
      </c>
      <c r="P13" s="495">
        <f>SUM(P14:P20)</f>
        <v>2589898</v>
      </c>
      <c r="Q13" s="272">
        <f t="shared" ref="Q13:U13" si="9">SUM(Q14:Q20)</f>
        <v>11923</v>
      </c>
      <c r="R13" s="272">
        <v>20852</v>
      </c>
      <c r="S13" s="272">
        <f t="shared" si="4"/>
        <v>17525</v>
      </c>
      <c r="T13" s="483">
        <f t="shared" si="9"/>
        <v>2640198</v>
      </c>
      <c r="U13" s="483">
        <f t="shared" si="9"/>
        <v>2640198</v>
      </c>
    </row>
    <row r="14" spans="1:24" ht="15" customHeight="1" x14ac:dyDescent="0.25">
      <c r="A14" s="24" t="s">
        <v>42</v>
      </c>
      <c r="B14" s="6" t="s">
        <v>78</v>
      </c>
      <c r="C14" s="37"/>
      <c r="D14" s="141">
        <v>0</v>
      </c>
      <c r="E14" s="21">
        <v>0</v>
      </c>
      <c r="F14" s="21">
        <v>0</v>
      </c>
      <c r="G14" s="21">
        <f t="shared" si="2"/>
        <v>120300</v>
      </c>
      <c r="H14" s="456">
        <v>120300</v>
      </c>
      <c r="I14" s="496">
        <v>120300</v>
      </c>
      <c r="J14" s="514"/>
      <c r="K14" s="5"/>
      <c r="L14" s="5">
        <v>0</v>
      </c>
      <c r="M14" s="5">
        <f t="shared" si="3"/>
        <v>0</v>
      </c>
      <c r="N14" s="315"/>
      <c r="O14" s="588"/>
      <c r="P14" s="265">
        <f>D14+J14</f>
        <v>0</v>
      </c>
      <c r="Q14" s="19">
        <f>E14+K14</f>
        <v>0</v>
      </c>
      <c r="R14" s="19">
        <v>0</v>
      </c>
      <c r="S14" s="19">
        <f t="shared" si="4"/>
        <v>120300</v>
      </c>
      <c r="T14" s="602">
        <f>H14+N14</f>
        <v>120300</v>
      </c>
      <c r="U14" s="602">
        <f>I14+O14</f>
        <v>120300</v>
      </c>
    </row>
    <row r="15" spans="1:24" ht="15" customHeight="1" x14ac:dyDescent="0.25">
      <c r="A15" s="24" t="s">
        <v>43</v>
      </c>
      <c r="B15" s="7" t="s">
        <v>74</v>
      </c>
      <c r="C15" s="7"/>
      <c r="D15" s="61">
        <v>70000</v>
      </c>
      <c r="E15" s="21">
        <v>0</v>
      </c>
      <c r="F15" s="21">
        <v>0</v>
      </c>
      <c r="G15" s="21">
        <f t="shared" si="2"/>
        <v>-70000</v>
      </c>
      <c r="H15" s="315">
        <v>0</v>
      </c>
      <c r="I15" s="497"/>
      <c r="J15" s="516"/>
      <c r="K15" s="21"/>
      <c r="L15" s="21">
        <v>0</v>
      </c>
      <c r="M15" s="21">
        <f t="shared" si="3"/>
        <v>0</v>
      </c>
      <c r="N15" s="456"/>
      <c r="O15" s="589"/>
      <c r="P15" s="265">
        <f t="shared" ref="P15:P24" si="10">D15+J15</f>
        <v>70000</v>
      </c>
      <c r="Q15" s="19">
        <f t="shared" ref="Q15:Q25" si="11">E15+K15</f>
        <v>0</v>
      </c>
      <c r="R15" s="19">
        <v>0</v>
      </c>
      <c r="S15" s="19">
        <f t="shared" si="4"/>
        <v>-70000</v>
      </c>
      <c r="T15" s="602">
        <f t="shared" ref="T15:T25" si="12">H15+N15</f>
        <v>0</v>
      </c>
      <c r="U15" s="602">
        <f t="shared" ref="U15:U25" si="13">I15+O15</f>
        <v>0</v>
      </c>
    </row>
    <row r="16" spans="1:24" ht="15" customHeight="1" x14ac:dyDescent="0.25">
      <c r="A16" s="24" t="s">
        <v>44</v>
      </c>
      <c r="B16" s="7" t="s">
        <v>299</v>
      </c>
      <c r="C16" s="7"/>
      <c r="D16" s="61">
        <v>1472970</v>
      </c>
      <c r="E16" s="21">
        <v>0</v>
      </c>
      <c r="F16" s="21">
        <v>0</v>
      </c>
      <c r="G16" s="21">
        <f t="shared" si="2"/>
        <v>0</v>
      </c>
      <c r="H16" s="315">
        <v>1472970</v>
      </c>
      <c r="I16" s="497">
        <v>1472970</v>
      </c>
      <c r="J16" s="516"/>
      <c r="K16" s="21"/>
      <c r="L16" s="21">
        <v>0</v>
      </c>
      <c r="M16" s="21">
        <f t="shared" si="3"/>
        <v>0</v>
      </c>
      <c r="N16" s="456"/>
      <c r="O16" s="589"/>
      <c r="P16" s="265">
        <f t="shared" si="10"/>
        <v>1472970</v>
      </c>
      <c r="Q16" s="19">
        <f t="shared" si="11"/>
        <v>0</v>
      </c>
      <c r="R16" s="19">
        <v>0</v>
      </c>
      <c r="S16" s="19">
        <f t="shared" si="4"/>
        <v>0</v>
      </c>
      <c r="T16" s="602">
        <f t="shared" si="12"/>
        <v>1472970</v>
      </c>
      <c r="U16" s="602">
        <f t="shared" si="13"/>
        <v>1472970</v>
      </c>
    </row>
    <row r="17" spans="1:21" ht="15" customHeight="1" x14ac:dyDescent="0.25">
      <c r="A17" s="24" t="s">
        <v>45</v>
      </c>
      <c r="B17" s="6" t="s">
        <v>300</v>
      </c>
      <c r="C17" s="37"/>
      <c r="D17" s="61">
        <v>500154</v>
      </c>
      <c r="E17" s="21">
        <v>0</v>
      </c>
      <c r="F17" s="21">
        <v>0</v>
      </c>
      <c r="G17" s="21">
        <f t="shared" si="2"/>
        <v>0</v>
      </c>
      <c r="H17" s="315">
        <v>500154</v>
      </c>
      <c r="I17" s="497">
        <v>500154</v>
      </c>
      <c r="J17" s="514"/>
      <c r="K17" s="5"/>
      <c r="L17" s="5">
        <v>0</v>
      </c>
      <c r="M17" s="5">
        <f t="shared" si="3"/>
        <v>0</v>
      </c>
      <c r="N17" s="315"/>
      <c r="O17" s="588"/>
      <c r="P17" s="265">
        <f t="shared" si="10"/>
        <v>500154</v>
      </c>
      <c r="Q17" s="19">
        <f t="shared" si="11"/>
        <v>0</v>
      </c>
      <c r="R17" s="19">
        <v>0</v>
      </c>
      <c r="S17" s="19">
        <f t="shared" si="4"/>
        <v>0</v>
      </c>
      <c r="T17" s="602">
        <f t="shared" si="12"/>
        <v>500154</v>
      </c>
      <c r="U17" s="602">
        <f t="shared" si="13"/>
        <v>500154</v>
      </c>
    </row>
    <row r="18" spans="1:21" ht="25.5" customHeight="1" x14ac:dyDescent="0.25">
      <c r="A18" s="24" t="s">
        <v>46</v>
      </c>
      <c r="B18" s="6" t="s">
        <v>301</v>
      </c>
      <c r="C18" s="37"/>
      <c r="D18" s="61">
        <v>58569</v>
      </c>
      <c r="E18" s="21">
        <v>0</v>
      </c>
      <c r="F18" s="21">
        <v>0</v>
      </c>
      <c r="G18" s="21">
        <f t="shared" si="2"/>
        <v>0</v>
      </c>
      <c r="H18" s="315">
        <v>58569</v>
      </c>
      <c r="I18" s="497">
        <v>58569</v>
      </c>
      <c r="J18" s="514"/>
      <c r="K18" s="5"/>
      <c r="L18" s="5">
        <v>0</v>
      </c>
      <c r="M18" s="5">
        <f t="shared" si="3"/>
        <v>0</v>
      </c>
      <c r="N18" s="315"/>
      <c r="O18" s="588"/>
      <c r="P18" s="265">
        <f t="shared" si="10"/>
        <v>58569</v>
      </c>
      <c r="Q18" s="19">
        <f t="shared" si="11"/>
        <v>0</v>
      </c>
      <c r="R18" s="19">
        <v>0</v>
      </c>
      <c r="S18" s="19">
        <f t="shared" si="4"/>
        <v>0</v>
      </c>
      <c r="T18" s="602">
        <f t="shared" si="12"/>
        <v>58569</v>
      </c>
      <c r="U18" s="602">
        <f t="shared" si="13"/>
        <v>58569</v>
      </c>
    </row>
    <row r="19" spans="1:21" ht="15" customHeight="1" x14ac:dyDescent="0.25">
      <c r="A19" s="24" t="s">
        <v>52</v>
      </c>
      <c r="B19" s="7" t="s">
        <v>364</v>
      </c>
      <c r="C19" s="37"/>
      <c r="D19" s="61">
        <v>0</v>
      </c>
      <c r="E19" s="21">
        <v>0</v>
      </c>
      <c r="F19" s="21">
        <v>0</v>
      </c>
      <c r="G19" s="21">
        <f t="shared" si="2"/>
        <v>0</v>
      </c>
      <c r="H19" s="315">
        <v>0</v>
      </c>
      <c r="I19" s="497"/>
      <c r="J19" s="514">
        <v>488205</v>
      </c>
      <c r="K19" s="5">
        <v>0</v>
      </c>
      <c r="L19" s="5">
        <v>0</v>
      </c>
      <c r="M19" s="5">
        <f t="shared" si="3"/>
        <v>0</v>
      </c>
      <c r="N19" s="315">
        <v>488205</v>
      </c>
      <c r="O19" s="588">
        <v>488205</v>
      </c>
      <c r="P19" s="265">
        <f t="shared" si="10"/>
        <v>488205</v>
      </c>
      <c r="Q19" s="19">
        <f t="shared" si="11"/>
        <v>0</v>
      </c>
      <c r="R19" s="19">
        <v>0</v>
      </c>
      <c r="S19" s="19">
        <f t="shared" si="4"/>
        <v>0</v>
      </c>
      <c r="T19" s="602">
        <f t="shared" si="12"/>
        <v>488205</v>
      </c>
      <c r="U19" s="602">
        <f t="shared" si="13"/>
        <v>488205</v>
      </c>
    </row>
    <row r="20" spans="1:21" ht="15" customHeight="1" x14ac:dyDescent="0.25">
      <c r="A20" s="24" t="s">
        <v>54</v>
      </c>
      <c r="B20" s="342" t="s">
        <v>365</v>
      </c>
      <c r="C20" s="7"/>
      <c r="D20" s="61">
        <v>0</v>
      </c>
      <c r="E20" s="21">
        <v>0</v>
      </c>
      <c r="F20" s="21">
        <v>0</v>
      </c>
      <c r="G20" s="21">
        <f t="shared" si="2"/>
        <v>0</v>
      </c>
      <c r="H20" s="315">
        <v>0</v>
      </c>
      <c r="I20" s="497"/>
      <c r="J20" s="516">
        <v>0</v>
      </c>
      <c r="K20" s="5">
        <v>11923</v>
      </c>
      <c r="L20" s="5">
        <v>20852</v>
      </c>
      <c r="M20" s="5">
        <f t="shared" si="3"/>
        <v>-32775</v>
      </c>
      <c r="N20" s="456">
        <v>0</v>
      </c>
      <c r="O20" s="589">
        <v>0</v>
      </c>
      <c r="P20" s="265">
        <f t="shared" si="10"/>
        <v>0</v>
      </c>
      <c r="Q20" s="19">
        <f t="shared" si="11"/>
        <v>11923</v>
      </c>
      <c r="R20" s="19">
        <v>20852</v>
      </c>
      <c r="S20" s="19">
        <f t="shared" si="4"/>
        <v>-32775</v>
      </c>
      <c r="T20" s="602">
        <f t="shared" si="12"/>
        <v>0</v>
      </c>
      <c r="U20" s="602">
        <f t="shared" si="13"/>
        <v>0</v>
      </c>
    </row>
    <row r="21" spans="1:21" ht="22.5" customHeight="1" x14ac:dyDescent="0.25">
      <c r="A21" s="26" t="s">
        <v>45</v>
      </c>
      <c r="B21" s="27" t="s">
        <v>79</v>
      </c>
      <c r="C21" s="35" t="s">
        <v>426</v>
      </c>
      <c r="D21" s="272">
        <f>SUM(D22:D25)</f>
        <v>241036359</v>
      </c>
      <c r="E21" s="33">
        <v>0</v>
      </c>
      <c r="F21" s="33">
        <v>97500</v>
      </c>
      <c r="G21" s="33">
        <f t="shared" si="2"/>
        <v>-24581827</v>
      </c>
      <c r="H21" s="457">
        <f>SUM(H22:H25)</f>
        <v>216552032</v>
      </c>
      <c r="I21" s="499">
        <f>SUM(I22:I25)</f>
        <v>216552032</v>
      </c>
      <c r="J21" s="522">
        <f>SUM(J22:J25)</f>
        <v>0</v>
      </c>
      <c r="K21" s="33">
        <v>0</v>
      </c>
      <c r="L21" s="33">
        <v>0</v>
      </c>
      <c r="M21" s="33">
        <f t="shared" si="3"/>
        <v>0</v>
      </c>
      <c r="N21" s="457">
        <f>SUM(N22:N25)</f>
        <v>0</v>
      </c>
      <c r="O21" s="587">
        <f>SUM(O22:O25)</f>
        <v>0</v>
      </c>
      <c r="P21" s="495">
        <f>SUM(P22:P25)</f>
        <v>241036359</v>
      </c>
      <c r="Q21" s="272">
        <f>SUM(Q22:Q25)</f>
        <v>0</v>
      </c>
      <c r="R21" s="272">
        <v>97500</v>
      </c>
      <c r="S21" s="272">
        <f t="shared" si="4"/>
        <v>-24581827</v>
      </c>
      <c r="T21" s="483">
        <f>SUM(T22:T25)</f>
        <v>216552032</v>
      </c>
      <c r="U21" s="483">
        <f>SUM(U22:U25)</f>
        <v>216552032</v>
      </c>
    </row>
    <row r="22" spans="1:21" ht="26.4" x14ac:dyDescent="0.25">
      <c r="A22" s="24" t="s">
        <v>42</v>
      </c>
      <c r="B22" s="12" t="s">
        <v>302</v>
      </c>
      <c r="C22" s="37"/>
      <c r="D22" s="141">
        <v>49935</v>
      </c>
      <c r="E22" s="21">
        <v>0</v>
      </c>
      <c r="F22" s="21">
        <v>0</v>
      </c>
      <c r="G22" s="21">
        <f t="shared" si="2"/>
        <v>0</v>
      </c>
      <c r="H22" s="456">
        <v>49935</v>
      </c>
      <c r="I22" s="496">
        <v>49935</v>
      </c>
      <c r="J22" s="514">
        <v>0</v>
      </c>
      <c r="K22" s="5"/>
      <c r="L22" s="5">
        <v>0</v>
      </c>
      <c r="M22" s="5">
        <f t="shared" si="3"/>
        <v>0</v>
      </c>
      <c r="N22" s="315"/>
      <c r="O22" s="588"/>
      <c r="P22" s="265">
        <f t="shared" si="10"/>
        <v>49935</v>
      </c>
      <c r="Q22" s="19">
        <f t="shared" si="11"/>
        <v>0</v>
      </c>
      <c r="R22" s="19">
        <v>0</v>
      </c>
      <c r="S22" s="19">
        <f t="shared" si="4"/>
        <v>0</v>
      </c>
      <c r="T22" s="602">
        <f t="shared" si="12"/>
        <v>49935</v>
      </c>
      <c r="U22" s="602">
        <f t="shared" si="13"/>
        <v>49935</v>
      </c>
    </row>
    <row r="23" spans="1:21" ht="18" customHeight="1" x14ac:dyDescent="0.25">
      <c r="A23" s="24" t="s">
        <v>43</v>
      </c>
      <c r="B23" s="7" t="s">
        <v>303</v>
      </c>
      <c r="C23" s="37"/>
      <c r="D23" s="61">
        <v>95000</v>
      </c>
      <c r="E23" s="21">
        <v>0</v>
      </c>
      <c r="F23" s="21">
        <v>0</v>
      </c>
      <c r="G23" s="21">
        <f t="shared" si="2"/>
        <v>-95000</v>
      </c>
      <c r="H23" s="315">
        <v>0</v>
      </c>
      <c r="I23" s="497"/>
      <c r="J23" s="514">
        <v>0</v>
      </c>
      <c r="K23" s="5"/>
      <c r="L23" s="5">
        <v>0</v>
      </c>
      <c r="M23" s="5">
        <f t="shared" si="3"/>
        <v>0</v>
      </c>
      <c r="N23" s="315"/>
      <c r="O23" s="588"/>
      <c r="P23" s="265">
        <f t="shared" si="10"/>
        <v>95000</v>
      </c>
      <c r="Q23" s="19">
        <f t="shared" si="11"/>
        <v>0</v>
      </c>
      <c r="R23" s="19">
        <v>0</v>
      </c>
      <c r="S23" s="19">
        <f t="shared" si="4"/>
        <v>-95000</v>
      </c>
      <c r="T23" s="602">
        <f t="shared" si="12"/>
        <v>0</v>
      </c>
      <c r="U23" s="602">
        <f t="shared" si="13"/>
        <v>0</v>
      </c>
    </row>
    <row r="24" spans="1:21" ht="18" customHeight="1" x14ac:dyDescent="0.25">
      <c r="A24" s="24" t="s">
        <v>44</v>
      </c>
      <c r="B24" s="6" t="s">
        <v>215</v>
      </c>
      <c r="C24" s="37"/>
      <c r="D24" s="61">
        <v>227450486</v>
      </c>
      <c r="E24" s="21">
        <v>0</v>
      </c>
      <c r="F24" s="21">
        <v>97500</v>
      </c>
      <c r="G24" s="21">
        <f t="shared" si="2"/>
        <v>-20536492</v>
      </c>
      <c r="H24" s="315">
        <v>207011494</v>
      </c>
      <c r="I24" s="497">
        <f>154607294+52404200</f>
        <v>207011494</v>
      </c>
      <c r="J24" s="514">
        <v>0</v>
      </c>
      <c r="K24" s="5"/>
      <c r="L24" s="5">
        <v>0</v>
      </c>
      <c r="M24" s="5">
        <f t="shared" si="3"/>
        <v>0</v>
      </c>
      <c r="N24" s="315"/>
      <c r="O24" s="588"/>
      <c r="P24" s="265">
        <f t="shared" si="10"/>
        <v>227450486</v>
      </c>
      <c r="Q24" s="19">
        <f t="shared" si="11"/>
        <v>0</v>
      </c>
      <c r="R24" s="19">
        <v>97500</v>
      </c>
      <c r="S24" s="19">
        <f t="shared" si="4"/>
        <v>-20536492</v>
      </c>
      <c r="T24" s="602">
        <f t="shared" si="12"/>
        <v>207011494</v>
      </c>
      <c r="U24" s="602">
        <f t="shared" si="13"/>
        <v>207011494</v>
      </c>
    </row>
    <row r="25" spans="1:21" ht="18" customHeight="1" x14ac:dyDescent="0.25">
      <c r="A25" s="24" t="s">
        <v>45</v>
      </c>
      <c r="B25" s="6" t="s">
        <v>214</v>
      </c>
      <c r="C25" s="37"/>
      <c r="D25" s="61">
        <v>13440938</v>
      </c>
      <c r="E25" s="21">
        <v>0</v>
      </c>
      <c r="F25" s="21">
        <v>0</v>
      </c>
      <c r="G25" s="21">
        <f t="shared" si="2"/>
        <v>-3950335</v>
      </c>
      <c r="H25" s="315">
        <v>9490603</v>
      </c>
      <c r="I25" s="497">
        <f>7585967+1904636</f>
        <v>9490603</v>
      </c>
      <c r="J25" s="514">
        <v>0</v>
      </c>
      <c r="K25" s="5"/>
      <c r="L25" s="5">
        <v>0</v>
      </c>
      <c r="M25" s="5">
        <f t="shared" si="3"/>
        <v>0</v>
      </c>
      <c r="N25" s="315"/>
      <c r="O25" s="588"/>
      <c r="P25" s="265">
        <f>D25+J25</f>
        <v>13440938</v>
      </c>
      <c r="Q25" s="19">
        <f t="shared" si="11"/>
        <v>0</v>
      </c>
      <c r="R25" s="19">
        <v>0</v>
      </c>
      <c r="S25" s="19">
        <f t="shared" si="4"/>
        <v>-3950335</v>
      </c>
      <c r="T25" s="602">
        <f t="shared" si="12"/>
        <v>9490603</v>
      </c>
      <c r="U25" s="602">
        <f t="shared" si="13"/>
        <v>9490603</v>
      </c>
    </row>
    <row r="26" spans="1:21" ht="23.25" customHeight="1" x14ac:dyDescent="0.25">
      <c r="A26" s="858" t="s">
        <v>0</v>
      </c>
      <c r="B26" s="859"/>
      <c r="C26" s="38"/>
      <c r="D26" s="273">
        <f>D11+D13+D21</f>
        <v>243693052</v>
      </c>
      <c r="E26" s="182">
        <v>0</v>
      </c>
      <c r="F26" s="182">
        <v>97500</v>
      </c>
      <c r="G26" s="182">
        <f t="shared" si="2"/>
        <v>-24536527</v>
      </c>
      <c r="H26" s="458">
        <f t="shared" ref="H26:Q26" si="14">H11+H13+H21</f>
        <v>219254025</v>
      </c>
      <c r="I26" s="500">
        <f t="shared" si="14"/>
        <v>219254025</v>
      </c>
      <c r="J26" s="523">
        <f t="shared" si="14"/>
        <v>488205</v>
      </c>
      <c r="K26" s="523">
        <f t="shared" si="14"/>
        <v>11923</v>
      </c>
      <c r="L26" s="523">
        <f t="shared" si="14"/>
        <v>20852</v>
      </c>
      <c r="M26" s="523">
        <f t="shared" si="14"/>
        <v>-32775</v>
      </c>
      <c r="N26" s="458">
        <f t="shared" si="14"/>
        <v>488205</v>
      </c>
      <c r="O26" s="590">
        <f t="shared" si="14"/>
        <v>488205</v>
      </c>
      <c r="P26" s="505">
        <f t="shared" si="14"/>
        <v>244181257</v>
      </c>
      <c r="Q26" s="273">
        <f t="shared" si="14"/>
        <v>11923</v>
      </c>
      <c r="R26" s="273">
        <v>118352</v>
      </c>
      <c r="S26" s="273">
        <f t="shared" si="4"/>
        <v>-24569302</v>
      </c>
      <c r="T26" s="603">
        <f>T11+T13+T21</f>
        <v>219742230</v>
      </c>
      <c r="U26" s="603">
        <f>U11+U13+U21</f>
        <v>219742230</v>
      </c>
    </row>
    <row r="27" spans="1:21" ht="24" customHeight="1" x14ac:dyDescent="0.25">
      <c r="A27" s="864"/>
      <c r="B27" s="865"/>
      <c r="C27" s="865"/>
      <c r="D27" s="865"/>
      <c r="E27" s="266"/>
      <c r="F27" s="266"/>
      <c r="G27" s="266"/>
      <c r="H27" s="459"/>
      <c r="I27" s="459"/>
      <c r="J27" s="517"/>
      <c r="K27" s="270"/>
      <c r="L27" s="270"/>
      <c r="M27" s="270"/>
      <c r="N27" s="591"/>
      <c r="O27" s="592"/>
      <c r="P27" s="270"/>
      <c r="Q27" s="278"/>
      <c r="R27" s="278"/>
      <c r="S27" s="278"/>
      <c r="T27" s="604"/>
      <c r="U27" s="604"/>
    </row>
    <row r="28" spans="1:21" ht="26.4" x14ac:dyDescent="0.25">
      <c r="A28" s="28" t="s">
        <v>42</v>
      </c>
      <c r="B28" s="27" t="s">
        <v>38</v>
      </c>
      <c r="C28" s="35" t="s">
        <v>82</v>
      </c>
      <c r="D28" s="274">
        <f>SUM(D29:D29)</f>
        <v>0</v>
      </c>
      <c r="E28" s="31"/>
      <c r="F28" s="31">
        <v>0</v>
      </c>
      <c r="G28" s="31">
        <f t="shared" si="2"/>
        <v>0</v>
      </c>
      <c r="H28" s="460"/>
      <c r="I28" s="501"/>
      <c r="J28" s="524">
        <f>SUM(J29:J29)</f>
        <v>0</v>
      </c>
      <c r="K28" s="31"/>
      <c r="L28" s="31">
        <v>0</v>
      </c>
      <c r="M28" s="31"/>
      <c r="N28" s="467"/>
      <c r="O28" s="593"/>
      <c r="P28" s="506">
        <f>SUM(P29:P29)</f>
        <v>0</v>
      </c>
      <c r="Q28" s="31"/>
      <c r="R28" s="31">
        <v>0</v>
      </c>
      <c r="S28" s="31">
        <f t="shared" si="4"/>
        <v>0</v>
      </c>
      <c r="T28" s="467"/>
      <c r="U28" s="467"/>
    </row>
    <row r="29" spans="1:21" ht="21" customHeight="1" thickBot="1" x14ac:dyDescent="0.3">
      <c r="A29" s="24"/>
      <c r="B29" s="12"/>
      <c r="C29" s="37"/>
      <c r="D29" s="9"/>
      <c r="E29" s="267"/>
      <c r="F29" s="267">
        <v>0</v>
      </c>
      <c r="G29" s="267">
        <f t="shared" si="2"/>
        <v>0</v>
      </c>
      <c r="H29" s="461"/>
      <c r="I29" s="461"/>
      <c r="J29" s="515"/>
      <c r="K29" s="267"/>
      <c r="L29" s="267"/>
      <c r="M29" s="267"/>
      <c r="N29" s="594"/>
      <c r="O29" s="595"/>
      <c r="P29" s="265">
        <f>SUM(D29:J29)</f>
        <v>0</v>
      </c>
      <c r="Q29" s="20"/>
      <c r="R29" s="20"/>
      <c r="S29" s="20">
        <f t="shared" si="4"/>
        <v>0</v>
      </c>
      <c r="T29" s="605"/>
      <c r="U29" s="605"/>
    </row>
    <row r="30" spans="1:21" ht="21" customHeight="1" thickBot="1" x14ac:dyDescent="0.3">
      <c r="A30" s="866" t="s">
        <v>7</v>
      </c>
      <c r="B30" s="867"/>
      <c r="C30" s="36" t="s">
        <v>82</v>
      </c>
      <c r="D30" s="275">
        <f>D28</f>
        <v>0</v>
      </c>
      <c r="E30" s="462"/>
      <c r="F30" s="462">
        <v>0</v>
      </c>
      <c r="G30" s="462">
        <f t="shared" si="2"/>
        <v>0</v>
      </c>
      <c r="H30" s="463"/>
      <c r="I30" s="502"/>
      <c r="J30" s="525">
        <f>J28</f>
        <v>0</v>
      </c>
      <c r="K30" s="462"/>
      <c r="L30" s="462">
        <v>0</v>
      </c>
      <c r="M30" s="462"/>
      <c r="N30" s="596"/>
      <c r="O30" s="597"/>
      <c r="P30" s="507">
        <f>P28</f>
        <v>0</v>
      </c>
      <c r="Q30" s="280"/>
      <c r="R30" s="280">
        <v>0</v>
      </c>
      <c r="S30" s="280">
        <f t="shared" si="4"/>
        <v>0</v>
      </c>
      <c r="T30" s="464"/>
      <c r="U30" s="464"/>
    </row>
    <row r="31" spans="1:21" ht="18" customHeight="1" thickBot="1" x14ac:dyDescent="0.3">
      <c r="A31" s="868" t="s">
        <v>21</v>
      </c>
      <c r="B31" s="869"/>
      <c r="C31" s="39"/>
      <c r="D31" s="276">
        <f>D26+D30</f>
        <v>243693052</v>
      </c>
      <c r="E31" s="280">
        <v>0</v>
      </c>
      <c r="F31" s="280">
        <v>97500</v>
      </c>
      <c r="G31" s="280">
        <f t="shared" si="2"/>
        <v>-24536527</v>
      </c>
      <c r="H31" s="464">
        <f t="shared" ref="H31:I31" si="15">H26+H30</f>
        <v>219254025</v>
      </c>
      <c r="I31" s="503">
        <f t="shared" si="15"/>
        <v>219254025</v>
      </c>
      <c r="J31" s="518">
        <f>J26+J30</f>
        <v>488205</v>
      </c>
      <c r="K31" s="518">
        <f t="shared" ref="K31:M31" si="16">K26+K30</f>
        <v>11923</v>
      </c>
      <c r="L31" s="518">
        <f t="shared" si="16"/>
        <v>20852</v>
      </c>
      <c r="M31" s="518">
        <f t="shared" si="16"/>
        <v>-32775</v>
      </c>
      <c r="N31" s="598">
        <f t="shared" ref="N31:O31" si="17">N26+N30</f>
        <v>488205</v>
      </c>
      <c r="O31" s="599">
        <f t="shared" si="17"/>
        <v>488205</v>
      </c>
      <c r="P31" s="508">
        <f>P26+P30</f>
        <v>244181257</v>
      </c>
      <c r="Q31" s="276">
        <f>Q26+Q30</f>
        <v>11923</v>
      </c>
      <c r="R31" s="276">
        <v>118352</v>
      </c>
      <c r="S31" s="276">
        <f t="shared" si="4"/>
        <v>-24569302</v>
      </c>
      <c r="T31" s="606">
        <f>T26+T30</f>
        <v>219742230</v>
      </c>
      <c r="U31" s="606">
        <f>U26+U30</f>
        <v>219742230</v>
      </c>
    </row>
    <row r="32" spans="1:21" ht="15" customHeight="1" thickBot="1" x14ac:dyDescent="0.3">
      <c r="A32" s="862" t="s">
        <v>24</v>
      </c>
      <c r="B32" s="863"/>
      <c r="C32" s="863"/>
      <c r="D32" s="863"/>
      <c r="E32" s="322"/>
      <c r="F32" s="322"/>
      <c r="G32" s="563"/>
      <c r="H32" s="465"/>
      <c r="I32" s="465"/>
      <c r="J32" s="519"/>
      <c r="K32" s="145"/>
      <c r="L32" s="145">
        <v>0</v>
      </c>
      <c r="M32" s="145"/>
      <c r="N32" s="585"/>
      <c r="O32" s="586"/>
      <c r="P32" s="145"/>
      <c r="Q32" s="281"/>
      <c r="R32" s="281"/>
      <c r="S32" s="281">
        <f t="shared" si="4"/>
        <v>0</v>
      </c>
      <c r="T32" s="607"/>
      <c r="U32" s="607"/>
    </row>
    <row r="33" spans="1:21" ht="15" customHeight="1" x14ac:dyDescent="0.25">
      <c r="A33" s="860" t="s">
        <v>22</v>
      </c>
      <c r="B33" s="861"/>
      <c r="C33" s="861"/>
      <c r="D33" s="861"/>
      <c r="E33" s="268"/>
      <c r="F33" s="268"/>
      <c r="G33" s="268"/>
      <c r="H33" s="466"/>
      <c r="I33" s="466"/>
      <c r="J33" s="515"/>
      <c r="K33" s="267"/>
      <c r="L33" s="267"/>
      <c r="M33" s="267"/>
      <c r="N33" s="461"/>
      <c r="O33" s="582"/>
      <c r="P33" s="267"/>
      <c r="Q33" s="19"/>
      <c r="R33" s="19"/>
      <c r="S33" s="19">
        <f t="shared" si="4"/>
        <v>0</v>
      </c>
      <c r="T33" s="602"/>
      <c r="U33" s="602"/>
    </row>
    <row r="34" spans="1:21" ht="15" customHeight="1" x14ac:dyDescent="0.25">
      <c r="A34" s="30" t="s">
        <v>42</v>
      </c>
      <c r="B34" s="326" t="s">
        <v>8</v>
      </c>
      <c r="C34" s="35" t="s">
        <v>427</v>
      </c>
      <c r="D34" s="274">
        <f>SUM(D35:D35)</f>
        <v>10000</v>
      </c>
      <c r="E34" s="31">
        <v>0</v>
      </c>
      <c r="F34" s="31">
        <v>0</v>
      </c>
      <c r="G34" s="31">
        <f>H34-D34-E34-F34</f>
        <v>0</v>
      </c>
      <c r="H34" s="467">
        <f t="shared" ref="H34:I34" si="18">SUM(H35:H35)</f>
        <v>10000</v>
      </c>
      <c r="I34" s="504">
        <f t="shared" si="18"/>
        <v>10000</v>
      </c>
      <c r="J34" s="524">
        <f>SUM(J35:J35)</f>
        <v>0</v>
      </c>
      <c r="K34" s="31">
        <v>0</v>
      </c>
      <c r="L34" s="31">
        <v>0</v>
      </c>
      <c r="M34" s="31">
        <f t="shared" ref="M34:M59" si="19">N34-J34-K34-L34</f>
        <v>0</v>
      </c>
      <c r="N34" s="467">
        <f t="shared" ref="N34:O34" si="20">SUM(N35:N35)</f>
        <v>0</v>
      </c>
      <c r="O34" s="593">
        <f t="shared" si="20"/>
        <v>0</v>
      </c>
      <c r="P34" s="506">
        <f>SUM(P35:P35)</f>
        <v>10000</v>
      </c>
      <c r="Q34" s="274">
        <f t="shared" ref="Q34:U34" si="21">SUM(Q35:Q35)</f>
        <v>0</v>
      </c>
      <c r="R34" s="274">
        <v>0</v>
      </c>
      <c r="S34" s="274">
        <f t="shared" si="4"/>
        <v>0</v>
      </c>
      <c r="T34" s="608">
        <f t="shared" si="21"/>
        <v>10000</v>
      </c>
      <c r="U34" s="608">
        <f t="shared" si="21"/>
        <v>10000</v>
      </c>
    </row>
    <row r="35" spans="1:21" ht="15" customHeight="1" x14ac:dyDescent="0.25">
      <c r="A35" s="25"/>
      <c r="B35" s="331" t="s">
        <v>81</v>
      </c>
      <c r="C35" s="37"/>
      <c r="D35" s="61">
        <v>10000</v>
      </c>
      <c r="E35" s="5">
        <v>0</v>
      </c>
      <c r="F35" s="5">
        <v>0</v>
      </c>
      <c r="G35" s="5">
        <f t="shared" ref="G35:G61" si="22">H35-D35-E35-F35</f>
        <v>0</v>
      </c>
      <c r="H35" s="315">
        <v>10000</v>
      </c>
      <c r="I35" s="497">
        <v>10000</v>
      </c>
      <c r="J35" s="514"/>
      <c r="K35" s="265"/>
      <c r="L35" s="265">
        <v>0</v>
      </c>
      <c r="M35" s="265">
        <f t="shared" si="19"/>
        <v>0</v>
      </c>
      <c r="N35" s="497"/>
      <c r="O35" s="600"/>
      <c r="P35" s="265">
        <f>D35+J35</f>
        <v>10000</v>
      </c>
      <c r="Q35" s="19">
        <f>E35+K35</f>
        <v>0</v>
      </c>
      <c r="R35" s="19">
        <v>0</v>
      </c>
      <c r="S35" s="19">
        <f t="shared" si="4"/>
        <v>0</v>
      </c>
      <c r="T35" s="602">
        <f>H35+N35</f>
        <v>10000</v>
      </c>
      <c r="U35" s="602">
        <f>I35+O35</f>
        <v>10000</v>
      </c>
    </row>
    <row r="36" spans="1:21" ht="15" customHeight="1" x14ac:dyDescent="0.25">
      <c r="A36" s="30" t="s">
        <v>43</v>
      </c>
      <c r="B36" s="326" t="s">
        <v>75</v>
      </c>
      <c r="C36" s="35" t="s">
        <v>427</v>
      </c>
      <c r="D36" s="274">
        <f>SUM(D37:D38)</f>
        <v>4172400</v>
      </c>
      <c r="E36" s="31">
        <v>0</v>
      </c>
      <c r="F36" s="31">
        <v>0</v>
      </c>
      <c r="G36" s="31">
        <f t="shared" si="22"/>
        <v>-2100</v>
      </c>
      <c r="H36" s="467">
        <f t="shared" ref="H36:I36" si="23">SUM(H37:H38)</f>
        <v>4170300</v>
      </c>
      <c r="I36" s="504">
        <f t="shared" si="23"/>
        <v>4170300</v>
      </c>
      <c r="J36" s="524">
        <f>SUM(J37:J38)</f>
        <v>0</v>
      </c>
      <c r="K36" s="31">
        <v>0</v>
      </c>
      <c r="L36" s="31">
        <v>0</v>
      </c>
      <c r="M36" s="31">
        <f t="shared" si="19"/>
        <v>0</v>
      </c>
      <c r="N36" s="467">
        <f t="shared" ref="N36:O36" si="24">SUM(N37:N38)</f>
        <v>0</v>
      </c>
      <c r="O36" s="593">
        <f t="shared" si="24"/>
        <v>0</v>
      </c>
      <c r="P36" s="506">
        <f>SUM(P37:P37)</f>
        <v>4172400</v>
      </c>
      <c r="Q36" s="274">
        <f t="shared" ref="Q36:U36" si="25">SUM(Q37:Q37)</f>
        <v>0</v>
      </c>
      <c r="R36" s="274">
        <v>0</v>
      </c>
      <c r="S36" s="274">
        <f t="shared" si="4"/>
        <v>-2100</v>
      </c>
      <c r="T36" s="608">
        <f t="shared" si="25"/>
        <v>4170300</v>
      </c>
      <c r="U36" s="608">
        <f t="shared" si="25"/>
        <v>4170300</v>
      </c>
    </row>
    <row r="37" spans="1:21" ht="15" customHeight="1" x14ac:dyDescent="0.25">
      <c r="A37" s="25" t="s">
        <v>42</v>
      </c>
      <c r="B37" s="17" t="s">
        <v>76</v>
      </c>
      <c r="C37" s="37"/>
      <c r="D37" s="61">
        <v>4172400</v>
      </c>
      <c r="E37" s="5">
        <v>0</v>
      </c>
      <c r="F37" s="5">
        <v>0</v>
      </c>
      <c r="G37" s="5">
        <f t="shared" si="22"/>
        <v>-2100</v>
      </c>
      <c r="H37" s="315">
        <v>4170300</v>
      </c>
      <c r="I37" s="497">
        <f>3129300+1041000</f>
        <v>4170300</v>
      </c>
      <c r="J37" s="514">
        <v>0</v>
      </c>
      <c r="K37" s="265"/>
      <c r="L37" s="265">
        <v>0</v>
      </c>
      <c r="M37" s="265">
        <f t="shared" si="19"/>
        <v>0</v>
      </c>
      <c r="N37" s="497"/>
      <c r="O37" s="600"/>
      <c r="P37" s="265">
        <f>D37+J37</f>
        <v>4172400</v>
      </c>
      <c r="Q37" s="19">
        <f>E37+K37</f>
        <v>0</v>
      </c>
      <c r="R37" s="19">
        <v>0</v>
      </c>
      <c r="S37" s="19">
        <f t="shared" si="4"/>
        <v>-2100</v>
      </c>
      <c r="T37" s="602">
        <f>H37+N37</f>
        <v>4170300</v>
      </c>
      <c r="U37" s="602">
        <f>I37+O37</f>
        <v>4170300</v>
      </c>
    </row>
    <row r="38" spans="1:21" ht="15" customHeight="1" x14ac:dyDescent="0.25">
      <c r="A38" s="25"/>
      <c r="B38" s="331"/>
      <c r="C38" s="37"/>
      <c r="D38" s="61"/>
      <c r="E38" s="5"/>
      <c r="F38" s="5"/>
      <c r="G38" s="5">
        <f t="shared" si="22"/>
        <v>0</v>
      </c>
      <c r="H38" s="315"/>
      <c r="I38" s="497"/>
      <c r="J38" s="514"/>
      <c r="K38" s="265"/>
      <c r="L38" s="265"/>
      <c r="M38" s="265">
        <f t="shared" si="19"/>
        <v>0</v>
      </c>
      <c r="N38" s="497"/>
      <c r="O38" s="600"/>
      <c r="P38" s="265"/>
      <c r="Q38" s="5"/>
      <c r="R38" s="5"/>
      <c r="S38" s="5">
        <f t="shared" si="4"/>
        <v>0</v>
      </c>
      <c r="T38" s="315"/>
      <c r="U38" s="315"/>
    </row>
    <row r="39" spans="1:21" ht="15" customHeight="1" x14ac:dyDescent="0.25">
      <c r="A39" s="28" t="s">
        <v>44</v>
      </c>
      <c r="B39" s="326" t="s">
        <v>86</v>
      </c>
      <c r="C39" s="35" t="s">
        <v>427</v>
      </c>
      <c r="D39" s="274">
        <f>SUM(D40:D57)</f>
        <v>21387815</v>
      </c>
      <c r="E39" s="31">
        <v>1056000</v>
      </c>
      <c r="F39" s="31">
        <v>5508401</v>
      </c>
      <c r="G39" s="31">
        <f t="shared" si="22"/>
        <v>682232</v>
      </c>
      <c r="H39" s="467">
        <f>SUM(H40:H59)</f>
        <v>28634448</v>
      </c>
      <c r="I39" s="504">
        <f t="shared" ref="I39" si="26">SUM(I40:I57)</f>
        <v>28634448</v>
      </c>
      <c r="J39" s="524">
        <f>SUM(J40:J57)</f>
        <v>0</v>
      </c>
      <c r="K39" s="274">
        <v>0</v>
      </c>
      <c r="L39" s="31">
        <v>0</v>
      </c>
      <c r="M39" s="31">
        <f t="shared" si="19"/>
        <v>0</v>
      </c>
      <c r="N39" s="467">
        <f t="shared" ref="N39:O39" si="27">SUM(N40:N57)</f>
        <v>0</v>
      </c>
      <c r="O39" s="593">
        <f t="shared" si="27"/>
        <v>0</v>
      </c>
      <c r="P39" s="506">
        <f>SUM(P40:P57)</f>
        <v>21387815</v>
      </c>
      <c r="Q39" s="274">
        <f t="shared" ref="Q39:U39" si="28">SUM(Q40:Q57)</f>
        <v>1056000</v>
      </c>
      <c r="R39" s="274">
        <v>5508401</v>
      </c>
      <c r="S39" s="274">
        <f t="shared" si="4"/>
        <v>682232</v>
      </c>
      <c r="T39" s="608">
        <f t="shared" si="28"/>
        <v>28634448</v>
      </c>
      <c r="U39" s="608">
        <f t="shared" si="28"/>
        <v>28634448</v>
      </c>
    </row>
    <row r="40" spans="1:21" ht="15" customHeight="1" x14ac:dyDescent="0.25">
      <c r="A40" s="25" t="s">
        <v>42</v>
      </c>
      <c r="B40" s="17" t="s">
        <v>216</v>
      </c>
      <c r="C40" s="37"/>
      <c r="D40" s="61">
        <v>100000</v>
      </c>
      <c r="E40" s="5">
        <v>0</v>
      </c>
      <c r="F40" s="5">
        <v>0</v>
      </c>
      <c r="G40" s="5">
        <f t="shared" si="22"/>
        <v>0</v>
      </c>
      <c r="H40" s="315">
        <v>100000</v>
      </c>
      <c r="I40" s="497">
        <f>100000</f>
        <v>100000</v>
      </c>
      <c r="J40" s="514">
        <v>0</v>
      </c>
      <c r="K40" s="265"/>
      <c r="L40" s="265">
        <v>0</v>
      </c>
      <c r="M40" s="265">
        <f t="shared" si="19"/>
        <v>0</v>
      </c>
      <c r="N40" s="497"/>
      <c r="O40" s="600"/>
      <c r="P40" s="265">
        <f>D40+J40</f>
        <v>100000</v>
      </c>
      <c r="Q40" s="19">
        <f>E40+K40</f>
        <v>0</v>
      </c>
      <c r="R40" s="19">
        <v>0</v>
      </c>
      <c r="S40" s="19">
        <f t="shared" si="4"/>
        <v>0</v>
      </c>
      <c r="T40" s="602">
        <f t="shared" ref="T40:T57" si="29">H40+N40</f>
        <v>100000</v>
      </c>
      <c r="U40" s="602">
        <f t="shared" ref="U40:U57" si="30">I40+O40</f>
        <v>100000</v>
      </c>
    </row>
    <row r="41" spans="1:21" ht="15" customHeight="1" x14ac:dyDescent="0.25">
      <c r="A41" s="25" t="s">
        <v>43</v>
      </c>
      <c r="B41" s="17" t="s">
        <v>61</v>
      </c>
      <c r="C41" s="37"/>
      <c r="D41" s="61">
        <v>200000</v>
      </c>
      <c r="E41" s="5">
        <v>0</v>
      </c>
      <c r="F41" s="5">
        <v>0</v>
      </c>
      <c r="G41" s="5">
        <f t="shared" si="22"/>
        <v>0</v>
      </c>
      <c r="H41" s="315">
        <v>200000</v>
      </c>
      <c r="I41" s="497">
        <v>200000</v>
      </c>
      <c r="J41" s="514">
        <v>0</v>
      </c>
      <c r="K41" s="265"/>
      <c r="L41" s="265">
        <v>0</v>
      </c>
      <c r="M41" s="265">
        <f t="shared" si="19"/>
        <v>0</v>
      </c>
      <c r="N41" s="497"/>
      <c r="O41" s="600"/>
      <c r="P41" s="265">
        <f t="shared" ref="P41:P59" si="31">D41+J41</f>
        <v>200000</v>
      </c>
      <c r="Q41" s="19">
        <f t="shared" ref="Q41:Q57" si="32">E41+K41</f>
        <v>0</v>
      </c>
      <c r="R41" s="19">
        <v>0</v>
      </c>
      <c r="S41" s="19">
        <f t="shared" si="4"/>
        <v>0</v>
      </c>
      <c r="T41" s="602">
        <f t="shared" si="29"/>
        <v>200000</v>
      </c>
      <c r="U41" s="602">
        <f t="shared" si="30"/>
        <v>200000</v>
      </c>
    </row>
    <row r="42" spans="1:21" ht="15" customHeight="1" x14ac:dyDescent="0.25">
      <c r="A42" s="25" t="s">
        <v>44</v>
      </c>
      <c r="B42" s="17" t="s">
        <v>62</v>
      </c>
      <c r="C42" s="37"/>
      <c r="D42" s="61">
        <v>350000</v>
      </c>
      <c r="E42" s="5">
        <v>0</v>
      </c>
      <c r="F42" s="5">
        <v>0</v>
      </c>
      <c r="G42" s="5">
        <f t="shared" si="22"/>
        <v>0</v>
      </c>
      <c r="H42" s="315">
        <v>350000</v>
      </c>
      <c r="I42" s="497">
        <v>350000</v>
      </c>
      <c r="J42" s="514">
        <v>0</v>
      </c>
      <c r="K42" s="265"/>
      <c r="L42" s="265">
        <v>0</v>
      </c>
      <c r="M42" s="265">
        <f t="shared" si="19"/>
        <v>0</v>
      </c>
      <c r="N42" s="497"/>
      <c r="O42" s="600"/>
      <c r="P42" s="265">
        <f t="shared" si="31"/>
        <v>350000</v>
      </c>
      <c r="Q42" s="19">
        <f t="shared" si="32"/>
        <v>0</v>
      </c>
      <c r="R42" s="19">
        <v>0</v>
      </c>
      <c r="S42" s="19">
        <f t="shared" si="4"/>
        <v>0</v>
      </c>
      <c r="T42" s="602">
        <f t="shared" si="29"/>
        <v>350000</v>
      </c>
      <c r="U42" s="602">
        <f t="shared" si="30"/>
        <v>350000</v>
      </c>
    </row>
    <row r="43" spans="1:21" ht="15" customHeight="1" x14ac:dyDescent="0.25">
      <c r="A43" s="25" t="s">
        <v>45</v>
      </c>
      <c r="B43" s="17" t="s">
        <v>63</v>
      </c>
      <c r="C43" s="37"/>
      <c r="D43" s="61">
        <v>400000</v>
      </c>
      <c r="E43" s="5">
        <v>0</v>
      </c>
      <c r="F43" s="5">
        <v>320000</v>
      </c>
      <c r="G43" s="5">
        <f t="shared" si="22"/>
        <v>-200000</v>
      </c>
      <c r="H43" s="315">
        <v>520000</v>
      </c>
      <c r="I43" s="497">
        <v>520000</v>
      </c>
      <c r="J43" s="514">
        <v>0</v>
      </c>
      <c r="K43" s="265"/>
      <c r="L43" s="265">
        <v>0</v>
      </c>
      <c r="M43" s="265">
        <f t="shared" si="19"/>
        <v>0</v>
      </c>
      <c r="N43" s="497"/>
      <c r="O43" s="600"/>
      <c r="P43" s="265">
        <f t="shared" si="31"/>
        <v>400000</v>
      </c>
      <c r="Q43" s="19">
        <f t="shared" si="32"/>
        <v>0</v>
      </c>
      <c r="R43" s="19">
        <v>320000</v>
      </c>
      <c r="S43" s="19">
        <f t="shared" si="4"/>
        <v>-200000</v>
      </c>
      <c r="T43" s="602">
        <f t="shared" si="29"/>
        <v>520000</v>
      </c>
      <c r="U43" s="602">
        <f t="shared" si="30"/>
        <v>520000</v>
      </c>
    </row>
    <row r="44" spans="1:21" ht="15" customHeight="1" x14ac:dyDescent="0.25">
      <c r="A44" s="25" t="s">
        <v>46</v>
      </c>
      <c r="B44" s="17" t="s">
        <v>217</v>
      </c>
      <c r="C44" s="37"/>
      <c r="D44" s="61">
        <v>6147815</v>
      </c>
      <c r="E44" s="5">
        <v>350000</v>
      </c>
      <c r="F44" s="5">
        <v>0</v>
      </c>
      <c r="G44" s="5">
        <f t="shared" si="22"/>
        <v>0</v>
      </c>
      <c r="H44" s="315">
        <v>6497815</v>
      </c>
      <c r="I44" s="497">
        <f>4892815+535000+535000+535000</f>
        <v>6497815</v>
      </c>
      <c r="J44" s="514">
        <v>0</v>
      </c>
      <c r="K44" s="265"/>
      <c r="L44" s="265">
        <v>0</v>
      </c>
      <c r="M44" s="265">
        <f t="shared" si="19"/>
        <v>0</v>
      </c>
      <c r="N44" s="497"/>
      <c r="O44" s="600"/>
      <c r="P44" s="265">
        <f t="shared" si="31"/>
        <v>6147815</v>
      </c>
      <c r="Q44" s="19">
        <f t="shared" si="32"/>
        <v>350000</v>
      </c>
      <c r="R44" s="19">
        <v>0</v>
      </c>
      <c r="S44" s="19">
        <f t="shared" si="4"/>
        <v>0</v>
      </c>
      <c r="T44" s="602">
        <f t="shared" si="29"/>
        <v>6497815</v>
      </c>
      <c r="U44" s="602">
        <f t="shared" si="30"/>
        <v>6497815</v>
      </c>
    </row>
    <row r="45" spans="1:21" ht="15" customHeight="1" x14ac:dyDescent="0.25">
      <c r="A45" s="25" t="s">
        <v>52</v>
      </c>
      <c r="B45" s="17" t="s">
        <v>64</v>
      </c>
      <c r="C45" s="37"/>
      <c r="D45" s="61">
        <v>1600000</v>
      </c>
      <c r="E45" s="5">
        <v>150000</v>
      </c>
      <c r="F45" s="5">
        <v>16000</v>
      </c>
      <c r="G45" s="5">
        <f t="shared" si="22"/>
        <v>65000</v>
      </c>
      <c r="H45" s="315">
        <v>1831000</v>
      </c>
      <c r="I45" s="497">
        <f>1350000+400000+16000+65000</f>
        <v>1831000</v>
      </c>
      <c r="J45" s="514">
        <v>0</v>
      </c>
      <c r="K45" s="265"/>
      <c r="L45" s="265">
        <v>0</v>
      </c>
      <c r="M45" s="265">
        <f t="shared" si="19"/>
        <v>0</v>
      </c>
      <c r="N45" s="497"/>
      <c r="O45" s="600"/>
      <c r="P45" s="265">
        <f t="shared" si="31"/>
        <v>1600000</v>
      </c>
      <c r="Q45" s="19">
        <f t="shared" si="32"/>
        <v>150000</v>
      </c>
      <c r="R45" s="19">
        <v>16000</v>
      </c>
      <c r="S45" s="19">
        <f t="shared" si="4"/>
        <v>65000</v>
      </c>
      <c r="T45" s="602">
        <f t="shared" si="29"/>
        <v>1831000</v>
      </c>
      <c r="U45" s="602">
        <f t="shared" si="30"/>
        <v>1831000</v>
      </c>
    </row>
    <row r="46" spans="1:21" ht="15" customHeight="1" x14ac:dyDescent="0.25">
      <c r="A46" s="25" t="s">
        <v>54</v>
      </c>
      <c r="B46" s="17" t="s">
        <v>65</v>
      </c>
      <c r="C46" s="37"/>
      <c r="D46" s="61">
        <v>1100000</v>
      </c>
      <c r="E46" s="5">
        <v>266000</v>
      </c>
      <c r="F46" s="5">
        <v>20000</v>
      </c>
      <c r="G46" s="5">
        <f t="shared" si="22"/>
        <v>0</v>
      </c>
      <c r="H46" s="315">
        <f>1366000+20000</f>
        <v>1386000</v>
      </c>
      <c r="I46" s="497">
        <f>1036000+110000+110000+20000+110000</f>
        <v>1386000</v>
      </c>
      <c r="J46" s="514">
        <v>0</v>
      </c>
      <c r="K46" s="265"/>
      <c r="L46" s="265">
        <v>0</v>
      </c>
      <c r="M46" s="265">
        <f t="shared" si="19"/>
        <v>0</v>
      </c>
      <c r="N46" s="497"/>
      <c r="O46" s="600"/>
      <c r="P46" s="265">
        <f t="shared" si="31"/>
        <v>1100000</v>
      </c>
      <c r="Q46" s="19">
        <f t="shared" si="32"/>
        <v>266000</v>
      </c>
      <c r="R46" s="19">
        <v>20000</v>
      </c>
      <c r="S46" s="19">
        <f t="shared" si="4"/>
        <v>0</v>
      </c>
      <c r="T46" s="602">
        <f t="shared" si="29"/>
        <v>1386000</v>
      </c>
      <c r="U46" s="602">
        <f t="shared" si="30"/>
        <v>1386000</v>
      </c>
    </row>
    <row r="47" spans="1:21" ht="15" customHeight="1" x14ac:dyDescent="0.25">
      <c r="A47" s="25" t="s">
        <v>55</v>
      </c>
      <c r="B47" s="342" t="s">
        <v>66</v>
      </c>
      <c r="C47" s="37"/>
      <c r="D47" s="61">
        <v>1000000</v>
      </c>
      <c r="E47" s="5">
        <v>0</v>
      </c>
      <c r="F47" s="5">
        <v>-999999</v>
      </c>
      <c r="G47" s="5">
        <f t="shared" si="22"/>
        <v>-1</v>
      </c>
      <c r="H47" s="315">
        <v>0</v>
      </c>
      <c r="I47" s="497">
        <v>0</v>
      </c>
      <c r="J47" s="514">
        <v>0</v>
      </c>
      <c r="K47" s="265"/>
      <c r="L47" s="265">
        <v>0</v>
      </c>
      <c r="M47" s="265">
        <f t="shared" si="19"/>
        <v>0</v>
      </c>
      <c r="N47" s="497"/>
      <c r="O47" s="600"/>
      <c r="P47" s="265">
        <f t="shared" si="31"/>
        <v>1000000</v>
      </c>
      <c r="Q47" s="19">
        <f t="shared" si="32"/>
        <v>0</v>
      </c>
      <c r="R47" s="19">
        <v>-999999</v>
      </c>
      <c r="S47" s="19">
        <f t="shared" si="4"/>
        <v>-1</v>
      </c>
      <c r="T47" s="602">
        <f t="shared" si="29"/>
        <v>0</v>
      </c>
      <c r="U47" s="602">
        <f t="shared" si="30"/>
        <v>0</v>
      </c>
    </row>
    <row r="48" spans="1:21" ht="15" customHeight="1" x14ac:dyDescent="0.25">
      <c r="A48" s="25" t="s">
        <v>56</v>
      </c>
      <c r="B48" s="17" t="s">
        <v>67</v>
      </c>
      <c r="C48" s="37"/>
      <c r="D48" s="61">
        <v>350000</v>
      </c>
      <c r="E48" s="5">
        <v>0</v>
      </c>
      <c r="F48" s="5">
        <v>130000</v>
      </c>
      <c r="G48" s="5">
        <f t="shared" si="22"/>
        <v>0</v>
      </c>
      <c r="H48" s="315">
        <f>350000+130000</f>
        <v>480000</v>
      </c>
      <c r="I48" s="497">
        <f>280000+70000+130000</f>
        <v>480000</v>
      </c>
      <c r="J48" s="514">
        <v>0</v>
      </c>
      <c r="K48" s="265"/>
      <c r="L48" s="265">
        <v>0</v>
      </c>
      <c r="M48" s="265">
        <f t="shared" si="19"/>
        <v>0</v>
      </c>
      <c r="N48" s="497"/>
      <c r="O48" s="600"/>
      <c r="P48" s="265">
        <f t="shared" si="31"/>
        <v>350000</v>
      </c>
      <c r="Q48" s="19">
        <f t="shared" si="32"/>
        <v>0</v>
      </c>
      <c r="R48" s="19">
        <v>130000</v>
      </c>
      <c r="S48" s="19">
        <f t="shared" si="4"/>
        <v>0</v>
      </c>
      <c r="T48" s="602">
        <f t="shared" si="29"/>
        <v>480000</v>
      </c>
      <c r="U48" s="602">
        <f t="shared" si="30"/>
        <v>480000</v>
      </c>
    </row>
    <row r="49" spans="1:21" ht="15" customHeight="1" x14ac:dyDescent="0.25">
      <c r="A49" s="25" t="s">
        <v>57</v>
      </c>
      <c r="B49" s="17" t="s">
        <v>68</v>
      </c>
      <c r="C49" s="37"/>
      <c r="D49" s="61">
        <v>1150000</v>
      </c>
      <c r="E49" s="5">
        <v>0</v>
      </c>
      <c r="F49" s="5">
        <v>90000</v>
      </c>
      <c r="G49" s="5">
        <f t="shared" si="22"/>
        <v>967933</v>
      </c>
      <c r="H49" s="497">
        <f>805000+115000+115000+90000+115000+775933+192000</f>
        <v>2207933</v>
      </c>
      <c r="I49" s="497">
        <f>805000+115000+115000+90000+115000+775933+192000</f>
        <v>2207933</v>
      </c>
      <c r="J49" s="514">
        <v>0</v>
      </c>
      <c r="K49" s="265"/>
      <c r="L49" s="265">
        <v>0</v>
      </c>
      <c r="M49" s="265">
        <f t="shared" si="19"/>
        <v>0</v>
      </c>
      <c r="N49" s="497"/>
      <c r="O49" s="600"/>
      <c r="P49" s="265">
        <f t="shared" si="31"/>
        <v>1150000</v>
      </c>
      <c r="Q49" s="19">
        <f t="shared" si="32"/>
        <v>0</v>
      </c>
      <c r="R49" s="19">
        <v>90000</v>
      </c>
      <c r="S49" s="19">
        <f t="shared" si="4"/>
        <v>967933</v>
      </c>
      <c r="T49" s="602">
        <f t="shared" si="29"/>
        <v>2207933</v>
      </c>
      <c r="U49" s="602">
        <f t="shared" si="30"/>
        <v>2207933</v>
      </c>
    </row>
    <row r="50" spans="1:21" ht="15" customHeight="1" x14ac:dyDescent="0.25">
      <c r="A50" s="25" t="s">
        <v>29</v>
      </c>
      <c r="B50" s="17" t="s">
        <v>366</v>
      </c>
      <c r="C50" s="37"/>
      <c r="D50" s="61">
        <v>1150000</v>
      </c>
      <c r="E50" s="5">
        <v>220000</v>
      </c>
      <c r="F50" s="5">
        <v>358700</v>
      </c>
      <c r="G50" s="5">
        <f t="shared" si="22"/>
        <v>40000</v>
      </c>
      <c r="H50" s="315">
        <v>1768700</v>
      </c>
      <c r="I50" s="497">
        <f>1353700+115000+115000+30000+115000+40000</f>
        <v>1768700</v>
      </c>
      <c r="J50" s="514">
        <v>0</v>
      </c>
      <c r="K50" s="265"/>
      <c r="L50" s="265">
        <v>0</v>
      </c>
      <c r="M50" s="265">
        <f t="shared" si="19"/>
        <v>0</v>
      </c>
      <c r="N50" s="497"/>
      <c r="O50" s="600"/>
      <c r="P50" s="265">
        <f t="shared" si="31"/>
        <v>1150000</v>
      </c>
      <c r="Q50" s="19">
        <f t="shared" si="32"/>
        <v>220000</v>
      </c>
      <c r="R50" s="19">
        <v>358700</v>
      </c>
      <c r="S50" s="19">
        <f t="shared" si="4"/>
        <v>40000</v>
      </c>
      <c r="T50" s="602">
        <f t="shared" si="29"/>
        <v>1768700</v>
      </c>
      <c r="U50" s="602">
        <f t="shared" si="30"/>
        <v>1768700</v>
      </c>
    </row>
    <row r="51" spans="1:21" ht="15" customHeight="1" x14ac:dyDescent="0.25">
      <c r="A51" s="25" t="s">
        <v>30</v>
      </c>
      <c r="B51" s="17" t="s">
        <v>69</v>
      </c>
      <c r="C51" s="37"/>
      <c r="D51" s="61">
        <v>250000</v>
      </c>
      <c r="E51" s="5">
        <v>70000</v>
      </c>
      <c r="F51" s="5">
        <v>0</v>
      </c>
      <c r="G51" s="5">
        <f t="shared" si="22"/>
        <v>42000</v>
      </c>
      <c r="H51" s="315">
        <v>362000</v>
      </c>
      <c r="I51" s="497">
        <f>250000+70000+42000</f>
        <v>362000</v>
      </c>
      <c r="J51" s="514">
        <v>0</v>
      </c>
      <c r="K51" s="265"/>
      <c r="L51" s="265">
        <v>0</v>
      </c>
      <c r="M51" s="265">
        <f t="shared" si="19"/>
        <v>0</v>
      </c>
      <c r="N51" s="497"/>
      <c r="O51" s="600"/>
      <c r="P51" s="265">
        <f t="shared" si="31"/>
        <v>250000</v>
      </c>
      <c r="Q51" s="19">
        <f t="shared" si="32"/>
        <v>70000</v>
      </c>
      <c r="R51" s="19">
        <v>0</v>
      </c>
      <c r="S51" s="19">
        <f t="shared" si="4"/>
        <v>42000</v>
      </c>
      <c r="T51" s="602">
        <f t="shared" si="29"/>
        <v>362000</v>
      </c>
      <c r="U51" s="602">
        <f t="shared" si="30"/>
        <v>362000</v>
      </c>
    </row>
    <row r="52" spans="1:21" ht="15" customHeight="1" x14ac:dyDescent="0.25">
      <c r="A52" s="25" t="s">
        <v>35</v>
      </c>
      <c r="B52" s="17" t="s">
        <v>70</v>
      </c>
      <c r="C52" s="37"/>
      <c r="D52" s="61">
        <v>0</v>
      </c>
      <c r="E52" s="5">
        <v>0</v>
      </c>
      <c r="F52" s="5">
        <v>0</v>
      </c>
      <c r="G52" s="5">
        <f t="shared" si="22"/>
        <v>76000</v>
      </c>
      <c r="H52" s="315">
        <v>76000</v>
      </c>
      <c r="I52" s="497">
        <f>76000</f>
        <v>76000</v>
      </c>
      <c r="J52" s="514">
        <v>0</v>
      </c>
      <c r="K52" s="265"/>
      <c r="L52" s="265">
        <v>0</v>
      </c>
      <c r="M52" s="265">
        <f t="shared" si="19"/>
        <v>0</v>
      </c>
      <c r="N52" s="497"/>
      <c r="O52" s="600"/>
      <c r="P52" s="265">
        <f t="shared" si="31"/>
        <v>0</v>
      </c>
      <c r="Q52" s="19">
        <f t="shared" si="32"/>
        <v>0</v>
      </c>
      <c r="R52" s="19">
        <v>0</v>
      </c>
      <c r="S52" s="19">
        <f t="shared" si="4"/>
        <v>76000</v>
      </c>
      <c r="T52" s="602">
        <f t="shared" si="29"/>
        <v>76000</v>
      </c>
      <c r="U52" s="602">
        <f t="shared" si="30"/>
        <v>76000</v>
      </c>
    </row>
    <row r="53" spans="1:21" ht="15" customHeight="1" x14ac:dyDescent="0.25">
      <c r="A53" s="25" t="s">
        <v>31</v>
      </c>
      <c r="B53" s="17" t="s">
        <v>71</v>
      </c>
      <c r="C53" s="37"/>
      <c r="D53" s="61">
        <v>6828000</v>
      </c>
      <c r="E53" s="5">
        <v>0</v>
      </c>
      <c r="F53" s="5">
        <v>5055000</v>
      </c>
      <c r="G53" s="5">
        <f t="shared" si="22"/>
        <v>0</v>
      </c>
      <c r="H53" s="315">
        <f>7228000+4595000+60000</f>
        <v>11883000</v>
      </c>
      <c r="I53" s="497">
        <f>10491000+169000+275000+169000+275000+60000+169000+275000</f>
        <v>11883000</v>
      </c>
      <c r="J53" s="514">
        <v>0</v>
      </c>
      <c r="K53" s="265"/>
      <c r="L53" s="265">
        <v>0</v>
      </c>
      <c r="M53" s="265">
        <f t="shared" si="19"/>
        <v>0</v>
      </c>
      <c r="N53" s="497"/>
      <c r="O53" s="600"/>
      <c r="P53" s="265">
        <f t="shared" si="31"/>
        <v>6828000</v>
      </c>
      <c r="Q53" s="19">
        <f t="shared" si="32"/>
        <v>0</v>
      </c>
      <c r="R53" s="19">
        <v>5055000</v>
      </c>
      <c r="S53" s="19">
        <f t="shared" si="4"/>
        <v>0</v>
      </c>
      <c r="T53" s="602">
        <f t="shared" si="29"/>
        <v>11883000</v>
      </c>
      <c r="U53" s="602">
        <f t="shared" si="30"/>
        <v>11883000</v>
      </c>
    </row>
    <row r="54" spans="1:21" ht="15" customHeight="1" x14ac:dyDescent="0.25">
      <c r="A54" s="25" t="s">
        <v>60</v>
      </c>
      <c r="B54" s="17" t="s">
        <v>77</v>
      </c>
      <c r="C54" s="37"/>
      <c r="D54" s="61">
        <v>0</v>
      </c>
      <c r="E54" s="5">
        <v>0</v>
      </c>
      <c r="F54" s="5">
        <v>0</v>
      </c>
      <c r="G54" s="5">
        <f t="shared" si="22"/>
        <v>0</v>
      </c>
      <c r="H54" s="315">
        <v>0</v>
      </c>
      <c r="I54" s="497">
        <v>0</v>
      </c>
      <c r="J54" s="514">
        <v>0</v>
      </c>
      <c r="K54" s="265"/>
      <c r="L54" s="265">
        <v>0</v>
      </c>
      <c r="M54" s="265">
        <f t="shared" si="19"/>
        <v>0</v>
      </c>
      <c r="N54" s="497"/>
      <c r="O54" s="600"/>
      <c r="P54" s="265">
        <f t="shared" si="31"/>
        <v>0</v>
      </c>
      <c r="Q54" s="19">
        <f t="shared" si="32"/>
        <v>0</v>
      </c>
      <c r="R54" s="19">
        <v>0</v>
      </c>
      <c r="S54" s="19">
        <f t="shared" si="4"/>
        <v>0</v>
      </c>
      <c r="T54" s="602">
        <f t="shared" si="29"/>
        <v>0</v>
      </c>
      <c r="U54" s="602">
        <f t="shared" si="30"/>
        <v>0</v>
      </c>
    </row>
    <row r="55" spans="1:21" ht="15" customHeight="1" x14ac:dyDescent="0.25">
      <c r="A55" s="25" t="s">
        <v>72</v>
      </c>
      <c r="B55" s="17" t="s">
        <v>218</v>
      </c>
      <c r="C55" s="37"/>
      <c r="D55" s="61">
        <v>12000</v>
      </c>
      <c r="E55" s="5">
        <v>0</v>
      </c>
      <c r="F55" s="5">
        <v>0</v>
      </c>
      <c r="G55" s="5">
        <f t="shared" si="22"/>
        <v>0</v>
      </c>
      <c r="H55" s="315">
        <v>12000</v>
      </c>
      <c r="I55" s="497">
        <v>12000</v>
      </c>
      <c r="J55" s="514">
        <v>0</v>
      </c>
      <c r="K55" s="265"/>
      <c r="L55" s="265">
        <v>0</v>
      </c>
      <c r="M55" s="265">
        <f t="shared" si="19"/>
        <v>0</v>
      </c>
      <c r="N55" s="497"/>
      <c r="O55" s="600"/>
      <c r="P55" s="265">
        <f t="shared" si="31"/>
        <v>12000</v>
      </c>
      <c r="Q55" s="19">
        <f t="shared" si="32"/>
        <v>0</v>
      </c>
      <c r="R55" s="19">
        <v>0</v>
      </c>
      <c r="S55" s="19">
        <f t="shared" si="4"/>
        <v>0</v>
      </c>
      <c r="T55" s="602">
        <f t="shared" si="29"/>
        <v>12000</v>
      </c>
      <c r="U55" s="602">
        <f t="shared" si="30"/>
        <v>12000</v>
      </c>
    </row>
    <row r="56" spans="1:21" ht="15" customHeight="1" x14ac:dyDescent="0.25">
      <c r="A56" s="25" t="s">
        <v>32</v>
      </c>
      <c r="B56" s="12" t="s">
        <v>292</v>
      </c>
      <c r="C56" s="37"/>
      <c r="D56" s="61">
        <v>450000</v>
      </c>
      <c r="E56" s="5">
        <v>0</v>
      </c>
      <c r="F56" s="5">
        <v>322700</v>
      </c>
      <c r="G56" s="5">
        <f t="shared" si="22"/>
        <v>-112700</v>
      </c>
      <c r="H56" s="315">
        <v>660000</v>
      </c>
      <c r="I56" s="497">
        <f>450000+100000+110000</f>
        <v>660000</v>
      </c>
      <c r="J56" s="514">
        <v>0</v>
      </c>
      <c r="K56" s="265"/>
      <c r="L56" s="265">
        <v>0</v>
      </c>
      <c r="M56" s="265">
        <f t="shared" si="19"/>
        <v>0</v>
      </c>
      <c r="N56" s="497"/>
      <c r="O56" s="600"/>
      <c r="P56" s="265">
        <f t="shared" si="31"/>
        <v>450000</v>
      </c>
      <c r="Q56" s="19">
        <f t="shared" si="32"/>
        <v>0</v>
      </c>
      <c r="R56" s="19">
        <v>322700</v>
      </c>
      <c r="S56" s="19">
        <f t="shared" si="4"/>
        <v>-112700</v>
      </c>
      <c r="T56" s="602">
        <f t="shared" si="29"/>
        <v>660000</v>
      </c>
      <c r="U56" s="602">
        <f t="shared" si="30"/>
        <v>660000</v>
      </c>
    </row>
    <row r="57" spans="1:21" ht="15" customHeight="1" x14ac:dyDescent="0.25">
      <c r="A57" s="468" t="s">
        <v>73</v>
      </c>
      <c r="B57" s="342" t="s">
        <v>293</v>
      </c>
      <c r="C57" s="37"/>
      <c r="D57" s="61">
        <v>300000</v>
      </c>
      <c r="E57" s="5">
        <v>0</v>
      </c>
      <c r="F57" s="5">
        <v>0</v>
      </c>
      <c r="G57" s="5">
        <f t="shared" si="22"/>
        <v>0</v>
      </c>
      <c r="H57" s="315">
        <v>300000</v>
      </c>
      <c r="I57" s="497">
        <v>300000</v>
      </c>
      <c r="J57" s="514">
        <v>0</v>
      </c>
      <c r="K57" s="265"/>
      <c r="L57" s="265">
        <v>0</v>
      </c>
      <c r="M57" s="265">
        <f t="shared" si="19"/>
        <v>0</v>
      </c>
      <c r="N57" s="497"/>
      <c r="O57" s="600"/>
      <c r="P57" s="265">
        <f t="shared" si="31"/>
        <v>300000</v>
      </c>
      <c r="Q57" s="19">
        <f t="shared" si="32"/>
        <v>0</v>
      </c>
      <c r="R57" s="19">
        <v>0</v>
      </c>
      <c r="S57" s="19">
        <f t="shared" si="4"/>
        <v>0</v>
      </c>
      <c r="T57" s="602">
        <f t="shared" si="29"/>
        <v>300000</v>
      </c>
      <c r="U57" s="602">
        <f t="shared" si="30"/>
        <v>300000</v>
      </c>
    </row>
    <row r="58" spans="1:21" ht="18" customHeight="1" x14ac:dyDescent="0.25">
      <c r="A58" s="25" t="s">
        <v>58</v>
      </c>
      <c r="B58" s="7" t="s">
        <v>450</v>
      </c>
      <c r="C58" s="37"/>
      <c r="D58" s="61"/>
      <c r="E58" s="5"/>
      <c r="F58" s="5"/>
      <c r="G58" s="5">
        <f t="shared" si="22"/>
        <v>0</v>
      </c>
      <c r="H58" s="315">
        <v>0</v>
      </c>
      <c r="I58" s="497">
        <v>0</v>
      </c>
      <c r="J58" s="514">
        <v>0</v>
      </c>
      <c r="K58" s="265"/>
      <c r="L58" s="265">
        <v>0</v>
      </c>
      <c r="M58" s="265">
        <f t="shared" si="19"/>
        <v>0</v>
      </c>
      <c r="N58" s="497"/>
      <c r="O58" s="600"/>
      <c r="P58" s="265">
        <f t="shared" si="31"/>
        <v>0</v>
      </c>
      <c r="Q58" s="19">
        <f t="shared" ref="Q58:Q59" si="33">E58+K58</f>
        <v>0</v>
      </c>
      <c r="R58" s="284">
        <v>0</v>
      </c>
      <c r="S58" s="284">
        <f t="shared" si="4"/>
        <v>0</v>
      </c>
      <c r="T58" s="602">
        <f t="shared" ref="T58:T59" si="34">H58+N58</f>
        <v>0</v>
      </c>
      <c r="U58" s="602">
        <f t="shared" ref="U58:U59" si="35">I58+O58</f>
        <v>0</v>
      </c>
    </row>
    <row r="59" spans="1:21" ht="18" customHeight="1" x14ac:dyDescent="0.25">
      <c r="A59" s="469" t="s">
        <v>87</v>
      </c>
      <c r="B59" s="470" t="s">
        <v>70</v>
      </c>
      <c r="C59" s="37"/>
      <c r="D59" s="61"/>
      <c r="E59" s="5"/>
      <c r="F59" s="5"/>
      <c r="G59" s="5">
        <f t="shared" si="22"/>
        <v>0</v>
      </c>
      <c r="H59" s="315">
        <v>0</v>
      </c>
      <c r="I59" s="497">
        <v>0</v>
      </c>
      <c r="J59" s="514">
        <v>0</v>
      </c>
      <c r="K59" s="265"/>
      <c r="L59" s="265">
        <v>0</v>
      </c>
      <c r="M59" s="265">
        <f t="shared" si="19"/>
        <v>0</v>
      </c>
      <c r="N59" s="497"/>
      <c r="O59" s="600"/>
      <c r="P59" s="265">
        <f t="shared" si="31"/>
        <v>0</v>
      </c>
      <c r="Q59" s="19">
        <f t="shared" si="33"/>
        <v>0</v>
      </c>
      <c r="R59" s="284">
        <v>0</v>
      </c>
      <c r="S59" s="284">
        <f t="shared" si="4"/>
        <v>0</v>
      </c>
      <c r="T59" s="602">
        <f t="shared" si="34"/>
        <v>0</v>
      </c>
      <c r="U59" s="602">
        <f t="shared" si="35"/>
        <v>0</v>
      </c>
    </row>
    <row r="60" spans="1:21" ht="15" customHeight="1" x14ac:dyDescent="0.25">
      <c r="A60" s="858" t="s">
        <v>9</v>
      </c>
      <c r="B60" s="859"/>
      <c r="C60" s="38" t="s">
        <v>427</v>
      </c>
      <c r="D60" s="273">
        <f>D34+D36+D39</f>
        <v>25570215</v>
      </c>
      <c r="E60" s="182">
        <v>1056000</v>
      </c>
      <c r="F60" s="182">
        <v>5508401</v>
      </c>
      <c r="G60" s="182">
        <f t="shared" si="22"/>
        <v>680132</v>
      </c>
      <c r="H60" s="458">
        <f>H34+H36+H39</f>
        <v>32814748</v>
      </c>
      <c r="I60" s="500">
        <f>I34+I36+I39</f>
        <v>32814748</v>
      </c>
      <c r="J60" s="523">
        <f>J34+J36+J39</f>
        <v>0</v>
      </c>
      <c r="K60" s="182">
        <v>0</v>
      </c>
      <c r="L60" s="182">
        <v>0</v>
      </c>
      <c r="M60" s="182"/>
      <c r="N60" s="458">
        <f>N34+N36+N39</f>
        <v>0</v>
      </c>
      <c r="O60" s="590">
        <f>O34+O36+O39</f>
        <v>0</v>
      </c>
      <c r="P60" s="505">
        <f>P34+P36+P39</f>
        <v>25570215</v>
      </c>
      <c r="Q60" s="273">
        <f>Q34+Q36+Q39</f>
        <v>1056000</v>
      </c>
      <c r="R60" s="273">
        <f t="shared" ref="R60:R61" si="36">F60+L60</f>
        <v>5508401</v>
      </c>
      <c r="S60" s="273"/>
      <c r="T60" s="273">
        <f>T34+T36+T39</f>
        <v>32814748</v>
      </c>
      <c r="U60" s="273">
        <f>U34+U36+U39</f>
        <v>32814748</v>
      </c>
    </row>
    <row r="61" spans="1:21" ht="15" customHeight="1" x14ac:dyDescent="0.25">
      <c r="A61" s="858" t="s">
        <v>296</v>
      </c>
      <c r="B61" s="859"/>
      <c r="C61" s="38"/>
      <c r="D61" s="273">
        <f>D31+D60</f>
        <v>269263267</v>
      </c>
      <c r="E61" s="182">
        <v>1056000</v>
      </c>
      <c r="F61" s="182">
        <v>5605901</v>
      </c>
      <c r="G61" s="182">
        <f t="shared" si="22"/>
        <v>-23856395</v>
      </c>
      <c r="H61" s="458">
        <f t="shared" ref="H61:I61" si="37">H31+H60</f>
        <v>252068773</v>
      </c>
      <c r="I61" s="500">
        <f t="shared" si="37"/>
        <v>252068773</v>
      </c>
      <c r="J61" s="520">
        <f>J31+J60</f>
        <v>488205</v>
      </c>
      <c r="K61" s="520">
        <f t="shared" ref="K61:M61" si="38">K31+K60</f>
        <v>11923</v>
      </c>
      <c r="L61" s="520">
        <f t="shared" si="38"/>
        <v>20852</v>
      </c>
      <c r="M61" s="520">
        <f t="shared" si="38"/>
        <v>-32775</v>
      </c>
      <c r="N61" s="458">
        <f>N31+N60</f>
        <v>488205</v>
      </c>
      <c r="O61" s="601">
        <f>O31+O60</f>
        <v>488205</v>
      </c>
      <c r="P61" s="505">
        <f>P31+P60</f>
        <v>269751472</v>
      </c>
      <c r="Q61" s="273">
        <f>Q31+Q60</f>
        <v>1067923</v>
      </c>
      <c r="R61" s="273">
        <f t="shared" si="36"/>
        <v>5626753</v>
      </c>
      <c r="S61" s="273"/>
      <c r="T61" s="273">
        <f>T31+T60</f>
        <v>252556978</v>
      </c>
      <c r="U61" s="273">
        <f>U31+U60</f>
        <v>252556978</v>
      </c>
    </row>
  </sheetData>
  <mergeCells count="14">
    <mergeCell ref="A60:B60"/>
    <mergeCell ref="A61:B61"/>
    <mergeCell ref="A1:U1"/>
    <mergeCell ref="A2:U2"/>
    <mergeCell ref="A33:D33"/>
    <mergeCell ref="A4:C5"/>
    <mergeCell ref="D4:I4"/>
    <mergeCell ref="J4:O4"/>
    <mergeCell ref="P4:U4"/>
    <mergeCell ref="A32:D32"/>
    <mergeCell ref="A26:B26"/>
    <mergeCell ref="A27:D27"/>
    <mergeCell ref="A30:B30"/>
    <mergeCell ref="A31:B31"/>
  </mergeCells>
  <phoneticPr fontId="7" type="noConversion"/>
  <pageMargins left="0.61" right="0.16" top="0.54" bottom="0.41" header="0.26" footer="0.18"/>
  <pageSetup paperSize="9" scale="49" orientation="landscape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S77"/>
  <sheetViews>
    <sheetView zoomScaleNormal="100" workbookViewId="0">
      <selection sqref="A1:Q1"/>
    </sheetView>
  </sheetViews>
  <sheetFormatPr defaultColWidth="9.109375" defaultRowHeight="15" customHeight="1" x14ac:dyDescent="0.25"/>
  <cols>
    <col min="1" max="1" width="2.44140625" style="1" bestFit="1" customWidth="1"/>
    <col min="2" max="3" width="2.44140625" style="2" bestFit="1" customWidth="1"/>
    <col min="4" max="4" width="2.44140625" style="2" customWidth="1"/>
    <col min="5" max="5" width="41.5546875" style="2" customWidth="1"/>
    <col min="6" max="6" width="7.33203125" style="15" bestFit="1" customWidth="1"/>
    <col min="7" max="7" width="12.33203125" style="175" customWidth="1"/>
    <col min="8" max="8" width="11.88671875" style="175" bestFit="1" customWidth="1"/>
    <col min="9" max="10" width="11.88671875" style="175" customWidth="1"/>
    <col min="11" max="12" width="10.88671875" style="175" bestFit="1" customWidth="1"/>
    <col min="13" max="13" width="15.6640625" style="2" customWidth="1"/>
    <col min="14" max="14" width="10.88671875" style="10" bestFit="1" customWidth="1"/>
    <col min="15" max="15" width="10.88671875" style="10" customWidth="1"/>
    <col min="16" max="16" width="9.109375" style="2"/>
    <col min="17" max="17" width="11.33203125" style="2" customWidth="1"/>
    <col min="18" max="19" width="9.109375" style="648"/>
    <col min="20" max="16384" width="9.109375" style="2"/>
  </cols>
  <sheetData>
    <row r="1" spans="1:19" ht="15" customHeight="1" x14ac:dyDescent="0.25">
      <c r="A1" s="782" t="s">
        <v>458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</row>
    <row r="2" spans="1:19" ht="19.5" customHeight="1" x14ac:dyDescent="0.25">
      <c r="A2" s="782" t="s">
        <v>53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9" ht="15" customHeight="1" x14ac:dyDescent="0.25">
      <c r="A3" s="3"/>
      <c r="B3" s="3"/>
      <c r="C3" s="11"/>
      <c r="D3" s="11"/>
      <c r="E3" s="3"/>
      <c r="F3" s="16"/>
      <c r="H3" s="14"/>
      <c r="I3" s="14"/>
      <c r="J3" s="14"/>
      <c r="K3" s="14"/>
      <c r="Q3" s="14" t="s">
        <v>221</v>
      </c>
    </row>
    <row r="4" spans="1:19" ht="10.5" customHeight="1" x14ac:dyDescent="0.25"/>
    <row r="5" spans="1:19" ht="25.5" customHeight="1" x14ac:dyDescent="0.25">
      <c r="A5" s="902" t="s">
        <v>41</v>
      </c>
      <c r="B5" s="902"/>
      <c r="C5" s="902"/>
      <c r="D5" s="902"/>
      <c r="E5" s="902"/>
      <c r="F5" s="902" t="s">
        <v>374</v>
      </c>
      <c r="G5" s="785" t="s">
        <v>208</v>
      </c>
      <c r="H5" s="785"/>
      <c r="I5" s="785"/>
      <c r="J5" s="785"/>
      <c r="K5" s="785"/>
      <c r="L5" s="785"/>
      <c r="M5" s="786" t="s">
        <v>95</v>
      </c>
      <c r="N5" s="785"/>
      <c r="O5" s="785"/>
      <c r="P5" s="785"/>
      <c r="Q5" s="787"/>
    </row>
    <row r="6" spans="1:19" ht="30.6" thickBot="1" x14ac:dyDescent="0.3">
      <c r="A6" s="903"/>
      <c r="B6" s="903"/>
      <c r="C6" s="903"/>
      <c r="D6" s="903"/>
      <c r="E6" s="903"/>
      <c r="F6" s="903"/>
      <c r="G6" s="157" t="s">
        <v>445</v>
      </c>
      <c r="H6" s="157" t="s">
        <v>348</v>
      </c>
      <c r="I6" s="157" t="s">
        <v>460</v>
      </c>
      <c r="J6" s="157" t="s">
        <v>459</v>
      </c>
      <c r="K6" s="157" t="s">
        <v>349</v>
      </c>
      <c r="L6" s="388" t="s">
        <v>350</v>
      </c>
      <c r="M6" s="321" t="s">
        <v>445</v>
      </c>
      <c r="N6" s="157" t="s">
        <v>348</v>
      </c>
      <c r="O6" s="157" t="s">
        <v>446</v>
      </c>
      <c r="P6" s="157" t="s">
        <v>349</v>
      </c>
      <c r="Q6" s="388" t="s">
        <v>350</v>
      </c>
    </row>
    <row r="7" spans="1:19" ht="18" customHeight="1" x14ac:dyDescent="0.25">
      <c r="A7" s="890" t="s">
        <v>42</v>
      </c>
      <c r="B7" s="900" t="s">
        <v>37</v>
      </c>
      <c r="C7" s="901"/>
      <c r="D7" s="901"/>
      <c r="E7" s="901"/>
      <c r="F7" s="901"/>
      <c r="G7" s="901"/>
      <c r="H7" s="292"/>
      <c r="I7" s="292"/>
      <c r="J7" s="292"/>
      <c r="K7" s="292"/>
      <c r="L7" s="471"/>
      <c r="M7" s="342"/>
      <c r="N7" s="267"/>
      <c r="O7" s="267"/>
      <c r="P7" s="342"/>
      <c r="Q7" s="343"/>
    </row>
    <row r="8" spans="1:19" ht="15" customHeight="1" x14ac:dyDescent="0.25">
      <c r="A8" s="880"/>
      <c r="B8" s="888" t="s">
        <v>42</v>
      </c>
      <c r="C8" s="873" t="s">
        <v>489</v>
      </c>
      <c r="D8" s="874"/>
      <c r="E8" s="875"/>
      <c r="F8" s="42" t="s">
        <v>490</v>
      </c>
      <c r="G8" s="274">
        <f>SUM(G9:G10)</f>
        <v>0</v>
      </c>
      <c r="H8" s="274">
        <f t="shared" ref="H8:L8" si="0">SUM(H9:H10)</f>
        <v>0</v>
      </c>
      <c r="I8" s="274">
        <f t="shared" si="0"/>
        <v>16535</v>
      </c>
      <c r="J8" s="274">
        <f t="shared" si="0"/>
        <v>0</v>
      </c>
      <c r="K8" s="274">
        <f t="shared" si="0"/>
        <v>16535</v>
      </c>
      <c r="L8" s="274">
        <f t="shared" si="0"/>
        <v>16535</v>
      </c>
      <c r="M8" s="274">
        <f>SUM(M9:M10)</f>
        <v>0</v>
      </c>
      <c r="N8" s="274">
        <v>0</v>
      </c>
      <c r="O8" s="274">
        <f t="shared" ref="O8:O70" si="1">P8-M8-N8</f>
        <v>0</v>
      </c>
      <c r="P8" s="274">
        <f t="shared" ref="P8:Q8" si="2">SUM(P9:P10)</f>
        <v>0</v>
      </c>
      <c r="Q8" s="23">
        <f t="shared" si="2"/>
        <v>0</v>
      </c>
    </row>
    <row r="9" spans="1:19" s="11" customFormat="1" ht="15" customHeight="1" x14ac:dyDescent="0.25">
      <c r="A9" s="880"/>
      <c r="B9" s="889"/>
      <c r="C9" s="32" t="s">
        <v>42</v>
      </c>
      <c r="D9" s="876" t="s">
        <v>17</v>
      </c>
      <c r="E9" s="877"/>
      <c r="F9" s="43"/>
      <c r="G9" s="282">
        <v>0</v>
      </c>
      <c r="H9" s="277"/>
      <c r="I9" s="277">
        <v>16535</v>
      </c>
      <c r="J9" s="277">
        <f t="shared" ref="J9:J47" si="3">K9-G9-H9-I9</f>
        <v>0</v>
      </c>
      <c r="K9" s="475">
        <v>16535</v>
      </c>
      <c r="L9" s="472">
        <v>16535</v>
      </c>
      <c r="M9" s="282">
        <v>0</v>
      </c>
      <c r="N9" s="277"/>
      <c r="O9" s="277">
        <f t="shared" si="1"/>
        <v>0</v>
      </c>
      <c r="P9" s="277"/>
      <c r="Q9" s="344"/>
      <c r="R9" s="649"/>
      <c r="S9" s="649"/>
    </row>
    <row r="10" spans="1:19" s="11" customFormat="1" ht="15" customHeight="1" x14ac:dyDescent="0.25">
      <c r="A10" s="880"/>
      <c r="B10" s="889"/>
      <c r="C10" s="57" t="s">
        <v>43</v>
      </c>
      <c r="D10" s="876" t="s">
        <v>16</v>
      </c>
      <c r="E10" s="877"/>
      <c r="F10" s="43"/>
      <c r="G10" s="282">
        <v>0</v>
      </c>
      <c r="H10" s="277"/>
      <c r="I10" s="277">
        <v>0</v>
      </c>
      <c r="J10" s="277">
        <f t="shared" si="3"/>
        <v>0</v>
      </c>
      <c r="K10" s="475"/>
      <c r="L10" s="472"/>
      <c r="M10" s="282">
        <v>0</v>
      </c>
      <c r="N10" s="277"/>
      <c r="O10" s="277">
        <f t="shared" si="1"/>
        <v>0</v>
      </c>
      <c r="P10" s="277"/>
      <c r="Q10" s="344"/>
      <c r="R10" s="649"/>
      <c r="S10" s="649"/>
    </row>
    <row r="11" spans="1:19" ht="15" customHeight="1" x14ac:dyDescent="0.25">
      <c r="A11" s="880"/>
      <c r="B11" s="888" t="s">
        <v>43</v>
      </c>
      <c r="C11" s="873" t="s">
        <v>49</v>
      </c>
      <c r="D11" s="874"/>
      <c r="E11" s="875"/>
      <c r="F11" s="44" t="s">
        <v>88</v>
      </c>
      <c r="G11" s="283">
        <f>G12+G14+G16+G21</f>
        <v>354016684</v>
      </c>
      <c r="H11" s="283">
        <v>0</v>
      </c>
      <c r="I11" s="283">
        <v>0</v>
      </c>
      <c r="J11" s="283">
        <f t="shared" si="3"/>
        <v>-249785311</v>
      </c>
      <c r="K11" s="473">
        <f>K12+K14+K16+K21</f>
        <v>104231373</v>
      </c>
      <c r="L11" s="474">
        <f>L12+L14+L16+L21</f>
        <v>104231373</v>
      </c>
      <c r="M11" s="283">
        <f>M12+M14+M16+M21</f>
        <v>0</v>
      </c>
      <c r="N11" s="283">
        <v>0</v>
      </c>
      <c r="O11" s="283">
        <f t="shared" si="1"/>
        <v>0</v>
      </c>
      <c r="P11" s="283">
        <f>P12+P14+P16+P21</f>
        <v>0</v>
      </c>
      <c r="Q11" s="345">
        <f>Q12+Q14+Q16+Q21</f>
        <v>0</v>
      </c>
    </row>
    <row r="12" spans="1:19" s="11" customFormat="1" ht="15" customHeight="1" x14ac:dyDescent="0.25">
      <c r="A12" s="880"/>
      <c r="B12" s="889"/>
      <c r="C12" s="13" t="s">
        <v>42</v>
      </c>
      <c r="D12" s="876" t="s">
        <v>50</v>
      </c>
      <c r="E12" s="877"/>
      <c r="F12" s="43"/>
      <c r="G12" s="282"/>
      <c r="H12" s="277"/>
      <c r="I12" s="277">
        <v>0</v>
      </c>
      <c r="J12" s="277">
        <f t="shared" si="3"/>
        <v>0</v>
      </c>
      <c r="K12" s="475"/>
      <c r="L12" s="472"/>
      <c r="M12" s="282"/>
      <c r="N12" s="277"/>
      <c r="O12" s="277">
        <f t="shared" si="1"/>
        <v>0</v>
      </c>
      <c r="P12" s="277"/>
      <c r="Q12" s="344"/>
      <c r="R12" s="649"/>
      <c r="S12" s="649"/>
    </row>
    <row r="13" spans="1:19" s="11" customFormat="1" ht="15" customHeight="1" x14ac:dyDescent="0.25">
      <c r="A13" s="880"/>
      <c r="B13" s="889"/>
      <c r="C13" s="47"/>
      <c r="D13" s="329" t="s">
        <v>42</v>
      </c>
      <c r="E13" s="46"/>
      <c r="F13" s="43"/>
      <c r="G13" s="284"/>
      <c r="H13" s="5"/>
      <c r="I13" s="5">
        <v>0</v>
      </c>
      <c r="J13" s="5">
        <f t="shared" si="3"/>
        <v>0</v>
      </c>
      <c r="K13" s="315"/>
      <c r="L13" s="476"/>
      <c r="M13" s="284"/>
      <c r="N13" s="5"/>
      <c r="O13" s="5">
        <f t="shared" si="1"/>
        <v>0</v>
      </c>
      <c r="P13" s="5"/>
      <c r="Q13" s="9"/>
      <c r="R13" s="649"/>
      <c r="S13" s="649"/>
    </row>
    <row r="14" spans="1:19" s="11" customFormat="1" ht="15" customHeight="1" x14ac:dyDescent="0.25">
      <c r="A14" s="880"/>
      <c r="B14" s="889"/>
      <c r="C14" s="888" t="s">
        <v>43</v>
      </c>
      <c r="D14" s="876" t="s">
        <v>51</v>
      </c>
      <c r="E14" s="877"/>
      <c r="F14" s="43"/>
      <c r="G14" s="282">
        <f>SUM(G15:G15)</f>
        <v>0</v>
      </c>
      <c r="H14" s="282">
        <v>0</v>
      </c>
      <c r="I14" s="282">
        <v>0</v>
      </c>
      <c r="J14" s="282">
        <f t="shared" si="3"/>
        <v>0</v>
      </c>
      <c r="K14" s="477">
        <f t="shared" ref="K14:L14" si="4">SUM(K15:K15)</f>
        <v>0</v>
      </c>
      <c r="L14" s="478">
        <f t="shared" si="4"/>
        <v>0</v>
      </c>
      <c r="M14" s="282">
        <f>SUM(M15:M15)</f>
        <v>0</v>
      </c>
      <c r="N14" s="277"/>
      <c r="O14" s="277">
        <f t="shared" si="1"/>
        <v>0</v>
      </c>
      <c r="P14" s="277"/>
      <c r="Q14" s="344"/>
      <c r="R14" s="649"/>
      <c r="S14" s="649"/>
    </row>
    <row r="15" spans="1:19" ht="15" customHeight="1" x14ac:dyDescent="0.25">
      <c r="A15" s="880"/>
      <c r="B15" s="889"/>
      <c r="C15" s="889"/>
      <c r="D15" s="18" t="s">
        <v>42</v>
      </c>
      <c r="E15" s="330"/>
      <c r="F15" s="45"/>
      <c r="G15" s="284"/>
      <c r="H15" s="5"/>
      <c r="I15" s="5">
        <v>0</v>
      </c>
      <c r="J15" s="5">
        <f t="shared" si="3"/>
        <v>0</v>
      </c>
      <c r="K15" s="315"/>
      <c r="L15" s="476"/>
      <c r="M15" s="284"/>
      <c r="N15" s="5"/>
      <c r="O15" s="5">
        <f t="shared" si="1"/>
        <v>0</v>
      </c>
      <c r="P15" s="5"/>
      <c r="Q15" s="9"/>
    </row>
    <row r="16" spans="1:19" s="11" customFormat="1" ht="15" customHeight="1" x14ac:dyDescent="0.25">
      <c r="A16" s="880"/>
      <c r="B16" s="889"/>
      <c r="C16" s="888" t="s">
        <v>44</v>
      </c>
      <c r="D16" s="876" t="s">
        <v>10</v>
      </c>
      <c r="E16" s="877"/>
      <c r="F16" s="43"/>
      <c r="G16" s="282">
        <f>SUM(G17:G20)</f>
        <v>318204872</v>
      </c>
      <c r="H16" s="282">
        <v>0</v>
      </c>
      <c r="I16" s="282">
        <v>0</v>
      </c>
      <c r="J16" s="282">
        <f t="shared" si="3"/>
        <v>-318204872</v>
      </c>
      <c r="K16" s="477">
        <f>SUM(K17:K20)</f>
        <v>0</v>
      </c>
      <c r="L16" s="478">
        <f>SUM(L17:L20)</f>
        <v>0</v>
      </c>
      <c r="M16" s="282">
        <f>SUM(M17:M20)</f>
        <v>0</v>
      </c>
      <c r="N16" s="277"/>
      <c r="O16" s="277">
        <f t="shared" si="1"/>
        <v>0</v>
      </c>
      <c r="P16" s="277"/>
      <c r="Q16" s="344"/>
      <c r="R16" s="649"/>
      <c r="S16" s="649"/>
    </row>
    <row r="17" spans="1:19" s="11" customFormat="1" ht="15" customHeight="1" x14ac:dyDescent="0.25">
      <c r="A17" s="880"/>
      <c r="B17" s="889"/>
      <c r="C17" s="889"/>
      <c r="D17" s="329" t="s">
        <v>42</v>
      </c>
      <c r="E17" s="330" t="s">
        <v>295</v>
      </c>
      <c r="F17" s="43"/>
      <c r="G17" s="284">
        <v>314960630</v>
      </c>
      <c r="H17" s="5">
        <v>0</v>
      </c>
      <c r="I17" s="5">
        <v>0</v>
      </c>
      <c r="J17" s="5">
        <f t="shared" si="3"/>
        <v>-314960630</v>
      </c>
      <c r="K17" s="315">
        <v>0</v>
      </c>
      <c r="L17" s="476"/>
      <c r="M17" s="284"/>
      <c r="N17" s="5"/>
      <c r="O17" s="5">
        <f t="shared" si="1"/>
        <v>0</v>
      </c>
      <c r="P17" s="5"/>
      <c r="Q17" s="9"/>
      <c r="R17" s="649"/>
      <c r="S17" s="649"/>
    </row>
    <row r="18" spans="1:19" s="11" customFormat="1" ht="15" customHeight="1" x14ac:dyDescent="0.25">
      <c r="A18" s="880"/>
      <c r="B18" s="889"/>
      <c r="C18" s="324"/>
      <c r="D18" s="329" t="s">
        <v>43</v>
      </c>
      <c r="E18" s="330" t="s">
        <v>306</v>
      </c>
      <c r="F18" s="43"/>
      <c r="G18" s="284">
        <v>0</v>
      </c>
      <c r="H18" s="5">
        <v>0</v>
      </c>
      <c r="I18" s="5">
        <v>0</v>
      </c>
      <c r="J18" s="5">
        <f t="shared" si="3"/>
        <v>0</v>
      </c>
      <c r="K18" s="315">
        <v>0</v>
      </c>
      <c r="L18" s="476"/>
      <c r="M18" s="284"/>
      <c r="N18" s="5"/>
      <c r="O18" s="5">
        <f t="shared" si="1"/>
        <v>0</v>
      </c>
      <c r="P18" s="5"/>
      <c r="Q18" s="9"/>
      <c r="R18" s="649"/>
      <c r="S18" s="649"/>
    </row>
    <row r="19" spans="1:19" s="11" customFormat="1" ht="15" customHeight="1" x14ac:dyDescent="0.25">
      <c r="A19" s="880"/>
      <c r="B19" s="889"/>
      <c r="C19" s="324"/>
      <c r="D19" s="329" t="s">
        <v>44</v>
      </c>
      <c r="E19" s="330" t="s">
        <v>305</v>
      </c>
      <c r="F19" s="43"/>
      <c r="G19" s="284">
        <v>0</v>
      </c>
      <c r="H19" s="5">
        <v>0</v>
      </c>
      <c r="I19" s="5">
        <v>0</v>
      </c>
      <c r="J19" s="5">
        <f t="shared" si="3"/>
        <v>0</v>
      </c>
      <c r="K19" s="315">
        <v>0</v>
      </c>
      <c r="L19" s="476"/>
      <c r="M19" s="284"/>
      <c r="N19" s="5"/>
      <c r="O19" s="5">
        <f t="shared" si="1"/>
        <v>0</v>
      </c>
      <c r="P19" s="5"/>
      <c r="Q19" s="9"/>
      <c r="R19" s="649"/>
      <c r="S19" s="649"/>
    </row>
    <row r="20" spans="1:19" s="11" customFormat="1" ht="15" customHeight="1" x14ac:dyDescent="0.25">
      <c r="A20" s="880"/>
      <c r="B20" s="889"/>
      <c r="C20" s="324"/>
      <c r="D20" s="329" t="s">
        <v>45</v>
      </c>
      <c r="E20" s="330" t="s">
        <v>320</v>
      </c>
      <c r="F20" s="43"/>
      <c r="G20" s="284">
        <v>3244242</v>
      </c>
      <c r="H20" s="5">
        <v>0</v>
      </c>
      <c r="I20" s="5">
        <v>0</v>
      </c>
      <c r="J20" s="5">
        <f t="shared" si="3"/>
        <v>-3244242</v>
      </c>
      <c r="K20" s="315">
        <v>0</v>
      </c>
      <c r="L20" s="476"/>
      <c r="M20" s="284"/>
      <c r="N20" s="5"/>
      <c r="O20" s="5">
        <f t="shared" si="1"/>
        <v>0</v>
      </c>
      <c r="P20" s="5"/>
      <c r="Q20" s="9"/>
      <c r="R20" s="649"/>
      <c r="S20" s="649"/>
    </row>
    <row r="21" spans="1:19" s="11" customFormat="1" ht="15" customHeight="1" x14ac:dyDescent="0.25">
      <c r="A21" s="880"/>
      <c r="B21" s="889"/>
      <c r="C21" s="888" t="s">
        <v>45</v>
      </c>
      <c r="D21" s="876" t="s">
        <v>11</v>
      </c>
      <c r="E21" s="877"/>
      <c r="F21" s="43"/>
      <c r="G21" s="282">
        <f>SUM(G22:G27)</f>
        <v>35811812</v>
      </c>
      <c r="H21" s="282">
        <v>0</v>
      </c>
      <c r="I21" s="282">
        <v>0</v>
      </c>
      <c r="J21" s="282">
        <f t="shared" si="3"/>
        <v>68419561</v>
      </c>
      <c r="K21" s="477">
        <f t="shared" ref="K21:L21" si="5">SUM(K22:K27)</f>
        <v>104231373</v>
      </c>
      <c r="L21" s="478">
        <f t="shared" si="5"/>
        <v>104231373</v>
      </c>
      <c r="M21" s="282">
        <f>SUM(M22:M27)</f>
        <v>0</v>
      </c>
      <c r="N21" s="277"/>
      <c r="O21" s="277">
        <f t="shared" si="1"/>
        <v>0</v>
      </c>
      <c r="P21" s="277"/>
      <c r="Q21" s="344"/>
      <c r="R21" s="649"/>
      <c r="S21" s="649"/>
    </row>
    <row r="22" spans="1:19" s="11" customFormat="1" ht="16.5" customHeight="1" x14ac:dyDescent="0.25">
      <c r="A22" s="880"/>
      <c r="B22" s="889"/>
      <c r="C22" s="889"/>
      <c r="D22" s="329" t="s">
        <v>42</v>
      </c>
      <c r="E22" s="46" t="s">
        <v>288</v>
      </c>
      <c r="F22" s="43"/>
      <c r="G22" s="284">
        <v>25984252</v>
      </c>
      <c r="H22" s="5">
        <v>0</v>
      </c>
      <c r="I22" s="5">
        <v>0</v>
      </c>
      <c r="J22" s="5">
        <f t="shared" si="3"/>
        <v>76665428</v>
      </c>
      <c r="K22" s="315">
        <v>102649680</v>
      </c>
      <c r="L22" s="476">
        <v>102649680</v>
      </c>
      <c r="M22" s="284"/>
      <c r="N22" s="5"/>
      <c r="O22" s="5">
        <f t="shared" si="1"/>
        <v>0</v>
      </c>
      <c r="P22" s="5"/>
      <c r="Q22" s="9"/>
      <c r="R22" s="649"/>
      <c r="S22" s="649"/>
    </row>
    <row r="23" spans="1:19" s="11" customFormat="1" ht="29.25" customHeight="1" x14ac:dyDescent="0.25">
      <c r="A23" s="880"/>
      <c r="B23" s="889"/>
      <c r="C23" s="889"/>
      <c r="D23" s="329" t="s">
        <v>43</v>
      </c>
      <c r="E23" s="48" t="s">
        <v>294</v>
      </c>
      <c r="F23" s="43"/>
      <c r="G23" s="284">
        <v>1968504</v>
      </c>
      <c r="H23" s="5">
        <v>0</v>
      </c>
      <c r="I23" s="5">
        <v>0</v>
      </c>
      <c r="J23" s="5">
        <f t="shared" si="3"/>
        <v>-1968504</v>
      </c>
      <c r="K23" s="315">
        <v>0</v>
      </c>
      <c r="L23" s="476"/>
      <c r="M23" s="284"/>
      <c r="N23" s="5"/>
      <c r="O23" s="5">
        <f t="shared" si="1"/>
        <v>0</v>
      </c>
      <c r="P23" s="5"/>
      <c r="Q23" s="9"/>
      <c r="R23" s="649"/>
      <c r="S23" s="649"/>
    </row>
    <row r="24" spans="1:19" s="11" customFormat="1" ht="13.8" x14ac:dyDescent="0.25">
      <c r="A24" s="880"/>
      <c r="B24" s="889"/>
      <c r="C24" s="889"/>
      <c r="D24" s="329" t="s">
        <v>44</v>
      </c>
      <c r="E24" s="48" t="s">
        <v>307</v>
      </c>
      <c r="F24" s="43"/>
      <c r="G24" s="284">
        <v>6299213</v>
      </c>
      <c r="H24" s="5">
        <v>0</v>
      </c>
      <c r="I24" s="5">
        <v>0</v>
      </c>
      <c r="J24" s="5">
        <f t="shared" si="3"/>
        <v>-6299213</v>
      </c>
      <c r="K24" s="315">
        <v>0</v>
      </c>
      <c r="L24" s="476"/>
      <c r="M24" s="284"/>
      <c r="N24" s="5"/>
      <c r="O24" s="5">
        <f t="shared" si="1"/>
        <v>0</v>
      </c>
      <c r="P24" s="5"/>
      <c r="Q24" s="9"/>
      <c r="R24" s="649"/>
      <c r="S24" s="649"/>
    </row>
    <row r="25" spans="1:19" s="11" customFormat="1" ht="13.8" x14ac:dyDescent="0.25">
      <c r="A25" s="880"/>
      <c r="B25" s="889"/>
      <c r="C25" s="889"/>
      <c r="D25" s="631" t="s">
        <v>45</v>
      </c>
      <c r="E25" s="48" t="s">
        <v>308</v>
      </c>
      <c r="F25" s="43"/>
      <c r="G25" s="284">
        <v>300000</v>
      </c>
      <c r="H25" s="5">
        <v>0</v>
      </c>
      <c r="I25" s="5">
        <v>0</v>
      </c>
      <c r="J25" s="5">
        <f t="shared" si="3"/>
        <v>0</v>
      </c>
      <c r="K25" s="315">
        <v>300000</v>
      </c>
      <c r="L25" s="476">
        <v>300000</v>
      </c>
      <c r="M25" s="284"/>
      <c r="N25" s="5"/>
      <c r="O25" s="5">
        <f t="shared" si="1"/>
        <v>0</v>
      </c>
      <c r="P25" s="5"/>
      <c r="Q25" s="9"/>
      <c r="R25" s="649"/>
      <c r="S25" s="649"/>
    </row>
    <row r="26" spans="1:19" s="11" customFormat="1" ht="15" customHeight="1" x14ac:dyDescent="0.25">
      <c r="A26" s="880"/>
      <c r="B26" s="889"/>
      <c r="C26" s="889"/>
      <c r="D26" s="631" t="s">
        <v>46</v>
      </c>
      <c r="E26" s="632" t="s">
        <v>462</v>
      </c>
      <c r="F26" s="43"/>
      <c r="G26" s="284">
        <v>0</v>
      </c>
      <c r="H26" s="284">
        <v>0</v>
      </c>
      <c r="I26" s="284">
        <v>0</v>
      </c>
      <c r="J26" s="284">
        <v>0</v>
      </c>
      <c r="K26" s="616">
        <v>21693</v>
      </c>
      <c r="L26" s="614">
        <v>21693</v>
      </c>
      <c r="M26" s="284"/>
      <c r="N26" s="5"/>
      <c r="O26" s="5"/>
      <c r="P26" s="5"/>
      <c r="Q26" s="9"/>
      <c r="R26" s="649"/>
      <c r="S26" s="649"/>
    </row>
    <row r="27" spans="1:19" s="11" customFormat="1" ht="16.5" customHeight="1" x14ac:dyDescent="0.25">
      <c r="A27" s="880"/>
      <c r="B27" s="889"/>
      <c r="C27" s="889"/>
      <c r="D27" s="631" t="s">
        <v>52</v>
      </c>
      <c r="E27" s="48" t="s">
        <v>309</v>
      </c>
      <c r="F27" s="43"/>
      <c r="G27" s="284">
        <v>1259843</v>
      </c>
      <c r="H27" s="5">
        <v>0</v>
      </c>
      <c r="I27" s="5">
        <v>0</v>
      </c>
      <c r="J27" s="5">
        <f t="shared" si="3"/>
        <v>157</v>
      </c>
      <c r="K27" s="315">
        <v>1260000</v>
      </c>
      <c r="L27" s="476">
        <v>1260000</v>
      </c>
      <c r="M27" s="284"/>
      <c r="N27" s="5"/>
      <c r="O27" s="5">
        <f t="shared" si="1"/>
        <v>0</v>
      </c>
      <c r="P27" s="5"/>
      <c r="Q27" s="9"/>
      <c r="R27" s="649"/>
      <c r="S27" s="649"/>
    </row>
    <row r="28" spans="1:19" ht="18.75" customHeight="1" x14ac:dyDescent="0.25">
      <c r="A28" s="880"/>
      <c r="B28" s="888" t="s">
        <v>44</v>
      </c>
      <c r="C28" s="873" t="s">
        <v>19</v>
      </c>
      <c r="D28" s="874"/>
      <c r="E28" s="875"/>
      <c r="F28" s="44"/>
      <c r="G28" s="283">
        <f>G29+G32+G44+G45</f>
        <v>13128964</v>
      </c>
      <c r="H28" s="283">
        <f t="shared" ref="H28:L28" si="6">H29+H32+H44+H45</f>
        <v>0</v>
      </c>
      <c r="I28" s="283">
        <f t="shared" si="6"/>
        <v>1833612</v>
      </c>
      <c r="J28" s="283">
        <f t="shared" si="6"/>
        <v>252126</v>
      </c>
      <c r="K28" s="283">
        <f t="shared" si="6"/>
        <v>15214702</v>
      </c>
      <c r="L28" s="283">
        <f t="shared" si="6"/>
        <v>15214702</v>
      </c>
      <c r="M28" s="283">
        <f>M29+M32+M44+M45</f>
        <v>0</v>
      </c>
      <c r="N28" s="283">
        <v>1750412</v>
      </c>
      <c r="O28" s="283">
        <f t="shared" si="1"/>
        <v>24730</v>
      </c>
      <c r="P28" s="283">
        <f t="shared" ref="P28:Q28" si="7">P29+P32+P44+P45</f>
        <v>1775142</v>
      </c>
      <c r="Q28" s="345">
        <f t="shared" si="7"/>
        <v>1775142</v>
      </c>
    </row>
    <row r="29" spans="1:19" s="11" customFormat="1" ht="15" customHeight="1" x14ac:dyDescent="0.25">
      <c r="A29" s="880"/>
      <c r="B29" s="889"/>
      <c r="C29" s="13" t="s">
        <v>42</v>
      </c>
      <c r="D29" s="886" t="s">
        <v>26</v>
      </c>
      <c r="E29" s="887"/>
      <c r="F29" s="43" t="s">
        <v>219</v>
      </c>
      <c r="G29" s="282">
        <f>SUM(G30:G31)</f>
        <v>995200</v>
      </c>
      <c r="H29" s="282">
        <f t="shared" ref="H29:I29" si="8">SUM(H30:H31)</f>
        <v>0</v>
      </c>
      <c r="I29" s="282">
        <f t="shared" si="8"/>
        <v>83200</v>
      </c>
      <c r="J29" s="282">
        <f t="shared" si="3"/>
        <v>107700</v>
      </c>
      <c r="K29" s="477">
        <f t="shared" ref="K29:L29" si="9">SUM(K30:K31)</f>
        <v>1186100</v>
      </c>
      <c r="L29" s="478">
        <f t="shared" si="9"/>
        <v>1186100</v>
      </c>
      <c r="M29" s="282">
        <f>SUM(M30:M31)</f>
        <v>0</v>
      </c>
      <c r="N29" s="277"/>
      <c r="O29" s="277">
        <f t="shared" si="1"/>
        <v>0</v>
      </c>
      <c r="P29" s="277"/>
      <c r="Q29" s="344"/>
      <c r="R29" s="649"/>
      <c r="S29" s="649"/>
    </row>
    <row r="30" spans="1:19" ht="26.4" x14ac:dyDescent="0.25">
      <c r="A30" s="880"/>
      <c r="B30" s="889"/>
      <c r="C30" s="892"/>
      <c r="D30" s="8" t="s">
        <v>42</v>
      </c>
      <c r="E30" s="12" t="s">
        <v>310</v>
      </c>
      <c r="F30" s="45"/>
      <c r="G30" s="284">
        <v>995200</v>
      </c>
      <c r="H30" s="5">
        <v>0</v>
      </c>
      <c r="I30" s="5">
        <v>83200</v>
      </c>
      <c r="J30" s="5">
        <f t="shared" si="3"/>
        <v>107700</v>
      </c>
      <c r="K30" s="315">
        <v>1186100</v>
      </c>
      <c r="L30" s="476">
        <v>1186100</v>
      </c>
      <c r="M30" s="284"/>
      <c r="N30" s="5"/>
      <c r="O30" s="5">
        <f t="shared" si="1"/>
        <v>0</v>
      </c>
      <c r="P30" s="5"/>
      <c r="Q30" s="9"/>
    </row>
    <row r="31" spans="1:19" ht="31.5" customHeight="1" x14ac:dyDescent="0.25">
      <c r="A31" s="880"/>
      <c r="B31" s="889"/>
      <c r="C31" s="893"/>
      <c r="D31" s="8"/>
      <c r="E31" s="12" t="s">
        <v>463</v>
      </c>
      <c r="F31" s="45"/>
      <c r="G31" s="285"/>
      <c r="H31" s="291"/>
      <c r="I31" s="315">
        <v>0</v>
      </c>
      <c r="J31" s="315">
        <f t="shared" si="3"/>
        <v>0</v>
      </c>
      <c r="K31" s="315"/>
      <c r="L31" s="476"/>
      <c r="M31" s="285"/>
      <c r="N31" s="291"/>
      <c r="O31" s="5">
        <f t="shared" si="1"/>
        <v>0</v>
      </c>
      <c r="P31" s="291"/>
      <c r="Q31" s="346"/>
    </row>
    <row r="32" spans="1:19" s="11" customFormat="1" ht="26.25" customHeight="1" x14ac:dyDescent="0.25">
      <c r="A32" s="880"/>
      <c r="B32" s="889"/>
      <c r="C32" s="888" t="s">
        <v>43</v>
      </c>
      <c r="D32" s="876" t="s">
        <v>27</v>
      </c>
      <c r="E32" s="877"/>
      <c r="F32" s="43" t="s">
        <v>89</v>
      </c>
      <c r="G32" s="282">
        <f>SUM(G33:G43)</f>
        <v>12133764</v>
      </c>
      <c r="H32" s="282">
        <f t="shared" ref="H32:L32" si="10">SUM(H33:H43)</f>
        <v>0</v>
      </c>
      <c r="I32" s="282">
        <f t="shared" si="10"/>
        <v>1750412</v>
      </c>
      <c r="J32" s="282">
        <f t="shared" si="10"/>
        <v>144426</v>
      </c>
      <c r="K32" s="282">
        <f t="shared" si="10"/>
        <v>14028602</v>
      </c>
      <c r="L32" s="282">
        <f t="shared" si="10"/>
        <v>14028602</v>
      </c>
      <c r="M32" s="282">
        <f>SUM(M33:M41)</f>
        <v>0</v>
      </c>
      <c r="N32" s="282">
        <v>1750412</v>
      </c>
      <c r="O32" s="282">
        <f t="shared" si="1"/>
        <v>24730</v>
      </c>
      <c r="P32" s="282">
        <f t="shared" ref="P32:Q32" si="11">SUM(P33:P42)</f>
        <v>1775142</v>
      </c>
      <c r="Q32" s="347">
        <f t="shared" si="11"/>
        <v>1775142</v>
      </c>
      <c r="R32" s="649"/>
      <c r="S32" s="649"/>
    </row>
    <row r="33" spans="1:19" s="11" customFormat="1" ht="26.25" customHeight="1" x14ac:dyDescent="0.25">
      <c r="A33" s="880"/>
      <c r="B33" s="889"/>
      <c r="C33" s="889"/>
      <c r="D33" s="329" t="s">
        <v>42</v>
      </c>
      <c r="E33" s="331" t="s">
        <v>370</v>
      </c>
      <c r="F33" s="43"/>
      <c r="G33" s="284">
        <v>6815142</v>
      </c>
      <c r="H33" s="5">
        <v>0</v>
      </c>
      <c r="I33" s="5">
        <v>0</v>
      </c>
      <c r="J33" s="5">
        <f t="shared" si="3"/>
        <v>-866142</v>
      </c>
      <c r="K33" s="315">
        <v>5949000</v>
      </c>
      <c r="L33" s="476">
        <v>5949000</v>
      </c>
      <c r="M33" s="284"/>
      <c r="N33" s="5"/>
      <c r="O33" s="5">
        <f t="shared" si="1"/>
        <v>0</v>
      </c>
      <c r="P33" s="5"/>
      <c r="Q33" s="9"/>
      <c r="R33" s="649"/>
      <c r="S33" s="649"/>
    </row>
    <row r="34" spans="1:19" s="11" customFormat="1" ht="26.25" customHeight="1" x14ac:dyDescent="0.25">
      <c r="A34" s="880"/>
      <c r="B34" s="889"/>
      <c r="C34" s="889"/>
      <c r="D34" s="329" t="s">
        <v>43</v>
      </c>
      <c r="E34" s="49" t="s">
        <v>371</v>
      </c>
      <c r="F34" s="43"/>
      <c r="G34" s="284">
        <v>1686614</v>
      </c>
      <c r="H34" s="5">
        <v>0</v>
      </c>
      <c r="I34" s="5">
        <v>0</v>
      </c>
      <c r="J34" s="5">
        <f t="shared" si="3"/>
        <v>-1073394</v>
      </c>
      <c r="K34" s="315">
        <v>613220</v>
      </c>
      <c r="L34" s="476">
        <v>613220</v>
      </c>
      <c r="M34" s="284"/>
      <c r="N34" s="5"/>
      <c r="O34" s="5">
        <f t="shared" si="1"/>
        <v>0</v>
      </c>
      <c r="P34" s="5"/>
      <c r="Q34" s="9"/>
      <c r="R34" s="649"/>
      <c r="S34" s="649"/>
    </row>
    <row r="35" spans="1:19" s="11" customFormat="1" ht="52.8" x14ac:dyDescent="0.25">
      <c r="A35" s="880"/>
      <c r="B35" s="889"/>
      <c r="C35" s="889"/>
      <c r="D35" s="329"/>
      <c r="E35" s="49" t="s">
        <v>464</v>
      </c>
      <c r="F35" s="43"/>
      <c r="G35" s="284">
        <v>0</v>
      </c>
      <c r="H35" s="5">
        <v>0</v>
      </c>
      <c r="I35" s="5">
        <v>0</v>
      </c>
      <c r="J35" s="5">
        <f t="shared" si="3"/>
        <v>5254572</v>
      </c>
      <c r="K35" s="315">
        <v>5254572</v>
      </c>
      <c r="L35" s="476">
        <v>5254572</v>
      </c>
      <c r="M35" s="284"/>
      <c r="N35" s="5"/>
      <c r="O35" s="5">
        <f t="shared" si="1"/>
        <v>0</v>
      </c>
      <c r="P35" s="5"/>
      <c r="Q35" s="9"/>
      <c r="R35" s="649"/>
      <c r="S35" s="649"/>
    </row>
    <row r="36" spans="1:19" s="11" customFormat="1" ht="26.25" customHeight="1" x14ac:dyDescent="0.25">
      <c r="A36" s="880"/>
      <c r="B36" s="889"/>
      <c r="C36" s="889"/>
      <c r="D36" s="329" t="s">
        <v>44</v>
      </c>
      <c r="E36" s="331" t="s">
        <v>311</v>
      </c>
      <c r="F36" s="43"/>
      <c r="G36" s="284">
        <v>98425</v>
      </c>
      <c r="H36" s="5">
        <v>0</v>
      </c>
      <c r="I36" s="5">
        <v>0</v>
      </c>
      <c r="J36" s="5">
        <f t="shared" si="3"/>
        <v>-98425</v>
      </c>
      <c r="K36" s="315">
        <v>0</v>
      </c>
      <c r="L36" s="476">
        <v>0</v>
      </c>
      <c r="M36" s="284"/>
      <c r="N36" s="5"/>
      <c r="O36" s="5">
        <f t="shared" si="1"/>
        <v>0</v>
      </c>
      <c r="P36" s="5"/>
      <c r="Q36" s="9"/>
      <c r="R36" s="649"/>
      <c r="S36" s="649"/>
    </row>
    <row r="37" spans="1:19" s="11" customFormat="1" ht="26.25" customHeight="1" x14ac:dyDescent="0.25">
      <c r="A37" s="880"/>
      <c r="B37" s="889"/>
      <c r="C37" s="889"/>
      <c r="D37" s="329" t="s">
        <v>45</v>
      </c>
      <c r="E37" s="331" t="s">
        <v>312</v>
      </c>
      <c r="F37" s="43"/>
      <c r="G37" s="284">
        <v>39370</v>
      </c>
      <c r="H37" s="5">
        <v>0</v>
      </c>
      <c r="I37" s="5">
        <v>0</v>
      </c>
      <c r="J37" s="5">
        <f t="shared" si="3"/>
        <v>-39370</v>
      </c>
      <c r="K37" s="315">
        <v>0</v>
      </c>
      <c r="L37" s="476">
        <v>0</v>
      </c>
      <c r="M37" s="284"/>
      <c r="N37" s="5"/>
      <c r="O37" s="5">
        <f t="shared" si="1"/>
        <v>0</v>
      </c>
      <c r="P37" s="5"/>
      <c r="Q37" s="9"/>
      <c r="R37" s="649"/>
      <c r="S37" s="649"/>
    </row>
    <row r="38" spans="1:19" s="11" customFormat="1" ht="26.25" customHeight="1" x14ac:dyDescent="0.25">
      <c r="A38" s="880"/>
      <c r="B38" s="889"/>
      <c r="C38" s="889"/>
      <c r="D38" s="329" t="s">
        <v>46</v>
      </c>
      <c r="E38" s="331" t="s">
        <v>313</v>
      </c>
      <c r="F38" s="43"/>
      <c r="G38" s="284">
        <v>70867</v>
      </c>
      <c r="H38" s="5">
        <v>0</v>
      </c>
      <c r="I38" s="5">
        <v>0</v>
      </c>
      <c r="J38" s="5">
        <f t="shared" si="3"/>
        <v>-70867</v>
      </c>
      <c r="K38" s="315">
        <v>0</v>
      </c>
      <c r="L38" s="476">
        <v>0</v>
      </c>
      <c r="M38" s="284"/>
      <c r="N38" s="5"/>
      <c r="O38" s="5">
        <f t="shared" si="1"/>
        <v>0</v>
      </c>
      <c r="P38" s="5"/>
      <c r="Q38" s="9"/>
      <c r="R38" s="649"/>
      <c r="S38" s="649"/>
    </row>
    <row r="39" spans="1:19" s="11" customFormat="1" ht="26.25" customHeight="1" x14ac:dyDescent="0.25">
      <c r="A39" s="880"/>
      <c r="B39" s="889"/>
      <c r="C39" s="889"/>
      <c r="D39" s="329" t="s">
        <v>52</v>
      </c>
      <c r="E39" s="331" t="s">
        <v>314</v>
      </c>
      <c r="F39" s="43"/>
      <c r="G39" s="284">
        <v>157480</v>
      </c>
      <c r="H39" s="5">
        <v>0</v>
      </c>
      <c r="I39" s="5">
        <v>0</v>
      </c>
      <c r="J39" s="5">
        <f t="shared" si="3"/>
        <v>28520</v>
      </c>
      <c r="K39" s="315">
        <v>186000</v>
      </c>
      <c r="L39" s="476">
        <v>186000</v>
      </c>
      <c r="M39" s="284"/>
      <c r="N39" s="5"/>
      <c r="O39" s="5">
        <f t="shared" si="1"/>
        <v>0</v>
      </c>
      <c r="P39" s="5"/>
      <c r="Q39" s="9"/>
      <c r="R39" s="649"/>
      <c r="S39" s="649"/>
    </row>
    <row r="40" spans="1:19" ht="25.5" customHeight="1" x14ac:dyDescent="0.25">
      <c r="A40" s="880"/>
      <c r="B40" s="889"/>
      <c r="C40" s="889"/>
      <c r="D40" s="342" t="s">
        <v>54</v>
      </c>
      <c r="E40" s="49" t="s">
        <v>368</v>
      </c>
      <c r="F40" s="329"/>
      <c r="G40" s="284">
        <v>195000</v>
      </c>
      <c r="H40" s="5">
        <v>0</v>
      </c>
      <c r="I40" s="5">
        <v>0</v>
      </c>
      <c r="J40" s="5">
        <f t="shared" si="3"/>
        <v>67800</v>
      </c>
      <c r="K40" s="315">
        <v>262800</v>
      </c>
      <c r="L40" s="476">
        <v>262800</v>
      </c>
      <c r="M40" s="284"/>
      <c r="N40" s="5"/>
      <c r="O40" s="5">
        <f t="shared" si="1"/>
        <v>0</v>
      </c>
      <c r="P40" s="5"/>
      <c r="Q40" s="9"/>
    </row>
    <row r="41" spans="1:19" ht="21.75" customHeight="1" x14ac:dyDescent="0.25">
      <c r="A41" s="880"/>
      <c r="B41" s="889"/>
      <c r="C41" s="324"/>
      <c r="D41" s="342">
        <v>8</v>
      </c>
      <c r="E41" s="49" t="s">
        <v>346</v>
      </c>
      <c r="F41" s="329"/>
      <c r="G41" s="284">
        <v>3070866</v>
      </c>
      <c r="H41" s="5">
        <v>0</v>
      </c>
      <c r="I41" s="5">
        <v>0</v>
      </c>
      <c r="J41" s="5">
        <f t="shared" si="3"/>
        <v>-3070866</v>
      </c>
      <c r="K41" s="315">
        <v>0</v>
      </c>
      <c r="L41" s="476">
        <v>0</v>
      </c>
      <c r="M41" s="284"/>
      <c r="N41" s="5"/>
      <c r="O41" s="5">
        <f t="shared" si="1"/>
        <v>0</v>
      </c>
      <c r="P41" s="5"/>
      <c r="Q41" s="9"/>
    </row>
    <row r="42" spans="1:19" ht="21.75" customHeight="1" x14ac:dyDescent="0.25">
      <c r="A42" s="880"/>
      <c r="B42" s="889"/>
      <c r="C42" s="324"/>
      <c r="D42" s="342" t="s">
        <v>56</v>
      </c>
      <c r="E42" s="311" t="s">
        <v>367</v>
      </c>
      <c r="F42" s="312"/>
      <c r="G42" s="284">
        <v>0</v>
      </c>
      <c r="H42" s="5">
        <v>0</v>
      </c>
      <c r="I42" s="5">
        <v>1750412</v>
      </c>
      <c r="J42" s="5">
        <f t="shared" si="3"/>
        <v>0</v>
      </c>
      <c r="K42" s="315">
        <v>1750412</v>
      </c>
      <c r="L42" s="476">
        <v>1750412</v>
      </c>
      <c r="M42" s="284">
        <v>0</v>
      </c>
      <c r="N42" s="5">
        <v>1750412</v>
      </c>
      <c r="O42" s="5">
        <f t="shared" si="1"/>
        <v>24730</v>
      </c>
      <c r="P42" s="5">
        <v>1775142</v>
      </c>
      <c r="Q42" s="9">
        <v>1775142</v>
      </c>
    </row>
    <row r="43" spans="1:19" ht="21.75" customHeight="1" x14ac:dyDescent="0.25">
      <c r="A43" s="880"/>
      <c r="B43" s="889"/>
      <c r="C43" s="324"/>
      <c r="D43" s="342" t="s">
        <v>57</v>
      </c>
      <c r="E43" s="311" t="s">
        <v>369</v>
      </c>
      <c r="F43" s="312"/>
      <c r="G43" s="284">
        <v>0</v>
      </c>
      <c r="H43" s="5">
        <v>0</v>
      </c>
      <c r="I43" s="5">
        <v>0</v>
      </c>
      <c r="J43" s="5">
        <f t="shared" si="3"/>
        <v>12598</v>
      </c>
      <c r="K43" s="315">
        <v>12598</v>
      </c>
      <c r="L43" s="476">
        <v>12598</v>
      </c>
      <c r="M43" s="284"/>
      <c r="N43" s="5"/>
      <c r="O43" s="5">
        <f t="shared" si="1"/>
        <v>0</v>
      </c>
      <c r="P43" s="5"/>
      <c r="Q43" s="9"/>
    </row>
    <row r="44" spans="1:19" s="11" customFormat="1" ht="15" customHeight="1" x14ac:dyDescent="0.25">
      <c r="A44" s="880"/>
      <c r="B44" s="889"/>
      <c r="C44" s="13" t="s">
        <v>44</v>
      </c>
      <c r="D44" s="876" t="s">
        <v>18</v>
      </c>
      <c r="E44" s="877"/>
      <c r="F44" s="43"/>
      <c r="G44" s="282">
        <v>0</v>
      </c>
      <c r="H44" s="277"/>
      <c r="I44" s="277">
        <v>0</v>
      </c>
      <c r="J44" s="277">
        <f t="shared" si="3"/>
        <v>0</v>
      </c>
      <c r="K44" s="475"/>
      <c r="L44" s="472">
        <v>0</v>
      </c>
      <c r="M44" s="282">
        <v>0</v>
      </c>
      <c r="N44" s="277"/>
      <c r="O44" s="277">
        <f t="shared" si="1"/>
        <v>0</v>
      </c>
      <c r="P44" s="277"/>
      <c r="Q44" s="344"/>
      <c r="R44" s="649"/>
      <c r="S44" s="649"/>
    </row>
    <row r="45" spans="1:19" s="11" customFormat="1" ht="15" customHeight="1" x14ac:dyDescent="0.25">
      <c r="A45" s="899"/>
      <c r="B45" s="898"/>
      <c r="C45" s="13" t="s">
        <v>45</v>
      </c>
      <c r="D45" s="876" t="s">
        <v>28</v>
      </c>
      <c r="E45" s="877"/>
      <c r="F45" s="43"/>
      <c r="G45" s="282">
        <v>0</v>
      </c>
      <c r="H45" s="277"/>
      <c r="I45" s="277">
        <v>0</v>
      </c>
      <c r="J45" s="277">
        <f t="shared" si="3"/>
        <v>0</v>
      </c>
      <c r="K45" s="475"/>
      <c r="L45" s="472"/>
      <c r="M45" s="282">
        <v>0</v>
      </c>
      <c r="N45" s="277"/>
      <c r="O45" s="277">
        <f t="shared" si="1"/>
        <v>0</v>
      </c>
      <c r="P45" s="277"/>
      <c r="Q45" s="344"/>
      <c r="R45" s="649"/>
      <c r="S45" s="649"/>
    </row>
    <row r="46" spans="1:19" ht="15" customHeight="1" x14ac:dyDescent="0.25">
      <c r="A46" s="879"/>
      <c r="B46" s="327" t="s">
        <v>45</v>
      </c>
      <c r="C46" s="873" t="s">
        <v>36</v>
      </c>
      <c r="D46" s="874"/>
      <c r="E46" s="875"/>
      <c r="F46" s="44"/>
      <c r="G46" s="283">
        <v>0</v>
      </c>
      <c r="H46" s="31"/>
      <c r="I46" s="31">
        <v>0</v>
      </c>
      <c r="J46" s="31"/>
      <c r="K46" s="467"/>
      <c r="L46" s="609"/>
      <c r="M46" s="283">
        <v>0</v>
      </c>
      <c r="N46" s="283">
        <v>0</v>
      </c>
      <c r="O46" s="283">
        <f t="shared" si="1"/>
        <v>0</v>
      </c>
      <c r="P46" s="283">
        <v>0</v>
      </c>
      <c r="Q46" s="345">
        <v>0</v>
      </c>
    </row>
    <row r="47" spans="1:19" ht="15" customHeight="1" x14ac:dyDescent="0.25">
      <c r="A47" s="880"/>
      <c r="B47" s="610" t="s">
        <v>46</v>
      </c>
      <c r="C47" s="874" t="s">
        <v>468</v>
      </c>
      <c r="D47" s="874"/>
      <c r="E47" s="875"/>
      <c r="F47" s="611" t="s">
        <v>461</v>
      </c>
      <c r="G47" s="612">
        <v>99129325</v>
      </c>
      <c r="H47" s="612">
        <v>-10450787</v>
      </c>
      <c r="I47" s="612">
        <v>0</v>
      </c>
      <c r="J47" s="612">
        <f t="shared" si="3"/>
        <v>-84243037</v>
      </c>
      <c r="K47" s="617">
        <v>4435501</v>
      </c>
      <c r="L47" s="615">
        <v>4435501</v>
      </c>
      <c r="M47" s="612"/>
      <c r="N47" s="612"/>
      <c r="O47" s="612"/>
      <c r="P47" s="612"/>
      <c r="Q47" s="613"/>
    </row>
    <row r="48" spans="1:19" ht="18" customHeight="1" thickBot="1" x14ac:dyDescent="0.3">
      <c r="A48" s="881"/>
      <c r="B48" s="896" t="s">
        <v>34</v>
      </c>
      <c r="C48" s="897"/>
      <c r="D48" s="897"/>
      <c r="E48" s="867"/>
      <c r="F48" s="647" t="s">
        <v>429</v>
      </c>
      <c r="G48" s="286">
        <f t="shared" ref="G48:L48" si="12">G8+G11+G28+G46+G47</f>
        <v>466274973</v>
      </c>
      <c r="H48" s="286">
        <f t="shared" si="12"/>
        <v>-10450787</v>
      </c>
      <c r="I48" s="286">
        <f t="shared" si="12"/>
        <v>1850147</v>
      </c>
      <c r="J48" s="286">
        <f t="shared" si="12"/>
        <v>-333776222</v>
      </c>
      <c r="K48" s="479">
        <f t="shared" si="12"/>
        <v>123898111</v>
      </c>
      <c r="L48" s="480">
        <f t="shared" si="12"/>
        <v>123898111</v>
      </c>
      <c r="M48" s="286">
        <f>M8+M11+M28+M46</f>
        <v>0</v>
      </c>
      <c r="N48" s="286">
        <v>1750412</v>
      </c>
      <c r="O48" s="286">
        <f t="shared" si="1"/>
        <v>24730</v>
      </c>
      <c r="P48" s="286">
        <f>P8+P11+P28+P46</f>
        <v>1775142</v>
      </c>
      <c r="Q48" s="348">
        <f>Q8+Q11+Q28+Q46</f>
        <v>1775142</v>
      </c>
    </row>
    <row r="49" spans="1:19" ht="25.5" customHeight="1" x14ac:dyDescent="0.25">
      <c r="A49" s="890" t="s">
        <v>43</v>
      </c>
      <c r="B49" s="894" t="s">
        <v>2</v>
      </c>
      <c r="C49" s="895"/>
      <c r="D49" s="895"/>
      <c r="E49" s="895"/>
      <c r="F49" s="895"/>
      <c r="G49" s="895"/>
      <c r="H49" s="290"/>
      <c r="I49" s="290">
        <v>0</v>
      </c>
      <c r="J49" s="290"/>
      <c r="K49" s="481"/>
      <c r="L49" s="482"/>
      <c r="M49" s="342"/>
      <c r="N49" s="267"/>
      <c r="O49" s="267">
        <f t="shared" si="1"/>
        <v>0</v>
      </c>
      <c r="P49" s="342"/>
      <c r="Q49" s="343"/>
    </row>
    <row r="50" spans="1:19" ht="15" customHeight="1" x14ac:dyDescent="0.25">
      <c r="A50" s="880"/>
      <c r="B50" s="888" t="s">
        <v>42</v>
      </c>
      <c r="C50" s="883" t="s">
        <v>3</v>
      </c>
      <c r="D50" s="883"/>
      <c r="E50" s="883"/>
      <c r="F50" s="35" t="s">
        <v>90</v>
      </c>
      <c r="G50" s="272">
        <f>G51+G54</f>
        <v>34300623</v>
      </c>
      <c r="H50" s="272">
        <f>H51+H54</f>
        <v>0</v>
      </c>
      <c r="I50" s="272">
        <v>0</v>
      </c>
      <c r="J50" s="272">
        <f>K50-G50-H50-I50</f>
        <v>-3470245</v>
      </c>
      <c r="K50" s="483">
        <f>K51+K54</f>
        <v>30830378</v>
      </c>
      <c r="L50" s="484">
        <f t="shared" ref="L50" si="13">L51+L54</f>
        <v>30830378</v>
      </c>
      <c r="M50" s="272">
        <f>M51+M54</f>
        <v>0</v>
      </c>
      <c r="N50" s="272">
        <v>0</v>
      </c>
      <c r="O50" s="272">
        <f t="shared" si="1"/>
        <v>0</v>
      </c>
      <c r="P50" s="272">
        <f t="shared" ref="P50:Q50" si="14">P51+P54</f>
        <v>0</v>
      </c>
      <c r="Q50" s="40">
        <f t="shared" si="14"/>
        <v>0</v>
      </c>
    </row>
    <row r="51" spans="1:19" s="11" customFormat="1" ht="15" customHeight="1" x14ac:dyDescent="0.25">
      <c r="A51" s="880"/>
      <c r="B51" s="889"/>
      <c r="C51" s="323" t="s">
        <v>42</v>
      </c>
      <c r="D51" s="876" t="s">
        <v>4</v>
      </c>
      <c r="E51" s="877"/>
      <c r="F51" s="13"/>
      <c r="G51" s="287">
        <f>SUM(G52:G53)</f>
        <v>4113386</v>
      </c>
      <c r="H51" s="287">
        <v>0</v>
      </c>
      <c r="I51" s="287">
        <v>0</v>
      </c>
      <c r="J51" s="287">
        <f>K51-G51-H51-I51</f>
        <v>117850</v>
      </c>
      <c r="K51" s="485">
        <f>SUM(K52:K53)</f>
        <v>4231236</v>
      </c>
      <c r="L51" s="486">
        <f t="shared" ref="L51" si="15">SUM(L52:L53)</f>
        <v>4231236</v>
      </c>
      <c r="M51" s="287">
        <f>SUM(M52:M53)</f>
        <v>0</v>
      </c>
      <c r="N51" s="287">
        <v>0</v>
      </c>
      <c r="O51" s="287">
        <f t="shared" si="1"/>
        <v>0</v>
      </c>
      <c r="P51" s="287">
        <f t="shared" ref="P51:Q51" si="16">SUM(P52:P53)</f>
        <v>0</v>
      </c>
      <c r="Q51" s="349">
        <f t="shared" si="16"/>
        <v>0</v>
      </c>
      <c r="R51" s="649"/>
      <c r="S51" s="649"/>
    </row>
    <row r="52" spans="1:19" ht="29.25" customHeight="1" x14ac:dyDescent="0.25">
      <c r="A52" s="880"/>
      <c r="B52" s="889"/>
      <c r="C52" s="51"/>
      <c r="D52" s="329" t="s">
        <v>42</v>
      </c>
      <c r="E52" s="142" t="s">
        <v>317</v>
      </c>
      <c r="F52" s="8"/>
      <c r="G52" s="141">
        <v>4113386</v>
      </c>
      <c r="H52" s="5">
        <v>0</v>
      </c>
      <c r="I52" s="5">
        <v>0</v>
      </c>
      <c r="J52" s="5">
        <f t="shared" ref="J52:J68" si="17">K52-G52-H52-I52</f>
        <v>117850</v>
      </c>
      <c r="K52" s="456">
        <v>4231236</v>
      </c>
      <c r="L52" s="487">
        <v>4231236</v>
      </c>
      <c r="M52" s="141"/>
      <c r="N52" s="21"/>
      <c r="O52" s="21">
        <f t="shared" si="1"/>
        <v>0</v>
      </c>
      <c r="P52" s="21"/>
      <c r="Q52" s="41"/>
    </row>
    <row r="53" spans="1:19" s="22" customFormat="1" ht="15" customHeight="1" x14ac:dyDescent="0.25">
      <c r="A53" s="880"/>
      <c r="B53" s="889"/>
      <c r="C53" s="328"/>
      <c r="D53" s="329"/>
      <c r="E53" s="7"/>
      <c r="F53" s="8"/>
      <c r="G53" s="141"/>
      <c r="H53" s="21"/>
      <c r="I53" s="21">
        <v>0</v>
      </c>
      <c r="J53" s="21">
        <f t="shared" si="17"/>
        <v>0</v>
      </c>
      <c r="K53" s="456"/>
      <c r="L53" s="487"/>
      <c r="M53" s="141"/>
      <c r="N53" s="21"/>
      <c r="O53" s="21">
        <f t="shared" si="1"/>
        <v>0</v>
      </c>
      <c r="P53" s="21"/>
      <c r="Q53" s="41"/>
      <c r="R53" s="650"/>
      <c r="S53" s="650"/>
    </row>
    <row r="54" spans="1:19" s="11" customFormat="1" ht="15" customHeight="1" x14ac:dyDescent="0.25">
      <c r="A54" s="880"/>
      <c r="B54" s="889"/>
      <c r="C54" s="888" t="s">
        <v>43</v>
      </c>
      <c r="D54" s="876" t="s">
        <v>5</v>
      </c>
      <c r="E54" s="877"/>
      <c r="F54" s="13"/>
      <c r="G54" s="287">
        <f>SUM(G55:G60)</f>
        <v>30187237</v>
      </c>
      <c r="H54" s="287">
        <v>0</v>
      </c>
      <c r="I54" s="287">
        <v>0</v>
      </c>
      <c r="J54" s="287">
        <f>K54-G54-H54-I54</f>
        <v>-3588095</v>
      </c>
      <c r="K54" s="485">
        <f>SUM(K55:K60)</f>
        <v>26599142</v>
      </c>
      <c r="L54" s="486">
        <f>SUM(L55:L60)</f>
        <v>26599142</v>
      </c>
      <c r="M54" s="287">
        <f>SUM(M55:M60)</f>
        <v>0</v>
      </c>
      <c r="N54" s="287">
        <v>0</v>
      </c>
      <c r="O54" s="287">
        <f t="shared" si="1"/>
        <v>0</v>
      </c>
      <c r="P54" s="287">
        <f t="shared" ref="P54:Q54" si="18">SUM(P55:P60)</f>
        <v>0</v>
      </c>
      <c r="Q54" s="349">
        <f t="shared" si="18"/>
        <v>0</v>
      </c>
      <c r="R54" s="649"/>
      <c r="S54" s="649"/>
    </row>
    <row r="55" spans="1:19" s="11" customFormat="1" ht="15" customHeight="1" x14ac:dyDescent="0.25">
      <c r="A55" s="880"/>
      <c r="B55" s="889"/>
      <c r="C55" s="889"/>
      <c r="D55" s="329" t="s">
        <v>42</v>
      </c>
      <c r="E55" s="330" t="s">
        <v>315</v>
      </c>
      <c r="F55" s="43"/>
      <c r="G55" s="288">
        <v>9468613</v>
      </c>
      <c r="H55" s="5">
        <v>0</v>
      </c>
      <c r="I55" s="5">
        <v>0</v>
      </c>
      <c r="J55" s="5">
        <f t="shared" si="17"/>
        <v>-9468613</v>
      </c>
      <c r="K55" s="456">
        <v>0</v>
      </c>
      <c r="L55" s="487">
        <v>0</v>
      </c>
      <c r="M55" s="288"/>
      <c r="N55" s="21"/>
      <c r="O55" s="21">
        <f t="shared" si="1"/>
        <v>0</v>
      </c>
      <c r="P55" s="21"/>
      <c r="Q55" s="41"/>
      <c r="R55" s="649"/>
      <c r="S55" s="649"/>
    </row>
    <row r="56" spans="1:19" s="11" customFormat="1" ht="15" customHeight="1" x14ac:dyDescent="0.25">
      <c r="A56" s="880"/>
      <c r="B56" s="889"/>
      <c r="C56" s="889"/>
      <c r="D56" s="329" t="s">
        <v>43</v>
      </c>
      <c r="E56" s="330" t="s">
        <v>318</v>
      </c>
      <c r="F56" s="43"/>
      <c r="G56" s="288">
        <v>6176300</v>
      </c>
      <c r="H56" s="5">
        <v>0</v>
      </c>
      <c r="I56" s="5">
        <v>0</v>
      </c>
      <c r="J56" s="5">
        <f t="shared" si="17"/>
        <v>0</v>
      </c>
      <c r="K56" s="456">
        <v>6176300</v>
      </c>
      <c r="L56" s="487">
        <v>6176300</v>
      </c>
      <c r="M56" s="288"/>
      <c r="N56" s="21"/>
      <c r="O56" s="21">
        <f t="shared" si="1"/>
        <v>0</v>
      </c>
      <c r="P56" s="21"/>
      <c r="Q56" s="41"/>
      <c r="R56" s="649"/>
      <c r="S56" s="649"/>
    </row>
    <row r="57" spans="1:19" s="11" customFormat="1" ht="15" customHeight="1" x14ac:dyDescent="0.25">
      <c r="A57" s="880"/>
      <c r="B57" s="889"/>
      <c r="C57" s="889"/>
      <c r="D57" s="329" t="s">
        <v>44</v>
      </c>
      <c r="E57" s="330" t="s">
        <v>319</v>
      </c>
      <c r="F57" s="43"/>
      <c r="G57" s="288">
        <v>981000</v>
      </c>
      <c r="H57" s="5">
        <v>0</v>
      </c>
      <c r="I57" s="5">
        <v>0</v>
      </c>
      <c r="J57" s="5">
        <f t="shared" si="17"/>
        <v>0</v>
      </c>
      <c r="K57" s="456">
        <v>981000</v>
      </c>
      <c r="L57" s="487">
        <v>981000</v>
      </c>
      <c r="M57" s="288"/>
      <c r="N57" s="21"/>
      <c r="O57" s="21">
        <f t="shared" si="1"/>
        <v>0</v>
      </c>
      <c r="P57" s="21"/>
      <c r="Q57" s="41"/>
      <c r="R57" s="649"/>
      <c r="S57" s="649"/>
    </row>
    <row r="58" spans="1:19" s="11" customFormat="1" ht="15" customHeight="1" x14ac:dyDescent="0.25">
      <c r="A58" s="880"/>
      <c r="B58" s="889"/>
      <c r="C58" s="889"/>
      <c r="D58" s="329" t="s">
        <v>45</v>
      </c>
      <c r="E58" s="330" t="s">
        <v>372</v>
      </c>
      <c r="F58" s="43"/>
      <c r="G58" s="288">
        <v>0</v>
      </c>
      <c r="H58" s="5">
        <v>0</v>
      </c>
      <c r="I58" s="5">
        <v>0</v>
      </c>
      <c r="J58" s="5">
        <f t="shared" si="17"/>
        <v>3244242</v>
      </c>
      <c r="K58" s="456">
        <v>3244242</v>
      </c>
      <c r="L58" s="487">
        <v>3244242</v>
      </c>
      <c r="M58" s="288"/>
      <c r="N58" s="21"/>
      <c r="O58" s="21">
        <f t="shared" si="1"/>
        <v>0</v>
      </c>
      <c r="P58" s="21"/>
      <c r="Q58" s="41"/>
      <c r="R58" s="649"/>
      <c r="S58" s="649"/>
    </row>
    <row r="59" spans="1:19" s="11" customFormat="1" ht="15" customHeight="1" x14ac:dyDescent="0.25">
      <c r="A59" s="880"/>
      <c r="B59" s="889"/>
      <c r="C59" s="889"/>
      <c r="D59" s="329" t="s">
        <v>46</v>
      </c>
      <c r="E59" s="330" t="s">
        <v>316</v>
      </c>
      <c r="F59" s="43"/>
      <c r="G59" s="141">
        <v>1750300</v>
      </c>
      <c r="H59" s="5">
        <v>0</v>
      </c>
      <c r="I59" s="5">
        <v>0</v>
      </c>
      <c r="J59" s="5">
        <f t="shared" si="17"/>
        <v>0</v>
      </c>
      <c r="K59" s="456">
        <v>1750300</v>
      </c>
      <c r="L59" s="487">
        <v>1750300</v>
      </c>
      <c r="M59" s="141"/>
      <c r="N59" s="21"/>
      <c r="O59" s="21">
        <f t="shared" si="1"/>
        <v>0</v>
      </c>
      <c r="P59" s="21"/>
      <c r="Q59" s="41"/>
      <c r="R59" s="649"/>
      <c r="S59" s="649"/>
    </row>
    <row r="60" spans="1:19" s="11" customFormat="1" ht="15" customHeight="1" x14ac:dyDescent="0.25">
      <c r="A60" s="325"/>
      <c r="B60" s="324"/>
      <c r="C60" s="324"/>
      <c r="D60" s="329" t="s">
        <v>52</v>
      </c>
      <c r="E60" s="330" t="s">
        <v>347</v>
      </c>
      <c r="F60" s="43"/>
      <c r="G60" s="288">
        <v>11811024</v>
      </c>
      <c r="H60" s="5">
        <v>0</v>
      </c>
      <c r="I60" s="5">
        <v>0</v>
      </c>
      <c r="J60" s="5">
        <f t="shared" si="17"/>
        <v>2636276</v>
      </c>
      <c r="K60" s="456">
        <v>14447300</v>
      </c>
      <c r="L60" s="487">
        <v>14447300</v>
      </c>
      <c r="M60" s="288"/>
      <c r="N60" s="21"/>
      <c r="O60" s="21">
        <f t="shared" si="1"/>
        <v>0</v>
      </c>
      <c r="P60" s="21"/>
      <c r="Q60" s="41"/>
      <c r="R60" s="649"/>
      <c r="S60" s="649"/>
    </row>
    <row r="61" spans="1:19" ht="15" customHeight="1" x14ac:dyDescent="0.25">
      <c r="A61" s="879"/>
      <c r="B61" s="882" t="s">
        <v>43</v>
      </c>
      <c r="C61" s="883" t="s">
        <v>6</v>
      </c>
      <c r="D61" s="883"/>
      <c r="E61" s="883"/>
      <c r="F61" s="35" t="s">
        <v>493</v>
      </c>
      <c r="G61" s="272">
        <f>SUM(G62:G62)</f>
        <v>0</v>
      </c>
      <c r="H61" s="272">
        <f t="shared" ref="H61:L61" si="19">SUM(H62:H62)</f>
        <v>0</v>
      </c>
      <c r="I61" s="272">
        <f t="shared" si="19"/>
        <v>787401</v>
      </c>
      <c r="J61" s="272">
        <f t="shared" si="19"/>
        <v>0</v>
      </c>
      <c r="K61" s="272">
        <f t="shared" si="19"/>
        <v>787401</v>
      </c>
      <c r="L61" s="272">
        <f t="shared" si="19"/>
        <v>787401</v>
      </c>
      <c r="M61" s="272">
        <f>SUM(M62:M62)</f>
        <v>0</v>
      </c>
      <c r="N61" s="272">
        <v>0</v>
      </c>
      <c r="O61" s="272">
        <f t="shared" si="1"/>
        <v>0</v>
      </c>
      <c r="P61" s="272">
        <f t="shared" ref="P61:Q61" si="20">SUM(P62:P62)</f>
        <v>0</v>
      </c>
      <c r="Q61" s="40">
        <f t="shared" si="20"/>
        <v>0</v>
      </c>
    </row>
    <row r="62" spans="1:19" ht="15" customHeight="1" x14ac:dyDescent="0.25">
      <c r="A62" s="880"/>
      <c r="B62" s="882"/>
      <c r="C62" s="8" t="s">
        <v>42</v>
      </c>
      <c r="D62" s="884" t="s">
        <v>451</v>
      </c>
      <c r="E62" s="885"/>
      <c r="F62" s="8"/>
      <c r="G62" s="141"/>
      <c r="H62" s="21"/>
      <c r="I62" s="21">
        <v>787401</v>
      </c>
      <c r="J62" s="21">
        <f t="shared" si="17"/>
        <v>0</v>
      </c>
      <c r="K62" s="456">
        <f>787401</f>
        <v>787401</v>
      </c>
      <c r="L62" s="487">
        <f>787401</f>
        <v>787401</v>
      </c>
      <c r="M62" s="141"/>
      <c r="N62" s="21"/>
      <c r="O62" s="21">
        <f t="shared" si="1"/>
        <v>0</v>
      </c>
      <c r="P62" s="21"/>
      <c r="Q62" s="41"/>
    </row>
    <row r="63" spans="1:19" s="11" customFormat="1" ht="15" customHeight="1" x14ac:dyDescent="0.25">
      <c r="A63" s="880"/>
      <c r="B63" s="630" t="s">
        <v>44</v>
      </c>
      <c r="C63" s="644" t="s">
        <v>491</v>
      </c>
      <c r="D63" s="645"/>
      <c r="E63" s="646"/>
      <c r="F63" s="639" t="s">
        <v>492</v>
      </c>
      <c r="G63" s="640">
        <v>9261168</v>
      </c>
      <c r="H63" s="640"/>
      <c r="I63" s="640">
        <v>212598</v>
      </c>
      <c r="J63" s="640">
        <v>-936966</v>
      </c>
      <c r="K63" s="641">
        <v>8536800</v>
      </c>
      <c r="L63" s="642">
        <v>8536800</v>
      </c>
      <c r="M63" s="640"/>
      <c r="N63" s="640"/>
      <c r="O63" s="640"/>
      <c r="P63" s="640"/>
      <c r="Q63" s="643"/>
      <c r="R63" s="649"/>
      <c r="S63" s="649"/>
    </row>
    <row r="64" spans="1:19" ht="18" customHeight="1" thickBot="1" x14ac:dyDescent="0.3">
      <c r="A64" s="881"/>
      <c r="B64" s="878" t="s">
        <v>39</v>
      </c>
      <c r="C64" s="878"/>
      <c r="D64" s="878"/>
      <c r="E64" s="878"/>
      <c r="F64" s="36" t="s">
        <v>430</v>
      </c>
      <c r="G64" s="336">
        <f>G50+G61+G63</f>
        <v>43561791</v>
      </c>
      <c r="H64" s="336">
        <f t="shared" ref="H64:L64" si="21">H50+H61+H63</f>
        <v>0</v>
      </c>
      <c r="I64" s="336">
        <f t="shared" si="21"/>
        <v>999999</v>
      </c>
      <c r="J64" s="336">
        <f t="shared" si="21"/>
        <v>-4407211</v>
      </c>
      <c r="K64" s="336">
        <f t="shared" si="21"/>
        <v>40154579</v>
      </c>
      <c r="L64" s="336">
        <f t="shared" si="21"/>
        <v>40154579</v>
      </c>
      <c r="M64" s="336">
        <f>M50+M61</f>
        <v>0</v>
      </c>
      <c r="N64" s="336">
        <v>0</v>
      </c>
      <c r="O64" s="336">
        <f t="shared" si="1"/>
        <v>0</v>
      </c>
      <c r="P64" s="336">
        <f>P50+P61</f>
        <v>0</v>
      </c>
      <c r="Q64" s="350">
        <f>Q50+Q61</f>
        <v>0</v>
      </c>
    </row>
    <row r="65" spans="1:19" s="335" customFormat="1" ht="18" customHeight="1" x14ac:dyDescent="0.25">
      <c r="A65" s="870" t="s">
        <v>44</v>
      </c>
      <c r="B65" s="337" t="s">
        <v>373</v>
      </c>
      <c r="C65" s="339"/>
      <c r="D65" s="339"/>
      <c r="E65" s="339"/>
      <c r="F65" s="338"/>
      <c r="G65" s="334"/>
      <c r="H65" s="334"/>
      <c r="I65" s="334">
        <v>0</v>
      </c>
      <c r="J65" s="334">
        <f t="shared" si="17"/>
        <v>0</v>
      </c>
      <c r="K65" s="489"/>
      <c r="L65" s="490"/>
      <c r="M65" s="334"/>
      <c r="N65" s="334"/>
      <c r="O65" s="334">
        <f t="shared" si="1"/>
        <v>0</v>
      </c>
      <c r="P65" s="334"/>
      <c r="Q65" s="351"/>
      <c r="R65" s="651"/>
      <c r="S65" s="651"/>
    </row>
    <row r="66" spans="1:19" s="335" customFormat="1" ht="18" customHeight="1" x14ac:dyDescent="0.25">
      <c r="A66" s="871"/>
      <c r="B66" s="332" t="s">
        <v>42</v>
      </c>
      <c r="C66" s="873" t="s">
        <v>47</v>
      </c>
      <c r="D66" s="874"/>
      <c r="E66" s="875"/>
      <c r="F66" s="42" t="s">
        <v>83</v>
      </c>
      <c r="G66" s="272">
        <f>SUM(G67:G67)</f>
        <v>2000000</v>
      </c>
      <c r="H66" s="272">
        <v>0</v>
      </c>
      <c r="I66" s="272">
        <v>0</v>
      </c>
      <c r="J66" s="272">
        <f t="shared" si="17"/>
        <v>-2000000</v>
      </c>
      <c r="K66" s="483">
        <f t="shared" ref="K66" si="22">SUM(K67:K67)</f>
        <v>0</v>
      </c>
      <c r="L66" s="484"/>
      <c r="M66" s="272">
        <f>SUM(M67:M67)</f>
        <v>0</v>
      </c>
      <c r="N66" s="272">
        <v>0</v>
      </c>
      <c r="O66" s="272">
        <f t="shared" si="1"/>
        <v>0</v>
      </c>
      <c r="P66" s="272">
        <f t="shared" ref="P66:Q66" si="23">SUM(P67:P67)</f>
        <v>0</v>
      </c>
      <c r="Q66" s="40">
        <f t="shared" si="23"/>
        <v>0</v>
      </c>
      <c r="R66" s="651"/>
      <c r="S66" s="651"/>
    </row>
    <row r="67" spans="1:19" s="335" customFormat="1" ht="18" customHeight="1" x14ac:dyDescent="0.25">
      <c r="A67" s="871"/>
      <c r="B67" s="332"/>
      <c r="C67" s="332" t="s">
        <v>42</v>
      </c>
      <c r="D67" s="876" t="s">
        <v>59</v>
      </c>
      <c r="E67" s="877"/>
      <c r="F67" s="333"/>
      <c r="G67" s="341">
        <v>2000000</v>
      </c>
      <c r="H67" s="5">
        <v>0</v>
      </c>
      <c r="I67" s="5">
        <v>0</v>
      </c>
      <c r="J67" s="5">
        <f t="shared" si="17"/>
        <v>-2000000</v>
      </c>
      <c r="K67" s="456">
        <v>0</v>
      </c>
      <c r="L67" s="487">
        <v>0</v>
      </c>
      <c r="M67" s="288"/>
      <c r="N67" s="21"/>
      <c r="O67" s="21">
        <f t="shared" si="1"/>
        <v>0</v>
      </c>
      <c r="P67" s="21"/>
      <c r="Q67" s="41"/>
      <c r="R67" s="651"/>
      <c r="S67" s="651"/>
    </row>
    <row r="68" spans="1:19" s="335" customFormat="1" ht="18" customHeight="1" thickBot="1" x14ac:dyDescent="0.3">
      <c r="A68" s="871"/>
      <c r="B68" s="878" t="s">
        <v>25</v>
      </c>
      <c r="C68" s="878"/>
      <c r="D68" s="878"/>
      <c r="E68" s="878"/>
      <c r="F68" s="36"/>
      <c r="G68" s="340">
        <f>G66</f>
        <v>2000000</v>
      </c>
      <c r="H68" s="340">
        <v>0</v>
      </c>
      <c r="I68" s="340">
        <v>0</v>
      </c>
      <c r="J68" s="340">
        <f t="shared" si="17"/>
        <v>-2000000</v>
      </c>
      <c r="K68" s="491">
        <f t="shared" ref="K68:L68" si="24">K66</f>
        <v>0</v>
      </c>
      <c r="L68" s="488">
        <f t="shared" si="24"/>
        <v>0</v>
      </c>
      <c r="M68" s="340">
        <f t="shared" ref="M68:Q68" si="25">M66</f>
        <v>0</v>
      </c>
      <c r="N68" s="340">
        <v>0</v>
      </c>
      <c r="O68" s="340">
        <f t="shared" si="1"/>
        <v>0</v>
      </c>
      <c r="P68" s="340">
        <f t="shared" si="25"/>
        <v>0</v>
      </c>
      <c r="Q68" s="350">
        <f t="shared" si="25"/>
        <v>0</v>
      </c>
      <c r="R68" s="651"/>
      <c r="S68" s="651"/>
    </row>
    <row r="69" spans="1:19" s="335" customFormat="1" ht="18" customHeight="1" thickBot="1" x14ac:dyDescent="0.3">
      <c r="A69" s="872"/>
      <c r="B69" s="332"/>
      <c r="C69" s="332"/>
      <c r="D69" s="332"/>
      <c r="E69" s="332"/>
      <c r="F69" s="333"/>
      <c r="G69" s="334"/>
      <c r="H69" s="334"/>
      <c r="I69" s="334">
        <v>0</v>
      </c>
      <c r="J69" s="334"/>
      <c r="K69" s="489"/>
      <c r="L69" s="490"/>
      <c r="M69" s="334"/>
      <c r="N69" s="334"/>
      <c r="O69" s="334">
        <f t="shared" si="1"/>
        <v>0</v>
      </c>
      <c r="P69" s="334"/>
      <c r="Q69" s="351"/>
      <c r="R69" s="651"/>
      <c r="S69" s="651"/>
    </row>
    <row r="70" spans="1:19" ht="21" customHeight="1" thickBot="1" x14ac:dyDescent="0.3">
      <c r="A70" s="50"/>
      <c r="B70" s="891" t="s">
        <v>33</v>
      </c>
      <c r="C70" s="891"/>
      <c r="D70" s="891"/>
      <c r="E70" s="891"/>
      <c r="F70" s="39"/>
      <c r="G70" s="289">
        <f t="shared" ref="G70:N70" si="26">G48+G64+G68</f>
        <v>511836764</v>
      </c>
      <c r="H70" s="289">
        <f t="shared" si="26"/>
        <v>-10450787</v>
      </c>
      <c r="I70" s="289">
        <f t="shared" si="26"/>
        <v>2850146</v>
      </c>
      <c r="J70" s="289">
        <f t="shared" si="26"/>
        <v>-340183433</v>
      </c>
      <c r="K70" s="492">
        <f t="shared" si="26"/>
        <v>164052690</v>
      </c>
      <c r="L70" s="493">
        <f t="shared" si="26"/>
        <v>164052690</v>
      </c>
      <c r="M70" s="289">
        <f t="shared" si="26"/>
        <v>0</v>
      </c>
      <c r="N70" s="289">
        <f t="shared" si="26"/>
        <v>1750412</v>
      </c>
      <c r="O70" s="289">
        <f t="shared" si="1"/>
        <v>24730</v>
      </c>
      <c r="P70" s="289">
        <f>P48+P64+P68</f>
        <v>1775142</v>
      </c>
      <c r="Q70" s="289">
        <f>Q48+Q64+Q68</f>
        <v>1775142</v>
      </c>
    </row>
    <row r="76" spans="1:19" ht="21" customHeight="1" x14ac:dyDescent="0.25">
      <c r="A76" s="3"/>
    </row>
    <row r="77" spans="1:19" ht="15" customHeight="1" x14ac:dyDescent="0.25">
      <c r="A77" s="3"/>
    </row>
  </sheetData>
  <mergeCells count="50">
    <mergeCell ref="A5:E6"/>
    <mergeCell ref="F5:F6"/>
    <mergeCell ref="G5:L5"/>
    <mergeCell ref="M5:Q5"/>
    <mergeCell ref="D14:E14"/>
    <mergeCell ref="A46:A48"/>
    <mergeCell ref="C46:E46"/>
    <mergeCell ref="B48:E48"/>
    <mergeCell ref="B28:B45"/>
    <mergeCell ref="C28:E28"/>
    <mergeCell ref="A7:A45"/>
    <mergeCell ref="B7:G7"/>
    <mergeCell ref="B8:B10"/>
    <mergeCell ref="C8:E8"/>
    <mergeCell ref="D9:E9"/>
    <mergeCell ref="C11:E11"/>
    <mergeCell ref="D12:E12"/>
    <mergeCell ref="D32:E32"/>
    <mergeCell ref="D10:E10"/>
    <mergeCell ref="B11:B27"/>
    <mergeCell ref="B70:E70"/>
    <mergeCell ref="C16:C17"/>
    <mergeCell ref="D16:E16"/>
    <mergeCell ref="C14:C15"/>
    <mergeCell ref="C30:C31"/>
    <mergeCell ref="C21:C27"/>
    <mergeCell ref="D21:E21"/>
    <mergeCell ref="C47:E47"/>
    <mergeCell ref="B49:G49"/>
    <mergeCell ref="B50:B59"/>
    <mergeCell ref="C50:E50"/>
    <mergeCell ref="D51:E51"/>
    <mergeCell ref="C54:C59"/>
    <mergeCell ref="D54:E54"/>
    <mergeCell ref="A1:Q1"/>
    <mergeCell ref="A2:Q2"/>
    <mergeCell ref="A65:A69"/>
    <mergeCell ref="C66:E66"/>
    <mergeCell ref="D67:E67"/>
    <mergeCell ref="B68:E68"/>
    <mergeCell ref="A61:A64"/>
    <mergeCell ref="B61:B62"/>
    <mergeCell ref="C61:E61"/>
    <mergeCell ref="D62:E62"/>
    <mergeCell ref="B64:E64"/>
    <mergeCell ref="D29:E29"/>
    <mergeCell ref="C32:C40"/>
    <mergeCell ref="D44:E44"/>
    <mergeCell ref="D45:E45"/>
    <mergeCell ref="A49:A59"/>
  </mergeCells>
  <phoneticPr fontId="7" type="noConversion"/>
  <pageMargins left="0.15748031496062992" right="0.19685039370078741" top="0.43307086614173229" bottom="0.39370078740157483" header="0.23622047244094491" footer="0.19685039370078741"/>
  <pageSetup paperSize="9" scale="79" fitToHeight="0" orientation="landscape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X14" sqref="X14"/>
    </sheetView>
  </sheetViews>
  <sheetFormatPr defaultRowHeight="13.2" x14ac:dyDescent="0.25"/>
  <cols>
    <col min="1" max="1" width="5.88671875" style="184" customWidth="1"/>
    <col min="2" max="2" width="30.88671875" style="174" customWidth="1"/>
    <col min="3" max="3" width="14.5546875" style="174" customWidth="1"/>
    <col min="4" max="9" width="11" style="174" customWidth="1"/>
    <col min="10" max="10" width="11.88671875" style="174" customWidth="1"/>
    <col min="11" max="256" width="9.109375" style="174"/>
    <col min="257" max="257" width="5.88671875" style="174" customWidth="1"/>
    <col min="258" max="258" width="30.88671875" style="174" customWidth="1"/>
    <col min="259" max="259" width="14.5546875" style="174" customWidth="1"/>
    <col min="260" max="265" width="11" style="174" customWidth="1"/>
    <col min="266" max="266" width="11.88671875" style="174" customWidth="1"/>
    <col min="267" max="512" width="9.109375" style="174"/>
    <col min="513" max="513" width="5.88671875" style="174" customWidth="1"/>
    <col min="514" max="514" width="30.88671875" style="174" customWidth="1"/>
    <col min="515" max="515" width="14.5546875" style="174" customWidth="1"/>
    <col min="516" max="521" width="11" style="174" customWidth="1"/>
    <col min="522" max="522" width="11.88671875" style="174" customWidth="1"/>
    <col min="523" max="768" width="9.109375" style="174"/>
    <col min="769" max="769" width="5.88671875" style="174" customWidth="1"/>
    <col min="770" max="770" width="30.88671875" style="174" customWidth="1"/>
    <col min="771" max="771" width="14.5546875" style="174" customWidth="1"/>
    <col min="772" max="777" width="11" style="174" customWidth="1"/>
    <col min="778" max="778" width="11.88671875" style="174" customWidth="1"/>
    <col min="779" max="1024" width="9.109375" style="174"/>
    <col min="1025" max="1025" width="5.88671875" style="174" customWidth="1"/>
    <col min="1026" max="1026" width="30.88671875" style="174" customWidth="1"/>
    <col min="1027" max="1027" width="14.5546875" style="174" customWidth="1"/>
    <col min="1028" max="1033" width="11" style="174" customWidth="1"/>
    <col min="1034" max="1034" width="11.88671875" style="174" customWidth="1"/>
    <col min="1035" max="1280" width="9.109375" style="174"/>
    <col min="1281" max="1281" width="5.88671875" style="174" customWidth="1"/>
    <col min="1282" max="1282" width="30.88671875" style="174" customWidth="1"/>
    <col min="1283" max="1283" width="14.5546875" style="174" customWidth="1"/>
    <col min="1284" max="1289" width="11" style="174" customWidth="1"/>
    <col min="1290" max="1290" width="11.88671875" style="174" customWidth="1"/>
    <col min="1291" max="1536" width="9.109375" style="174"/>
    <col min="1537" max="1537" width="5.88671875" style="174" customWidth="1"/>
    <col min="1538" max="1538" width="30.88671875" style="174" customWidth="1"/>
    <col min="1539" max="1539" width="14.5546875" style="174" customWidth="1"/>
    <col min="1540" max="1545" width="11" style="174" customWidth="1"/>
    <col min="1546" max="1546" width="11.88671875" style="174" customWidth="1"/>
    <col min="1547" max="1792" width="9.109375" style="174"/>
    <col min="1793" max="1793" width="5.88671875" style="174" customWidth="1"/>
    <col min="1794" max="1794" width="30.88671875" style="174" customWidth="1"/>
    <col min="1795" max="1795" width="14.5546875" style="174" customWidth="1"/>
    <col min="1796" max="1801" width="11" style="174" customWidth="1"/>
    <col min="1802" max="1802" width="11.88671875" style="174" customWidth="1"/>
    <col min="1803" max="2048" width="9.109375" style="174"/>
    <col min="2049" max="2049" width="5.88671875" style="174" customWidth="1"/>
    <col min="2050" max="2050" width="30.88671875" style="174" customWidth="1"/>
    <col min="2051" max="2051" width="14.5546875" style="174" customWidth="1"/>
    <col min="2052" max="2057" width="11" style="174" customWidth="1"/>
    <col min="2058" max="2058" width="11.88671875" style="174" customWidth="1"/>
    <col min="2059" max="2304" width="9.109375" style="174"/>
    <col min="2305" max="2305" width="5.88671875" style="174" customWidth="1"/>
    <col min="2306" max="2306" width="30.88671875" style="174" customWidth="1"/>
    <col min="2307" max="2307" width="14.5546875" style="174" customWidth="1"/>
    <col min="2308" max="2313" width="11" style="174" customWidth="1"/>
    <col min="2314" max="2314" width="11.88671875" style="174" customWidth="1"/>
    <col min="2315" max="2560" width="9.109375" style="174"/>
    <col min="2561" max="2561" width="5.88671875" style="174" customWidth="1"/>
    <col min="2562" max="2562" width="30.88671875" style="174" customWidth="1"/>
    <col min="2563" max="2563" width="14.5546875" style="174" customWidth="1"/>
    <col min="2564" max="2569" width="11" style="174" customWidth="1"/>
    <col min="2570" max="2570" width="11.88671875" style="174" customWidth="1"/>
    <col min="2571" max="2816" width="9.109375" style="174"/>
    <col min="2817" max="2817" width="5.88671875" style="174" customWidth="1"/>
    <col min="2818" max="2818" width="30.88671875" style="174" customWidth="1"/>
    <col min="2819" max="2819" width="14.5546875" style="174" customWidth="1"/>
    <col min="2820" max="2825" width="11" style="174" customWidth="1"/>
    <col min="2826" max="2826" width="11.88671875" style="174" customWidth="1"/>
    <col min="2827" max="3072" width="9.109375" style="174"/>
    <col min="3073" max="3073" width="5.88671875" style="174" customWidth="1"/>
    <col min="3074" max="3074" width="30.88671875" style="174" customWidth="1"/>
    <col min="3075" max="3075" width="14.5546875" style="174" customWidth="1"/>
    <col min="3076" max="3081" width="11" style="174" customWidth="1"/>
    <col min="3082" max="3082" width="11.88671875" style="174" customWidth="1"/>
    <col min="3083" max="3328" width="9.109375" style="174"/>
    <col min="3329" max="3329" width="5.88671875" style="174" customWidth="1"/>
    <col min="3330" max="3330" width="30.88671875" style="174" customWidth="1"/>
    <col min="3331" max="3331" width="14.5546875" style="174" customWidth="1"/>
    <col min="3332" max="3337" width="11" style="174" customWidth="1"/>
    <col min="3338" max="3338" width="11.88671875" style="174" customWidth="1"/>
    <col min="3339" max="3584" width="9.109375" style="174"/>
    <col min="3585" max="3585" width="5.88671875" style="174" customWidth="1"/>
    <col min="3586" max="3586" width="30.88671875" style="174" customWidth="1"/>
    <col min="3587" max="3587" width="14.5546875" style="174" customWidth="1"/>
    <col min="3588" max="3593" width="11" style="174" customWidth="1"/>
    <col min="3594" max="3594" width="11.88671875" style="174" customWidth="1"/>
    <col min="3595" max="3840" width="9.109375" style="174"/>
    <col min="3841" max="3841" width="5.88671875" style="174" customWidth="1"/>
    <col min="3842" max="3842" width="30.88671875" style="174" customWidth="1"/>
    <col min="3843" max="3843" width="14.5546875" style="174" customWidth="1"/>
    <col min="3844" max="3849" width="11" style="174" customWidth="1"/>
    <col min="3850" max="3850" width="11.88671875" style="174" customWidth="1"/>
    <col min="3851" max="4096" width="9.109375" style="174"/>
    <col min="4097" max="4097" width="5.88671875" style="174" customWidth="1"/>
    <col min="4098" max="4098" width="30.88671875" style="174" customWidth="1"/>
    <col min="4099" max="4099" width="14.5546875" style="174" customWidth="1"/>
    <col min="4100" max="4105" width="11" style="174" customWidth="1"/>
    <col min="4106" max="4106" width="11.88671875" style="174" customWidth="1"/>
    <col min="4107" max="4352" width="9.109375" style="174"/>
    <col min="4353" max="4353" width="5.88671875" style="174" customWidth="1"/>
    <col min="4354" max="4354" width="30.88671875" style="174" customWidth="1"/>
    <col min="4355" max="4355" width="14.5546875" style="174" customWidth="1"/>
    <col min="4356" max="4361" width="11" style="174" customWidth="1"/>
    <col min="4362" max="4362" width="11.88671875" style="174" customWidth="1"/>
    <col min="4363" max="4608" width="9.109375" style="174"/>
    <col min="4609" max="4609" width="5.88671875" style="174" customWidth="1"/>
    <col min="4610" max="4610" width="30.88671875" style="174" customWidth="1"/>
    <col min="4611" max="4611" width="14.5546875" style="174" customWidth="1"/>
    <col min="4612" max="4617" width="11" style="174" customWidth="1"/>
    <col min="4618" max="4618" width="11.88671875" style="174" customWidth="1"/>
    <col min="4619" max="4864" width="9.109375" style="174"/>
    <col min="4865" max="4865" width="5.88671875" style="174" customWidth="1"/>
    <col min="4866" max="4866" width="30.88671875" style="174" customWidth="1"/>
    <col min="4867" max="4867" width="14.5546875" style="174" customWidth="1"/>
    <col min="4868" max="4873" width="11" style="174" customWidth="1"/>
    <col min="4874" max="4874" width="11.88671875" style="174" customWidth="1"/>
    <col min="4875" max="5120" width="9.109375" style="174"/>
    <col min="5121" max="5121" width="5.88671875" style="174" customWidth="1"/>
    <col min="5122" max="5122" width="30.88671875" style="174" customWidth="1"/>
    <col min="5123" max="5123" width="14.5546875" style="174" customWidth="1"/>
    <col min="5124" max="5129" width="11" style="174" customWidth="1"/>
    <col min="5130" max="5130" width="11.88671875" style="174" customWidth="1"/>
    <col min="5131" max="5376" width="9.109375" style="174"/>
    <col min="5377" max="5377" width="5.88671875" style="174" customWidth="1"/>
    <col min="5378" max="5378" width="30.88671875" style="174" customWidth="1"/>
    <col min="5379" max="5379" width="14.5546875" style="174" customWidth="1"/>
    <col min="5380" max="5385" width="11" style="174" customWidth="1"/>
    <col min="5386" max="5386" width="11.88671875" style="174" customWidth="1"/>
    <col min="5387" max="5632" width="9.109375" style="174"/>
    <col min="5633" max="5633" width="5.88671875" style="174" customWidth="1"/>
    <col min="5634" max="5634" width="30.88671875" style="174" customWidth="1"/>
    <col min="5635" max="5635" width="14.5546875" style="174" customWidth="1"/>
    <col min="5636" max="5641" width="11" style="174" customWidth="1"/>
    <col min="5642" max="5642" width="11.88671875" style="174" customWidth="1"/>
    <col min="5643" max="5888" width="9.109375" style="174"/>
    <col min="5889" max="5889" width="5.88671875" style="174" customWidth="1"/>
    <col min="5890" max="5890" width="30.88671875" style="174" customWidth="1"/>
    <col min="5891" max="5891" width="14.5546875" style="174" customWidth="1"/>
    <col min="5892" max="5897" width="11" style="174" customWidth="1"/>
    <col min="5898" max="5898" width="11.88671875" style="174" customWidth="1"/>
    <col min="5899" max="6144" width="9.109375" style="174"/>
    <col min="6145" max="6145" width="5.88671875" style="174" customWidth="1"/>
    <col min="6146" max="6146" width="30.88671875" style="174" customWidth="1"/>
    <col min="6147" max="6147" width="14.5546875" style="174" customWidth="1"/>
    <col min="6148" max="6153" width="11" style="174" customWidth="1"/>
    <col min="6154" max="6154" width="11.88671875" style="174" customWidth="1"/>
    <col min="6155" max="6400" width="9.109375" style="174"/>
    <col min="6401" max="6401" width="5.88671875" style="174" customWidth="1"/>
    <col min="6402" max="6402" width="30.88671875" style="174" customWidth="1"/>
    <col min="6403" max="6403" width="14.5546875" style="174" customWidth="1"/>
    <col min="6404" max="6409" width="11" style="174" customWidth="1"/>
    <col min="6410" max="6410" width="11.88671875" style="174" customWidth="1"/>
    <col min="6411" max="6656" width="9.109375" style="174"/>
    <col min="6657" max="6657" width="5.88671875" style="174" customWidth="1"/>
    <col min="6658" max="6658" width="30.88671875" style="174" customWidth="1"/>
    <col min="6659" max="6659" width="14.5546875" style="174" customWidth="1"/>
    <col min="6660" max="6665" width="11" style="174" customWidth="1"/>
    <col min="6666" max="6666" width="11.88671875" style="174" customWidth="1"/>
    <col min="6667" max="6912" width="9.109375" style="174"/>
    <col min="6913" max="6913" width="5.88671875" style="174" customWidth="1"/>
    <col min="6914" max="6914" width="30.88671875" style="174" customWidth="1"/>
    <col min="6915" max="6915" width="14.5546875" style="174" customWidth="1"/>
    <col min="6916" max="6921" width="11" style="174" customWidth="1"/>
    <col min="6922" max="6922" width="11.88671875" style="174" customWidth="1"/>
    <col min="6923" max="7168" width="9.109375" style="174"/>
    <col min="7169" max="7169" width="5.88671875" style="174" customWidth="1"/>
    <col min="7170" max="7170" width="30.88671875" style="174" customWidth="1"/>
    <col min="7171" max="7171" width="14.5546875" style="174" customWidth="1"/>
    <col min="7172" max="7177" width="11" style="174" customWidth="1"/>
    <col min="7178" max="7178" width="11.88671875" style="174" customWidth="1"/>
    <col min="7179" max="7424" width="9.109375" style="174"/>
    <col min="7425" max="7425" width="5.88671875" style="174" customWidth="1"/>
    <col min="7426" max="7426" width="30.88671875" style="174" customWidth="1"/>
    <col min="7427" max="7427" width="14.5546875" style="174" customWidth="1"/>
    <col min="7428" max="7433" width="11" style="174" customWidth="1"/>
    <col min="7434" max="7434" width="11.88671875" style="174" customWidth="1"/>
    <col min="7435" max="7680" width="9.109375" style="174"/>
    <col min="7681" max="7681" width="5.88671875" style="174" customWidth="1"/>
    <col min="7682" max="7682" width="30.88671875" style="174" customWidth="1"/>
    <col min="7683" max="7683" width="14.5546875" style="174" customWidth="1"/>
    <col min="7684" max="7689" width="11" style="174" customWidth="1"/>
    <col min="7690" max="7690" width="11.88671875" style="174" customWidth="1"/>
    <col min="7691" max="7936" width="9.109375" style="174"/>
    <col min="7937" max="7937" width="5.88671875" style="174" customWidth="1"/>
    <col min="7938" max="7938" width="30.88671875" style="174" customWidth="1"/>
    <col min="7939" max="7939" width="14.5546875" style="174" customWidth="1"/>
    <col min="7940" max="7945" width="11" style="174" customWidth="1"/>
    <col min="7946" max="7946" width="11.88671875" style="174" customWidth="1"/>
    <col min="7947" max="8192" width="9.109375" style="174"/>
    <col min="8193" max="8193" width="5.88671875" style="174" customWidth="1"/>
    <col min="8194" max="8194" width="30.88671875" style="174" customWidth="1"/>
    <col min="8195" max="8195" width="14.5546875" style="174" customWidth="1"/>
    <col min="8196" max="8201" width="11" style="174" customWidth="1"/>
    <col min="8202" max="8202" width="11.88671875" style="174" customWidth="1"/>
    <col min="8203" max="8448" width="9.109375" style="174"/>
    <col min="8449" max="8449" width="5.88671875" style="174" customWidth="1"/>
    <col min="8450" max="8450" width="30.88671875" style="174" customWidth="1"/>
    <col min="8451" max="8451" width="14.5546875" style="174" customWidth="1"/>
    <col min="8452" max="8457" width="11" style="174" customWidth="1"/>
    <col min="8458" max="8458" width="11.88671875" style="174" customWidth="1"/>
    <col min="8459" max="8704" width="9.109375" style="174"/>
    <col min="8705" max="8705" width="5.88671875" style="174" customWidth="1"/>
    <col min="8706" max="8706" width="30.88671875" style="174" customWidth="1"/>
    <col min="8707" max="8707" width="14.5546875" style="174" customWidth="1"/>
    <col min="8708" max="8713" width="11" style="174" customWidth="1"/>
    <col min="8714" max="8714" width="11.88671875" style="174" customWidth="1"/>
    <col min="8715" max="8960" width="9.109375" style="174"/>
    <col min="8961" max="8961" width="5.88671875" style="174" customWidth="1"/>
    <col min="8962" max="8962" width="30.88671875" style="174" customWidth="1"/>
    <col min="8963" max="8963" width="14.5546875" style="174" customWidth="1"/>
    <col min="8964" max="8969" width="11" style="174" customWidth="1"/>
    <col min="8970" max="8970" width="11.88671875" style="174" customWidth="1"/>
    <col min="8971" max="9216" width="9.109375" style="174"/>
    <col min="9217" max="9217" width="5.88671875" style="174" customWidth="1"/>
    <col min="9218" max="9218" width="30.88671875" style="174" customWidth="1"/>
    <col min="9219" max="9219" width="14.5546875" style="174" customWidth="1"/>
    <col min="9220" max="9225" width="11" style="174" customWidth="1"/>
    <col min="9226" max="9226" width="11.88671875" style="174" customWidth="1"/>
    <col min="9227" max="9472" width="9.109375" style="174"/>
    <col min="9473" max="9473" width="5.88671875" style="174" customWidth="1"/>
    <col min="9474" max="9474" width="30.88671875" style="174" customWidth="1"/>
    <col min="9475" max="9475" width="14.5546875" style="174" customWidth="1"/>
    <col min="9476" max="9481" width="11" style="174" customWidth="1"/>
    <col min="9482" max="9482" width="11.88671875" style="174" customWidth="1"/>
    <col min="9483" max="9728" width="9.109375" style="174"/>
    <col min="9729" max="9729" width="5.88671875" style="174" customWidth="1"/>
    <col min="9730" max="9730" width="30.88671875" style="174" customWidth="1"/>
    <col min="9731" max="9731" width="14.5546875" style="174" customWidth="1"/>
    <col min="9732" max="9737" width="11" style="174" customWidth="1"/>
    <col min="9738" max="9738" width="11.88671875" style="174" customWidth="1"/>
    <col min="9739" max="9984" width="9.109375" style="174"/>
    <col min="9985" max="9985" width="5.88671875" style="174" customWidth="1"/>
    <col min="9986" max="9986" width="30.88671875" style="174" customWidth="1"/>
    <col min="9987" max="9987" width="14.5546875" style="174" customWidth="1"/>
    <col min="9988" max="9993" width="11" style="174" customWidth="1"/>
    <col min="9994" max="9994" width="11.88671875" style="174" customWidth="1"/>
    <col min="9995" max="10240" width="9.109375" style="174"/>
    <col min="10241" max="10241" width="5.88671875" style="174" customWidth="1"/>
    <col min="10242" max="10242" width="30.88671875" style="174" customWidth="1"/>
    <col min="10243" max="10243" width="14.5546875" style="174" customWidth="1"/>
    <col min="10244" max="10249" width="11" style="174" customWidth="1"/>
    <col min="10250" max="10250" width="11.88671875" style="174" customWidth="1"/>
    <col min="10251" max="10496" width="9.109375" style="174"/>
    <col min="10497" max="10497" width="5.88671875" style="174" customWidth="1"/>
    <col min="10498" max="10498" width="30.88671875" style="174" customWidth="1"/>
    <col min="10499" max="10499" width="14.5546875" style="174" customWidth="1"/>
    <col min="10500" max="10505" width="11" style="174" customWidth="1"/>
    <col min="10506" max="10506" width="11.88671875" style="174" customWidth="1"/>
    <col min="10507" max="10752" width="9.109375" style="174"/>
    <col min="10753" max="10753" width="5.88671875" style="174" customWidth="1"/>
    <col min="10754" max="10754" width="30.88671875" style="174" customWidth="1"/>
    <col min="10755" max="10755" width="14.5546875" style="174" customWidth="1"/>
    <col min="10756" max="10761" width="11" style="174" customWidth="1"/>
    <col min="10762" max="10762" width="11.88671875" style="174" customWidth="1"/>
    <col min="10763" max="11008" width="9.109375" style="174"/>
    <col min="11009" max="11009" width="5.88671875" style="174" customWidth="1"/>
    <col min="11010" max="11010" width="30.88671875" style="174" customWidth="1"/>
    <col min="11011" max="11011" width="14.5546875" style="174" customWidth="1"/>
    <col min="11012" max="11017" width="11" style="174" customWidth="1"/>
    <col min="11018" max="11018" width="11.88671875" style="174" customWidth="1"/>
    <col min="11019" max="11264" width="9.109375" style="174"/>
    <col min="11265" max="11265" width="5.88671875" style="174" customWidth="1"/>
    <col min="11266" max="11266" width="30.88671875" style="174" customWidth="1"/>
    <col min="11267" max="11267" width="14.5546875" style="174" customWidth="1"/>
    <col min="11268" max="11273" width="11" style="174" customWidth="1"/>
    <col min="11274" max="11274" width="11.88671875" style="174" customWidth="1"/>
    <col min="11275" max="11520" width="9.109375" style="174"/>
    <col min="11521" max="11521" width="5.88671875" style="174" customWidth="1"/>
    <col min="11522" max="11522" width="30.88671875" style="174" customWidth="1"/>
    <col min="11523" max="11523" width="14.5546875" style="174" customWidth="1"/>
    <col min="11524" max="11529" width="11" style="174" customWidth="1"/>
    <col min="11530" max="11530" width="11.88671875" style="174" customWidth="1"/>
    <col min="11531" max="11776" width="9.109375" style="174"/>
    <col min="11777" max="11777" width="5.88671875" style="174" customWidth="1"/>
    <col min="11778" max="11778" width="30.88671875" style="174" customWidth="1"/>
    <col min="11779" max="11779" width="14.5546875" style="174" customWidth="1"/>
    <col min="11780" max="11785" width="11" style="174" customWidth="1"/>
    <col min="11786" max="11786" width="11.88671875" style="174" customWidth="1"/>
    <col min="11787" max="12032" width="9.109375" style="174"/>
    <col min="12033" max="12033" width="5.88671875" style="174" customWidth="1"/>
    <col min="12034" max="12034" width="30.88671875" style="174" customWidth="1"/>
    <col min="12035" max="12035" width="14.5546875" style="174" customWidth="1"/>
    <col min="12036" max="12041" width="11" style="174" customWidth="1"/>
    <col min="12042" max="12042" width="11.88671875" style="174" customWidth="1"/>
    <col min="12043" max="12288" width="9.109375" style="174"/>
    <col min="12289" max="12289" width="5.88671875" style="174" customWidth="1"/>
    <col min="12290" max="12290" width="30.88671875" style="174" customWidth="1"/>
    <col min="12291" max="12291" width="14.5546875" style="174" customWidth="1"/>
    <col min="12292" max="12297" width="11" style="174" customWidth="1"/>
    <col min="12298" max="12298" width="11.88671875" style="174" customWidth="1"/>
    <col min="12299" max="12544" width="9.109375" style="174"/>
    <col min="12545" max="12545" width="5.88671875" style="174" customWidth="1"/>
    <col min="12546" max="12546" width="30.88671875" style="174" customWidth="1"/>
    <col min="12547" max="12547" width="14.5546875" style="174" customWidth="1"/>
    <col min="12548" max="12553" width="11" style="174" customWidth="1"/>
    <col min="12554" max="12554" width="11.88671875" style="174" customWidth="1"/>
    <col min="12555" max="12800" width="9.109375" style="174"/>
    <col min="12801" max="12801" width="5.88671875" style="174" customWidth="1"/>
    <col min="12802" max="12802" width="30.88671875" style="174" customWidth="1"/>
    <col min="12803" max="12803" width="14.5546875" style="174" customWidth="1"/>
    <col min="12804" max="12809" width="11" style="174" customWidth="1"/>
    <col min="12810" max="12810" width="11.88671875" style="174" customWidth="1"/>
    <col min="12811" max="13056" width="9.109375" style="174"/>
    <col min="13057" max="13057" width="5.88671875" style="174" customWidth="1"/>
    <col min="13058" max="13058" width="30.88671875" style="174" customWidth="1"/>
    <col min="13059" max="13059" width="14.5546875" style="174" customWidth="1"/>
    <col min="13060" max="13065" width="11" style="174" customWidth="1"/>
    <col min="13066" max="13066" width="11.88671875" style="174" customWidth="1"/>
    <col min="13067" max="13312" width="9.109375" style="174"/>
    <col min="13313" max="13313" width="5.88671875" style="174" customWidth="1"/>
    <col min="13314" max="13314" width="30.88671875" style="174" customWidth="1"/>
    <col min="13315" max="13315" width="14.5546875" style="174" customWidth="1"/>
    <col min="13316" max="13321" width="11" style="174" customWidth="1"/>
    <col min="13322" max="13322" width="11.88671875" style="174" customWidth="1"/>
    <col min="13323" max="13568" width="9.109375" style="174"/>
    <col min="13569" max="13569" width="5.88671875" style="174" customWidth="1"/>
    <col min="13570" max="13570" width="30.88671875" style="174" customWidth="1"/>
    <col min="13571" max="13571" width="14.5546875" style="174" customWidth="1"/>
    <col min="13572" max="13577" width="11" style="174" customWidth="1"/>
    <col min="13578" max="13578" width="11.88671875" style="174" customWidth="1"/>
    <col min="13579" max="13824" width="9.109375" style="174"/>
    <col min="13825" max="13825" width="5.88671875" style="174" customWidth="1"/>
    <col min="13826" max="13826" width="30.88671875" style="174" customWidth="1"/>
    <col min="13827" max="13827" width="14.5546875" style="174" customWidth="1"/>
    <col min="13828" max="13833" width="11" style="174" customWidth="1"/>
    <col min="13834" max="13834" width="11.88671875" style="174" customWidth="1"/>
    <col min="13835" max="14080" width="9.109375" style="174"/>
    <col min="14081" max="14081" width="5.88671875" style="174" customWidth="1"/>
    <col min="14082" max="14082" width="30.88671875" style="174" customWidth="1"/>
    <col min="14083" max="14083" width="14.5546875" style="174" customWidth="1"/>
    <col min="14084" max="14089" width="11" style="174" customWidth="1"/>
    <col min="14090" max="14090" width="11.88671875" style="174" customWidth="1"/>
    <col min="14091" max="14336" width="9.109375" style="174"/>
    <col min="14337" max="14337" width="5.88671875" style="174" customWidth="1"/>
    <col min="14338" max="14338" width="30.88671875" style="174" customWidth="1"/>
    <col min="14339" max="14339" width="14.5546875" style="174" customWidth="1"/>
    <col min="14340" max="14345" width="11" style="174" customWidth="1"/>
    <col min="14346" max="14346" width="11.88671875" style="174" customWidth="1"/>
    <col min="14347" max="14592" width="9.109375" style="174"/>
    <col min="14593" max="14593" width="5.88671875" style="174" customWidth="1"/>
    <col min="14594" max="14594" width="30.88671875" style="174" customWidth="1"/>
    <col min="14595" max="14595" width="14.5546875" style="174" customWidth="1"/>
    <col min="14596" max="14601" width="11" style="174" customWidth="1"/>
    <col min="14602" max="14602" width="11.88671875" style="174" customWidth="1"/>
    <col min="14603" max="14848" width="9.109375" style="174"/>
    <col min="14849" max="14849" width="5.88671875" style="174" customWidth="1"/>
    <col min="14850" max="14850" width="30.88671875" style="174" customWidth="1"/>
    <col min="14851" max="14851" width="14.5546875" style="174" customWidth="1"/>
    <col min="14852" max="14857" width="11" style="174" customWidth="1"/>
    <col min="14858" max="14858" width="11.88671875" style="174" customWidth="1"/>
    <col min="14859" max="15104" width="9.109375" style="174"/>
    <col min="15105" max="15105" width="5.88671875" style="174" customWidth="1"/>
    <col min="15106" max="15106" width="30.88671875" style="174" customWidth="1"/>
    <col min="15107" max="15107" width="14.5546875" style="174" customWidth="1"/>
    <col min="15108" max="15113" width="11" style="174" customWidth="1"/>
    <col min="15114" max="15114" width="11.88671875" style="174" customWidth="1"/>
    <col min="15115" max="15360" width="9.109375" style="174"/>
    <col min="15361" max="15361" width="5.88671875" style="174" customWidth="1"/>
    <col min="15362" max="15362" width="30.88671875" style="174" customWidth="1"/>
    <col min="15363" max="15363" width="14.5546875" style="174" customWidth="1"/>
    <col min="15364" max="15369" width="11" style="174" customWidth="1"/>
    <col min="15370" max="15370" width="11.88671875" style="174" customWidth="1"/>
    <col min="15371" max="15616" width="9.109375" style="174"/>
    <col min="15617" max="15617" width="5.88671875" style="174" customWidth="1"/>
    <col min="15618" max="15618" width="30.88671875" style="174" customWidth="1"/>
    <col min="15619" max="15619" width="14.5546875" style="174" customWidth="1"/>
    <col min="15620" max="15625" width="11" style="174" customWidth="1"/>
    <col min="15626" max="15626" width="11.88671875" style="174" customWidth="1"/>
    <col min="15627" max="15872" width="9.109375" style="174"/>
    <col min="15873" max="15873" width="5.88671875" style="174" customWidth="1"/>
    <col min="15874" max="15874" width="30.88671875" style="174" customWidth="1"/>
    <col min="15875" max="15875" width="14.5546875" style="174" customWidth="1"/>
    <col min="15876" max="15881" width="11" style="174" customWidth="1"/>
    <col min="15882" max="15882" width="11.88671875" style="174" customWidth="1"/>
    <col min="15883" max="16128" width="9.109375" style="174"/>
    <col min="16129" max="16129" width="5.88671875" style="174" customWidth="1"/>
    <col min="16130" max="16130" width="30.88671875" style="174" customWidth="1"/>
    <col min="16131" max="16131" width="14.5546875" style="174" customWidth="1"/>
    <col min="16132" max="16137" width="11" style="174" customWidth="1"/>
    <col min="16138" max="16138" width="11.88671875" style="174" customWidth="1"/>
    <col min="16139" max="16384" width="9.109375" style="174"/>
  </cols>
  <sheetData>
    <row r="1" spans="1:10" ht="14.4" thickBot="1" x14ac:dyDescent="0.3">
      <c r="J1" s="86"/>
    </row>
    <row r="2" spans="1:10" s="188" customFormat="1" ht="13.8" x14ac:dyDescent="0.25">
      <c r="A2" s="906" t="s">
        <v>107</v>
      </c>
      <c r="B2" s="908" t="s">
        <v>325</v>
      </c>
      <c r="C2" s="908" t="s">
        <v>326</v>
      </c>
      <c r="D2" s="908" t="s">
        <v>327</v>
      </c>
      <c r="E2" s="908" t="s">
        <v>345</v>
      </c>
      <c r="F2" s="185" t="s">
        <v>328</v>
      </c>
      <c r="G2" s="186"/>
      <c r="H2" s="186"/>
      <c r="I2" s="187"/>
      <c r="J2" s="904" t="s">
        <v>329</v>
      </c>
    </row>
    <row r="3" spans="1:10" s="192" customFormat="1" ht="23.4" thickBot="1" x14ac:dyDescent="0.3">
      <c r="A3" s="907"/>
      <c r="B3" s="909"/>
      <c r="C3" s="909"/>
      <c r="D3" s="910"/>
      <c r="E3" s="910"/>
      <c r="F3" s="189" t="s">
        <v>341</v>
      </c>
      <c r="G3" s="190" t="s">
        <v>342</v>
      </c>
      <c r="H3" s="190" t="s">
        <v>343</v>
      </c>
      <c r="I3" s="191" t="s">
        <v>344</v>
      </c>
      <c r="J3" s="905"/>
    </row>
    <row r="4" spans="1:10" s="197" customFormat="1" ht="10.8" thickBot="1" x14ac:dyDescent="0.3">
      <c r="A4" s="193">
        <v>1</v>
      </c>
      <c r="B4" s="194">
        <v>2</v>
      </c>
      <c r="C4" s="195">
        <v>3</v>
      </c>
      <c r="D4" s="195">
        <v>4</v>
      </c>
      <c r="E4" s="195">
        <v>5</v>
      </c>
      <c r="F4" s="195">
        <v>6</v>
      </c>
      <c r="G4" s="195">
        <v>7</v>
      </c>
      <c r="H4" s="195">
        <v>8</v>
      </c>
      <c r="I4" s="195">
        <v>9</v>
      </c>
      <c r="J4" s="196" t="s">
        <v>330</v>
      </c>
    </row>
    <row r="5" spans="1:10" ht="20.399999999999999" x14ac:dyDescent="0.25">
      <c r="A5" s="198" t="s">
        <v>42</v>
      </c>
      <c r="B5" s="199" t="s">
        <v>331</v>
      </c>
      <c r="C5" s="200"/>
      <c r="D5" s="201">
        <f t="shared" ref="D5:I5" si="0">SUM(D6:D7)</f>
        <v>0</v>
      </c>
      <c r="E5" s="201">
        <f t="shared" si="0"/>
        <v>0</v>
      </c>
      <c r="F5" s="201">
        <f t="shared" si="0"/>
        <v>0</v>
      </c>
      <c r="G5" s="201">
        <f t="shared" si="0"/>
        <v>0</v>
      </c>
      <c r="H5" s="201">
        <f t="shared" si="0"/>
        <v>0</v>
      </c>
      <c r="I5" s="202">
        <f t="shared" si="0"/>
        <v>0</v>
      </c>
      <c r="J5" s="203">
        <f t="shared" ref="J5:J18" si="1">SUM(F5:I5)</f>
        <v>0</v>
      </c>
    </row>
    <row r="6" spans="1:10" x14ac:dyDescent="0.25">
      <c r="A6" s="204" t="s">
        <v>43</v>
      </c>
      <c r="B6" s="205" t="s">
        <v>332</v>
      </c>
      <c r="C6" s="206"/>
      <c r="D6" s="207"/>
      <c r="E6" s="207"/>
      <c r="F6" s="207"/>
      <c r="G6" s="207"/>
      <c r="H6" s="207"/>
      <c r="I6" s="208"/>
      <c r="J6" s="209">
        <f t="shared" si="1"/>
        <v>0</v>
      </c>
    </row>
    <row r="7" spans="1:10" x14ac:dyDescent="0.25">
      <c r="A7" s="204" t="s">
        <v>44</v>
      </c>
      <c r="B7" s="205" t="s">
        <v>332</v>
      </c>
      <c r="C7" s="206"/>
      <c r="D7" s="207"/>
      <c r="E7" s="207"/>
      <c r="F7" s="207"/>
      <c r="G7" s="207"/>
      <c r="H7" s="207"/>
      <c r="I7" s="208"/>
      <c r="J7" s="209">
        <f t="shared" si="1"/>
        <v>0</v>
      </c>
    </row>
    <row r="8" spans="1:10" ht="20.399999999999999" x14ac:dyDescent="0.25">
      <c r="A8" s="204" t="s">
        <v>45</v>
      </c>
      <c r="B8" s="210" t="s">
        <v>333</v>
      </c>
      <c r="C8" s="211"/>
      <c r="D8" s="212">
        <f t="shared" ref="D8:I8" si="2">SUM(D9:D10)</f>
        <v>456636043</v>
      </c>
      <c r="E8" s="212">
        <f t="shared" si="2"/>
        <v>3414222</v>
      </c>
      <c r="F8" s="212">
        <f t="shared" si="2"/>
        <v>6828444</v>
      </c>
      <c r="G8" s="212">
        <f t="shared" si="2"/>
        <v>6772778</v>
      </c>
      <c r="H8" s="212">
        <f t="shared" si="2"/>
        <v>39851175</v>
      </c>
      <c r="I8" s="213">
        <f t="shared" si="2"/>
        <v>403183646</v>
      </c>
      <c r="J8" s="214">
        <f t="shared" si="1"/>
        <v>456636043</v>
      </c>
    </row>
    <row r="9" spans="1:10" x14ac:dyDescent="0.25">
      <c r="A9" s="204" t="s">
        <v>46</v>
      </c>
      <c r="B9" s="205" t="s">
        <v>334</v>
      </c>
      <c r="C9" s="206">
        <v>2019</v>
      </c>
      <c r="D9" s="207">
        <v>400000000</v>
      </c>
      <c r="E9" s="229">
        <v>0</v>
      </c>
      <c r="F9" s="229">
        <v>0</v>
      </c>
      <c r="G9" s="229">
        <v>0</v>
      </c>
      <c r="H9" s="229">
        <v>33334000</v>
      </c>
      <c r="I9" s="230">
        <v>366666000</v>
      </c>
      <c r="J9" s="209">
        <f t="shared" si="1"/>
        <v>400000000</v>
      </c>
    </row>
    <row r="10" spans="1:10" x14ac:dyDescent="0.25">
      <c r="A10" s="204" t="s">
        <v>52</v>
      </c>
      <c r="B10" s="205" t="s">
        <v>335</v>
      </c>
      <c r="C10" s="206">
        <v>2019</v>
      </c>
      <c r="D10" s="207">
        <v>56636043</v>
      </c>
      <c r="E10" s="207">
        <v>3414222</v>
      </c>
      <c r="F10" s="207">
        <v>6828444</v>
      </c>
      <c r="G10" s="207">
        <v>6772778</v>
      </c>
      <c r="H10" s="207">
        <v>6517175</v>
      </c>
      <c r="I10" s="208">
        <v>36517646</v>
      </c>
      <c r="J10" s="209">
        <f t="shared" si="1"/>
        <v>56636043</v>
      </c>
    </row>
    <row r="11" spans="1:10" x14ac:dyDescent="0.25">
      <c r="A11" s="204" t="s">
        <v>54</v>
      </c>
      <c r="B11" s="215" t="s">
        <v>336</v>
      </c>
      <c r="C11" s="211"/>
      <c r="D11" s="212">
        <f t="shared" ref="D11:I11" si="3">SUM(D12:D12)</f>
        <v>0</v>
      </c>
      <c r="E11" s="212">
        <f t="shared" si="3"/>
        <v>0</v>
      </c>
      <c r="F11" s="212">
        <f t="shared" si="3"/>
        <v>0</v>
      </c>
      <c r="G11" s="212">
        <f t="shared" si="3"/>
        <v>0</v>
      </c>
      <c r="H11" s="212">
        <f t="shared" si="3"/>
        <v>0</v>
      </c>
      <c r="I11" s="213">
        <f t="shared" si="3"/>
        <v>0</v>
      </c>
      <c r="J11" s="214">
        <f t="shared" si="1"/>
        <v>0</v>
      </c>
    </row>
    <row r="12" spans="1:10" ht="21" customHeight="1" x14ac:dyDescent="0.25">
      <c r="A12" s="204" t="s">
        <v>55</v>
      </c>
      <c r="B12" s="205"/>
      <c r="C12" s="206"/>
      <c r="D12" s="207"/>
      <c r="E12" s="207"/>
      <c r="F12" s="207"/>
      <c r="G12" s="207"/>
      <c r="H12" s="207"/>
      <c r="I12" s="208"/>
      <c r="J12" s="209">
        <f t="shared" si="1"/>
        <v>0</v>
      </c>
    </row>
    <row r="13" spans="1:10" ht="21" customHeight="1" x14ac:dyDescent="0.25">
      <c r="A13" s="204"/>
      <c r="B13" s="205"/>
      <c r="C13" s="206"/>
      <c r="D13" s="207"/>
      <c r="E13" s="207">
        <v>0</v>
      </c>
      <c r="F13" s="207"/>
      <c r="G13" s="207"/>
      <c r="H13" s="207"/>
      <c r="I13" s="208"/>
      <c r="J13" s="209">
        <f t="shared" si="1"/>
        <v>0</v>
      </c>
    </row>
    <row r="14" spans="1:10" x14ac:dyDescent="0.25">
      <c r="A14" s="204" t="s">
        <v>56</v>
      </c>
      <c r="B14" s="215" t="s">
        <v>340</v>
      </c>
      <c r="C14" s="211"/>
      <c r="D14" s="212">
        <f t="shared" ref="D14:I14" si="4">SUM(D15:D15)</f>
        <v>456636043</v>
      </c>
      <c r="E14" s="212">
        <f t="shared" si="4"/>
        <v>3414222</v>
      </c>
      <c r="F14" s="212">
        <f t="shared" si="4"/>
        <v>6828444</v>
      </c>
      <c r="G14" s="212">
        <f t="shared" si="4"/>
        <v>6772778</v>
      </c>
      <c r="H14" s="212">
        <f t="shared" si="4"/>
        <v>39851175</v>
      </c>
      <c r="I14" s="213">
        <f t="shared" si="4"/>
        <v>403183646</v>
      </c>
      <c r="J14" s="214">
        <f t="shared" si="1"/>
        <v>456636043</v>
      </c>
    </row>
    <row r="15" spans="1:10" x14ac:dyDescent="0.25">
      <c r="A15" s="204" t="s">
        <v>57</v>
      </c>
      <c r="B15" s="205" t="s">
        <v>339</v>
      </c>
      <c r="C15" s="206">
        <v>2019</v>
      </c>
      <c r="D15" s="207">
        <v>456636043</v>
      </c>
      <c r="E15" s="207">
        <f>E8</f>
        <v>3414222</v>
      </c>
      <c r="F15" s="207">
        <f t="shared" ref="F15:I15" si="5">F8</f>
        <v>6828444</v>
      </c>
      <c r="G15" s="207">
        <f t="shared" si="5"/>
        <v>6772778</v>
      </c>
      <c r="H15" s="207">
        <f t="shared" si="5"/>
        <v>39851175</v>
      </c>
      <c r="I15" s="207">
        <f t="shared" si="5"/>
        <v>403183646</v>
      </c>
      <c r="J15" s="209">
        <f t="shared" si="1"/>
        <v>456636043</v>
      </c>
    </row>
    <row r="16" spans="1:10" ht="21" customHeight="1" x14ac:dyDescent="0.25">
      <c r="A16" s="216" t="s">
        <v>29</v>
      </c>
      <c r="B16" s="217" t="s">
        <v>337</v>
      </c>
      <c r="C16" s="218"/>
      <c r="D16" s="219">
        <f t="shared" ref="D16:I16" si="6">SUM(D17:D18)</f>
        <v>0</v>
      </c>
      <c r="E16" s="219">
        <f t="shared" si="6"/>
        <v>0</v>
      </c>
      <c r="F16" s="219">
        <f t="shared" si="6"/>
        <v>0</v>
      </c>
      <c r="G16" s="219">
        <f t="shared" si="6"/>
        <v>0</v>
      </c>
      <c r="H16" s="219">
        <f t="shared" si="6"/>
        <v>0</v>
      </c>
      <c r="I16" s="220">
        <f t="shared" si="6"/>
        <v>0</v>
      </c>
      <c r="J16" s="214">
        <f t="shared" si="1"/>
        <v>0</v>
      </c>
    </row>
    <row r="17" spans="1:10" x14ac:dyDescent="0.25">
      <c r="A17" s="216" t="s">
        <v>30</v>
      </c>
      <c r="B17" s="205" t="s">
        <v>332</v>
      </c>
      <c r="C17" s="206"/>
      <c r="D17" s="207"/>
      <c r="E17" s="207"/>
      <c r="F17" s="207"/>
      <c r="G17" s="207"/>
      <c r="H17" s="207"/>
      <c r="I17" s="208"/>
      <c r="J17" s="209">
        <f t="shared" si="1"/>
        <v>0</v>
      </c>
    </row>
    <row r="18" spans="1:10" ht="13.8" thickBot="1" x14ac:dyDescent="0.3">
      <c r="A18" s="216" t="s">
        <v>35</v>
      </c>
      <c r="B18" s="205" t="s">
        <v>332</v>
      </c>
      <c r="C18" s="221"/>
      <c r="D18" s="222"/>
      <c r="E18" s="222"/>
      <c r="F18" s="222"/>
      <c r="G18" s="222"/>
      <c r="H18" s="222"/>
      <c r="I18" s="223"/>
      <c r="J18" s="209">
        <f t="shared" si="1"/>
        <v>0</v>
      </c>
    </row>
    <row r="19" spans="1:10" ht="13.8" thickBot="1" x14ac:dyDescent="0.3">
      <c r="A19" s="224" t="s">
        <v>31</v>
      </c>
      <c r="B19" s="225" t="s">
        <v>338</v>
      </c>
      <c r="C19" s="226"/>
      <c r="D19" s="227">
        <f>D5+D8+D11</f>
        <v>456636043</v>
      </c>
      <c r="E19" s="227">
        <f t="shared" ref="E19:I19" si="7">E5+E8+E11</f>
        <v>3414222</v>
      </c>
      <c r="F19" s="227">
        <f t="shared" si="7"/>
        <v>6828444</v>
      </c>
      <c r="G19" s="227">
        <f t="shared" si="7"/>
        <v>6772778</v>
      </c>
      <c r="H19" s="227">
        <f t="shared" si="7"/>
        <v>39851175</v>
      </c>
      <c r="I19" s="227">
        <f t="shared" si="7"/>
        <v>403183646</v>
      </c>
      <c r="J19" s="228">
        <f>J5+J8+J11</f>
        <v>456636043</v>
      </c>
    </row>
  </sheetData>
  <mergeCells count="6">
    <mergeCell ref="J2:J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10. Mérleg (beszámoló)</vt:lpstr>
      <vt:lpstr>11. Maradvány</vt:lpstr>
      <vt:lpstr>12. Vagyonkimutatás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2020-04-23T12:42:44Z</cp:lastPrinted>
  <dcterms:created xsi:type="dcterms:W3CDTF">2005-12-27T13:42:28Z</dcterms:created>
  <dcterms:modified xsi:type="dcterms:W3CDTF">2020-05-19T12:59:26Z</dcterms:modified>
</cp:coreProperties>
</file>